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ЦяКнига"/>
  <mc:AlternateContent xmlns:mc="http://schemas.openxmlformats.org/markup-compatibility/2006">
    <mc:Choice Requires="x15">
      <x15ac:absPath xmlns:x15ac="http://schemas.microsoft.com/office/spreadsheetml/2010/11/ac" url="O:\BUDJET\2025\Рішення від .09.2025 №\Рішення МВК від 11.09.2025 №\"/>
    </mc:Choice>
  </mc:AlternateContent>
  <xr:revisionPtr revIDLastSave="0" documentId="13_ncr:1_{1E239044-B33D-4C3A-9AB0-69A102F4BA39}" xr6:coauthVersionLast="47" xr6:coauthVersionMax="47" xr10:uidLastSave="{00000000-0000-0000-0000-000000000000}"/>
  <bookViews>
    <workbookView xWindow="-120" yWindow="-120" windowWidth="29040" windowHeight="15720" tabRatio="583" activeTab="2" xr2:uid="{00000000-000D-0000-FFFF-FFFF00000000}"/>
  </bookViews>
  <sheets>
    <sheet name="d1" sheetId="188" r:id="rId1"/>
    <sheet name="d2" sheetId="172" r:id="rId2"/>
    <sheet name="d3" sheetId="165" r:id="rId3"/>
    <sheet name="d4" sheetId="107" r:id="rId4"/>
    <sheet name="d5" sheetId="170" r:id="rId5"/>
    <sheet name="d6" sheetId="184" r:id="rId6"/>
    <sheet name="d7" sheetId="167" r:id="rId7"/>
    <sheet name="d8" sheetId="108" r:id="rId8"/>
    <sheet name="d9" sheetId="197" r:id="rId9"/>
    <sheet name="d1П" sheetId="198" r:id="rId10"/>
    <sheet name="d1РП" sheetId="201" r:id="rId11"/>
    <sheet name="d3П" sheetId="199" r:id="rId12"/>
    <sheet name="d3РП" sheetId="200" r:id="rId13"/>
  </sheets>
  <externalReferences>
    <externalReference r:id="rId14"/>
  </externalReferences>
  <definedNames>
    <definedName name="_GoBack" localSheetId="5">'d6'!#REF!</definedName>
    <definedName name="_xlnm.Print_Titles" localSheetId="2">'d3'!$11:$14</definedName>
    <definedName name="_xlnm.Print_Titles" localSheetId="11">d3П!$11:$14</definedName>
    <definedName name="_xlnm.Print_Titles" localSheetId="12">d3РП!$11:$14</definedName>
    <definedName name="_xlnm.Print_Titles" localSheetId="5">'d6'!$9:$10</definedName>
    <definedName name="_xlnm.Print_Titles" localSheetId="6">'d7'!$12:$14</definedName>
    <definedName name="_xlnm.Print_Area" localSheetId="0">'d1'!$A$1:$F$166</definedName>
    <definedName name="_xlnm.Print_Area" localSheetId="9">d1П!$A$1:$F$165</definedName>
    <definedName name="_xlnm.Print_Area" localSheetId="10">d1РП!$A$1:$F$160</definedName>
    <definedName name="_xlnm.Print_Area" localSheetId="1">'d2'!$A$1:$F$67</definedName>
    <definedName name="_xlnm.Print_Area" localSheetId="2">'d3'!$A$1:$P$453</definedName>
    <definedName name="_xlnm.Print_Area" localSheetId="11">d3П!$A$1:$P$447</definedName>
    <definedName name="_xlnm.Print_Area" localSheetId="12">d3РП!$A$1:$P$452</definedName>
    <definedName name="_xlnm.Print_Area" localSheetId="3">'d4'!$B$1:$Q$36</definedName>
    <definedName name="_xlnm.Print_Area" localSheetId="4">'d5'!$A$1:$D$128</definedName>
    <definedName name="_xlnm.Print_Area" localSheetId="5">'d6'!$B$1:$K$152</definedName>
    <definedName name="_xlnm.Print_Area" localSheetId="6">'d7'!$A$1:$J$394</definedName>
    <definedName name="_xlnm.Print_Area" localSheetId="7">'d8'!$A$1:$D$42</definedName>
    <definedName name="_xlnm.Print_Area" localSheetId="8">'d9'!$A$1:$F$36</definedName>
    <definedName name="С16" localSheetId="0">#REF!</definedName>
    <definedName name="С16" localSheetId="9">#REF!</definedName>
    <definedName name="С16" localSheetId="10">#REF!</definedName>
    <definedName name="С16" localSheetId="1">#REF!</definedName>
    <definedName name="С16" localSheetId="4">#REF!</definedName>
    <definedName name="С16" localSheetId="5">#REF!</definedName>
    <definedName name="С16" localSheetId="6">#REF!</definedName>
    <definedName name="С16" localSheetId="8">#REF!</definedName>
    <definedName name="С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167" l="1"/>
  <c r="I49" i="167"/>
  <c r="J41" i="167"/>
  <c r="I41" i="167"/>
  <c r="K40" i="165"/>
  <c r="K48" i="165"/>
  <c r="F439" i="165" l="1"/>
  <c r="F448" i="165"/>
  <c r="F18" i="165"/>
  <c r="F37" i="165"/>
  <c r="K120" i="165" l="1"/>
  <c r="H279" i="167"/>
  <c r="F312" i="165"/>
  <c r="H179" i="167"/>
  <c r="F197" i="165"/>
  <c r="H49" i="167" l="1"/>
  <c r="F158" i="201"/>
  <c r="E158" i="201"/>
  <c r="F157" i="201"/>
  <c r="E157" i="201"/>
  <c r="D157" i="201"/>
  <c r="F156" i="201"/>
  <c r="E156" i="201"/>
  <c r="D156" i="201"/>
  <c r="F155" i="201"/>
  <c r="E155" i="201"/>
  <c r="D155" i="201"/>
  <c r="F154" i="201"/>
  <c r="E154" i="201"/>
  <c r="D154" i="201"/>
  <c r="F153" i="201"/>
  <c r="E153" i="201"/>
  <c r="F152" i="201"/>
  <c r="E152" i="201"/>
  <c r="D152" i="201"/>
  <c r="F151" i="201"/>
  <c r="E151" i="201"/>
  <c r="D151" i="201"/>
  <c r="F150" i="201"/>
  <c r="E150" i="201"/>
  <c r="D150" i="201"/>
  <c r="F148" i="201"/>
  <c r="E148" i="201"/>
  <c r="D148" i="201"/>
  <c r="F147" i="201"/>
  <c r="E147" i="201"/>
  <c r="D147" i="201"/>
  <c r="F146" i="201"/>
  <c r="E146" i="201"/>
  <c r="D146" i="201"/>
  <c r="F145" i="201"/>
  <c r="E145" i="201"/>
  <c r="F144" i="201"/>
  <c r="E144" i="201"/>
  <c r="D144" i="201"/>
  <c r="F143" i="201"/>
  <c r="E143" i="201"/>
  <c r="D143" i="201"/>
  <c r="F142" i="201"/>
  <c r="E142" i="201"/>
  <c r="D142" i="201"/>
  <c r="F141" i="201"/>
  <c r="E141" i="201"/>
  <c r="D141" i="201"/>
  <c r="F140" i="201"/>
  <c r="E140" i="201"/>
  <c r="F135" i="201"/>
  <c r="E135" i="201"/>
  <c r="D135" i="201"/>
  <c r="F134" i="201"/>
  <c r="E134" i="201"/>
  <c r="F132" i="201"/>
  <c r="E132" i="201"/>
  <c r="D132" i="201"/>
  <c r="F131" i="201"/>
  <c r="E131" i="201"/>
  <c r="F130" i="201"/>
  <c r="E130" i="201"/>
  <c r="D130" i="201"/>
  <c r="F129" i="201"/>
  <c r="E129" i="201"/>
  <c r="D129" i="201"/>
  <c r="F128" i="201"/>
  <c r="E128" i="201"/>
  <c r="D128" i="201"/>
  <c r="F127" i="201"/>
  <c r="E127" i="201"/>
  <c r="D127" i="201"/>
  <c r="F126" i="201"/>
  <c r="E126" i="201"/>
  <c r="D126" i="201"/>
  <c r="F125" i="201"/>
  <c r="E125" i="201"/>
  <c r="F124" i="201"/>
  <c r="E124" i="201"/>
  <c r="D124" i="201"/>
  <c r="F123" i="201"/>
  <c r="E123" i="201"/>
  <c r="D123" i="201"/>
  <c r="F122" i="201"/>
  <c r="E122" i="201"/>
  <c r="D122" i="201"/>
  <c r="F119" i="201"/>
  <c r="E119" i="201"/>
  <c r="F118" i="201"/>
  <c r="E118" i="201"/>
  <c r="D118" i="201"/>
  <c r="F117" i="201"/>
  <c r="E117" i="201"/>
  <c r="F112" i="201"/>
  <c r="D112" i="201"/>
  <c r="F109" i="201"/>
  <c r="E109" i="201"/>
  <c r="D109" i="201"/>
  <c r="D108" i="201"/>
  <c r="F105" i="201"/>
  <c r="E105" i="201"/>
  <c r="D105" i="201"/>
  <c r="F104" i="201"/>
  <c r="E104" i="201"/>
  <c r="D104" i="201"/>
  <c r="F103" i="201"/>
  <c r="E103" i="201"/>
  <c r="F100" i="201"/>
  <c r="E100" i="201"/>
  <c r="D100" i="201"/>
  <c r="F99" i="201"/>
  <c r="D99" i="201"/>
  <c r="F98" i="201"/>
  <c r="E98" i="201"/>
  <c r="D98" i="201"/>
  <c r="F97" i="201"/>
  <c r="D97" i="201"/>
  <c r="F96" i="201"/>
  <c r="D96" i="201"/>
  <c r="F95" i="201"/>
  <c r="D94" i="201"/>
  <c r="F93" i="201"/>
  <c r="E93" i="201"/>
  <c r="D93" i="201"/>
  <c r="F92" i="201"/>
  <c r="E92" i="201"/>
  <c r="D92" i="201"/>
  <c r="F91" i="201"/>
  <c r="E91" i="201"/>
  <c r="F89" i="201"/>
  <c r="E89" i="201"/>
  <c r="D89" i="201"/>
  <c r="F88" i="201"/>
  <c r="E88" i="201"/>
  <c r="D88" i="201"/>
  <c r="F87" i="201"/>
  <c r="E87" i="201"/>
  <c r="F86" i="201"/>
  <c r="E86" i="201"/>
  <c r="F85" i="201"/>
  <c r="E85" i="201"/>
  <c r="F84" i="201"/>
  <c r="E84" i="201"/>
  <c r="F83" i="201"/>
  <c r="E83" i="201"/>
  <c r="D83" i="201"/>
  <c r="F82" i="201"/>
  <c r="E82" i="201"/>
  <c r="F81" i="201"/>
  <c r="E81" i="201"/>
  <c r="D81" i="201"/>
  <c r="F80" i="201"/>
  <c r="E80" i="201"/>
  <c r="D80" i="201"/>
  <c r="F79" i="201"/>
  <c r="E79" i="201"/>
  <c r="D79" i="201"/>
  <c r="F78" i="201"/>
  <c r="E78" i="201"/>
  <c r="F77" i="201"/>
  <c r="E77" i="201"/>
  <c r="F76" i="201"/>
  <c r="E76" i="201"/>
  <c r="D76" i="201"/>
  <c r="F75" i="201"/>
  <c r="E75" i="201"/>
  <c r="D75" i="201"/>
  <c r="F74" i="201"/>
  <c r="E74" i="201"/>
  <c r="F73" i="201"/>
  <c r="E73" i="201"/>
  <c r="D73" i="201"/>
  <c r="F72" i="201"/>
  <c r="E72" i="201"/>
  <c r="F71" i="201"/>
  <c r="E71" i="201"/>
  <c r="F70" i="201"/>
  <c r="E70" i="201"/>
  <c r="D70" i="201"/>
  <c r="F69" i="201"/>
  <c r="E69" i="201"/>
  <c r="D69" i="201"/>
  <c r="F68" i="201"/>
  <c r="E68" i="201"/>
  <c r="F67" i="201"/>
  <c r="E67" i="201"/>
  <c r="F65" i="201"/>
  <c r="D65" i="201"/>
  <c r="F64" i="201"/>
  <c r="E64" i="201"/>
  <c r="D64" i="201"/>
  <c r="F63" i="201"/>
  <c r="E63" i="201"/>
  <c r="D63" i="201"/>
  <c r="F62" i="201"/>
  <c r="F61" i="201"/>
  <c r="D61" i="201"/>
  <c r="F60" i="201"/>
  <c r="E60" i="201"/>
  <c r="D60" i="201"/>
  <c r="F59" i="201"/>
  <c r="E59" i="201"/>
  <c r="F58" i="201"/>
  <c r="E58" i="201"/>
  <c r="F57" i="201"/>
  <c r="E57" i="201"/>
  <c r="F56" i="201"/>
  <c r="E56" i="201"/>
  <c r="F55" i="201"/>
  <c r="E55" i="201"/>
  <c r="F54" i="201"/>
  <c r="E54" i="201"/>
  <c r="F53" i="201"/>
  <c r="E53" i="201"/>
  <c r="D53" i="201"/>
  <c r="F52" i="201"/>
  <c r="E52" i="201"/>
  <c r="F51" i="201"/>
  <c r="E51" i="201"/>
  <c r="D51" i="201"/>
  <c r="F50" i="201"/>
  <c r="E50" i="201"/>
  <c r="D50" i="201"/>
  <c r="F49" i="201"/>
  <c r="E49" i="201"/>
  <c r="D49" i="201"/>
  <c r="F48" i="201"/>
  <c r="E48" i="201"/>
  <c r="F47" i="201"/>
  <c r="E47" i="201"/>
  <c r="F46" i="201"/>
  <c r="E46" i="201"/>
  <c r="F45" i="201"/>
  <c r="E45" i="201"/>
  <c r="F44" i="201"/>
  <c r="E44" i="201"/>
  <c r="F43" i="201"/>
  <c r="E43" i="201"/>
  <c r="D43" i="201"/>
  <c r="F42" i="201"/>
  <c r="E42" i="201"/>
  <c r="D42" i="201"/>
  <c r="F41" i="201"/>
  <c r="E41" i="201"/>
  <c r="F40" i="201"/>
  <c r="E40" i="201"/>
  <c r="F39" i="201"/>
  <c r="E39" i="201"/>
  <c r="D39" i="201"/>
  <c r="F38" i="201"/>
  <c r="E38" i="201"/>
  <c r="F37" i="201"/>
  <c r="E37" i="201"/>
  <c r="F36" i="201"/>
  <c r="E36" i="201"/>
  <c r="F35" i="201"/>
  <c r="E35" i="201"/>
  <c r="F34" i="201"/>
  <c r="E34" i="201"/>
  <c r="F33" i="201"/>
  <c r="E33" i="201"/>
  <c r="F32" i="201"/>
  <c r="F15" i="201" s="1"/>
  <c r="E32" i="201"/>
  <c r="F31" i="201"/>
  <c r="E31" i="201"/>
  <c r="D31" i="201"/>
  <c r="F30" i="201"/>
  <c r="E30" i="201"/>
  <c r="F29" i="201"/>
  <c r="E29" i="201"/>
  <c r="D29" i="201"/>
  <c r="F28" i="201"/>
  <c r="E28" i="201"/>
  <c r="D28" i="201"/>
  <c r="F27" i="201"/>
  <c r="E27" i="201"/>
  <c r="F26" i="201"/>
  <c r="E26" i="201"/>
  <c r="F25" i="201"/>
  <c r="E25" i="201"/>
  <c r="D25" i="201"/>
  <c r="F24" i="201"/>
  <c r="E24" i="201"/>
  <c r="F23" i="201"/>
  <c r="E23" i="201"/>
  <c r="D23" i="201"/>
  <c r="F22" i="201"/>
  <c r="E22" i="201"/>
  <c r="F21" i="201"/>
  <c r="E21" i="201"/>
  <c r="F20" i="201"/>
  <c r="E20" i="201"/>
  <c r="F19" i="201"/>
  <c r="E19" i="201"/>
  <c r="D19" i="201"/>
  <c r="F18" i="201"/>
  <c r="E18" i="201"/>
  <c r="F17" i="201"/>
  <c r="E17" i="201"/>
  <c r="F16" i="201"/>
  <c r="E16" i="201"/>
  <c r="C159" i="201"/>
  <c r="C116" i="201"/>
  <c r="D115" i="201"/>
  <c r="C115" i="201"/>
  <c r="F111" i="201"/>
  <c r="D111" i="201"/>
  <c r="C110" i="201"/>
  <c r="P448" i="165"/>
  <c r="L448" i="165"/>
  <c r="N445" i="200"/>
  <c r="M445" i="200"/>
  <c r="L445" i="200"/>
  <c r="K445" i="200"/>
  <c r="I445" i="200"/>
  <c r="H445" i="200"/>
  <c r="G445" i="200"/>
  <c r="F445" i="200"/>
  <c r="N442" i="200"/>
  <c r="M442" i="200"/>
  <c r="L442" i="200"/>
  <c r="K442" i="200"/>
  <c r="I442" i="200"/>
  <c r="H442" i="200"/>
  <c r="G442" i="200"/>
  <c r="N439" i="200"/>
  <c r="M439" i="200"/>
  <c r="L439" i="200"/>
  <c r="K439" i="200"/>
  <c r="I439" i="200"/>
  <c r="H439" i="200"/>
  <c r="G439" i="200"/>
  <c r="N437" i="200"/>
  <c r="M437" i="200"/>
  <c r="L437" i="200"/>
  <c r="K437" i="200"/>
  <c r="I437" i="200"/>
  <c r="H437" i="200"/>
  <c r="G437" i="200"/>
  <c r="F437" i="200"/>
  <c r="N435" i="200"/>
  <c r="M435" i="200"/>
  <c r="L435" i="200"/>
  <c r="K435" i="200"/>
  <c r="I435" i="200"/>
  <c r="H435" i="200"/>
  <c r="G435" i="200"/>
  <c r="F435" i="200"/>
  <c r="N432" i="200"/>
  <c r="M432" i="200"/>
  <c r="L432" i="200"/>
  <c r="K432" i="200"/>
  <c r="I432" i="200"/>
  <c r="H432" i="200"/>
  <c r="G432" i="200"/>
  <c r="F432" i="200"/>
  <c r="N431" i="200"/>
  <c r="M431" i="200"/>
  <c r="L431" i="200"/>
  <c r="K431" i="200"/>
  <c r="I431" i="200"/>
  <c r="H431" i="200"/>
  <c r="N427" i="200"/>
  <c r="M427" i="200"/>
  <c r="L427" i="200"/>
  <c r="K427" i="200"/>
  <c r="I427" i="200"/>
  <c r="H427" i="200"/>
  <c r="G427" i="200"/>
  <c r="F427" i="200"/>
  <c r="N425" i="200"/>
  <c r="M425" i="200"/>
  <c r="L425" i="200"/>
  <c r="K425" i="200"/>
  <c r="I425" i="200"/>
  <c r="H425" i="200"/>
  <c r="G425" i="200"/>
  <c r="N422" i="200"/>
  <c r="M422" i="200"/>
  <c r="L422" i="200"/>
  <c r="I422" i="200"/>
  <c r="N416" i="200"/>
  <c r="M416" i="200"/>
  <c r="K416" i="200"/>
  <c r="I416" i="200"/>
  <c r="H416" i="200"/>
  <c r="G416" i="200"/>
  <c r="F416" i="200"/>
  <c r="E416" i="200"/>
  <c r="N413" i="200"/>
  <c r="M413" i="200"/>
  <c r="L413" i="200"/>
  <c r="K413" i="200"/>
  <c r="I413" i="200"/>
  <c r="H413" i="200"/>
  <c r="G413" i="200"/>
  <c r="F413" i="200"/>
  <c r="N412" i="200"/>
  <c r="M412" i="200"/>
  <c r="L412" i="200"/>
  <c r="I412" i="200"/>
  <c r="N402" i="200"/>
  <c r="M402" i="200"/>
  <c r="L402" i="200"/>
  <c r="K402" i="200"/>
  <c r="I402" i="200"/>
  <c r="H402" i="200"/>
  <c r="G402" i="200"/>
  <c r="F402" i="200"/>
  <c r="N400" i="200"/>
  <c r="M400" i="200"/>
  <c r="L400" i="200"/>
  <c r="I400" i="200"/>
  <c r="H400" i="200"/>
  <c r="G400" i="200"/>
  <c r="N399" i="200"/>
  <c r="M399" i="200"/>
  <c r="L399" i="200"/>
  <c r="K399" i="200"/>
  <c r="I399" i="200"/>
  <c r="H399" i="200"/>
  <c r="G399" i="200"/>
  <c r="N398" i="200"/>
  <c r="M398" i="200"/>
  <c r="L398" i="200"/>
  <c r="K398" i="200"/>
  <c r="I398" i="200"/>
  <c r="H398" i="200"/>
  <c r="G398" i="200"/>
  <c r="N396" i="200"/>
  <c r="M396" i="200"/>
  <c r="L396" i="200"/>
  <c r="I396" i="200"/>
  <c r="H396" i="200"/>
  <c r="G396" i="200"/>
  <c r="N393" i="200"/>
  <c r="M393" i="200"/>
  <c r="L393" i="200"/>
  <c r="I393" i="200"/>
  <c r="H393" i="200"/>
  <c r="G393" i="200"/>
  <c r="N392" i="200"/>
  <c r="M392" i="200"/>
  <c r="L392" i="200"/>
  <c r="I392" i="200"/>
  <c r="H392" i="200"/>
  <c r="G392" i="200"/>
  <c r="N386" i="200"/>
  <c r="M386" i="200"/>
  <c r="L386" i="200"/>
  <c r="K386" i="200"/>
  <c r="I386" i="200"/>
  <c r="H386" i="200"/>
  <c r="G386" i="200"/>
  <c r="N383" i="200"/>
  <c r="M383" i="200"/>
  <c r="L383" i="200"/>
  <c r="I383" i="200"/>
  <c r="H383" i="200"/>
  <c r="G383" i="200"/>
  <c r="F383" i="200"/>
  <c r="N381" i="200"/>
  <c r="M381" i="200"/>
  <c r="L381" i="200"/>
  <c r="K381" i="200"/>
  <c r="I381" i="200"/>
  <c r="H381" i="200"/>
  <c r="G381" i="200"/>
  <c r="F381" i="200"/>
  <c r="N380" i="200"/>
  <c r="M380" i="200"/>
  <c r="L380" i="200"/>
  <c r="K380" i="200"/>
  <c r="I380" i="200"/>
  <c r="H380" i="200"/>
  <c r="G380" i="200"/>
  <c r="N378" i="200"/>
  <c r="M378" i="200"/>
  <c r="L378" i="200"/>
  <c r="K378" i="200"/>
  <c r="I378" i="200"/>
  <c r="H378" i="200"/>
  <c r="G378" i="200"/>
  <c r="N374" i="200"/>
  <c r="M374" i="200"/>
  <c r="L374" i="200"/>
  <c r="K374" i="200"/>
  <c r="I374" i="200"/>
  <c r="H374" i="200"/>
  <c r="G374" i="200"/>
  <c r="F374" i="200"/>
  <c r="N373" i="200"/>
  <c r="M373" i="200"/>
  <c r="L373" i="200"/>
  <c r="K373" i="200"/>
  <c r="I373" i="200"/>
  <c r="H373" i="200"/>
  <c r="N368" i="200"/>
  <c r="M368" i="200"/>
  <c r="L368" i="200"/>
  <c r="I368" i="200"/>
  <c r="H368" i="200"/>
  <c r="G368" i="200"/>
  <c r="F368" i="200"/>
  <c r="N365" i="200"/>
  <c r="M365" i="200"/>
  <c r="L365" i="200"/>
  <c r="K365" i="200"/>
  <c r="I365" i="200"/>
  <c r="H365" i="200"/>
  <c r="G365" i="200"/>
  <c r="F365" i="200"/>
  <c r="N364" i="200"/>
  <c r="M364" i="200"/>
  <c r="L364" i="200"/>
  <c r="K364" i="200"/>
  <c r="I364" i="200"/>
  <c r="H364" i="200"/>
  <c r="G364" i="200"/>
  <c r="F364" i="200"/>
  <c r="N363" i="200"/>
  <c r="M363" i="200"/>
  <c r="L363" i="200"/>
  <c r="I363" i="200"/>
  <c r="N353" i="200"/>
  <c r="M353" i="200"/>
  <c r="L353" i="200"/>
  <c r="I353" i="200"/>
  <c r="H353" i="200"/>
  <c r="G353" i="200"/>
  <c r="F353" i="200"/>
  <c r="N350" i="200"/>
  <c r="M350" i="200"/>
  <c r="L350" i="200"/>
  <c r="I350" i="200"/>
  <c r="H350" i="200"/>
  <c r="G350" i="200"/>
  <c r="F350" i="200"/>
  <c r="P347" i="200"/>
  <c r="O347" i="200"/>
  <c r="N347" i="200"/>
  <c r="M347" i="200"/>
  <c r="L347" i="200"/>
  <c r="K347" i="200"/>
  <c r="J347" i="200"/>
  <c r="I347" i="200"/>
  <c r="H347" i="200"/>
  <c r="G347" i="200"/>
  <c r="F347" i="200"/>
  <c r="E347" i="200"/>
  <c r="N346" i="200"/>
  <c r="M346" i="200"/>
  <c r="L346" i="200"/>
  <c r="I346" i="200"/>
  <c r="H346" i="200"/>
  <c r="G346" i="200"/>
  <c r="F346" i="200"/>
  <c r="N343" i="200"/>
  <c r="M343" i="200"/>
  <c r="L343" i="200"/>
  <c r="I343" i="200"/>
  <c r="H343" i="200"/>
  <c r="G343" i="200"/>
  <c r="F343" i="200"/>
  <c r="N341" i="200"/>
  <c r="M341" i="200"/>
  <c r="L341" i="200"/>
  <c r="I341" i="200"/>
  <c r="H341" i="200"/>
  <c r="G341" i="200"/>
  <c r="F341" i="200"/>
  <c r="N339" i="200"/>
  <c r="M339" i="200"/>
  <c r="L339" i="200"/>
  <c r="K339" i="200"/>
  <c r="I339" i="200"/>
  <c r="H339" i="200"/>
  <c r="G339" i="200"/>
  <c r="F339" i="200"/>
  <c r="N338" i="200"/>
  <c r="M338" i="200"/>
  <c r="L338" i="200"/>
  <c r="K338" i="200"/>
  <c r="I338" i="200"/>
  <c r="H338" i="200"/>
  <c r="G338" i="200"/>
  <c r="F338" i="200"/>
  <c r="N337" i="200"/>
  <c r="M337" i="200"/>
  <c r="L337" i="200"/>
  <c r="K337" i="200"/>
  <c r="I337" i="200"/>
  <c r="N333" i="200"/>
  <c r="M333" i="200"/>
  <c r="L333" i="200"/>
  <c r="K333" i="200"/>
  <c r="I333" i="200"/>
  <c r="H333" i="200"/>
  <c r="G333" i="200"/>
  <c r="N330" i="200"/>
  <c r="M330" i="200"/>
  <c r="L330" i="200"/>
  <c r="K330" i="200"/>
  <c r="I330" i="200"/>
  <c r="N329" i="200"/>
  <c r="M329" i="200"/>
  <c r="L329" i="200"/>
  <c r="K329" i="200"/>
  <c r="I329" i="200"/>
  <c r="G329" i="200"/>
  <c r="N328" i="200"/>
  <c r="M328" i="200"/>
  <c r="L328" i="200"/>
  <c r="K328" i="200"/>
  <c r="I328" i="200"/>
  <c r="H328" i="200"/>
  <c r="G328" i="200"/>
  <c r="F328" i="200"/>
  <c r="N323" i="200"/>
  <c r="M323" i="200"/>
  <c r="K323" i="200"/>
  <c r="I323" i="200"/>
  <c r="H323" i="200"/>
  <c r="G323" i="200"/>
  <c r="F323" i="200"/>
  <c r="E323" i="200"/>
  <c r="N321" i="200"/>
  <c r="M321" i="200"/>
  <c r="L321" i="200"/>
  <c r="I321" i="200"/>
  <c r="H321" i="200"/>
  <c r="G321" i="200"/>
  <c r="F321" i="200"/>
  <c r="N320" i="200"/>
  <c r="M320" i="200"/>
  <c r="L320" i="200"/>
  <c r="K320" i="200"/>
  <c r="I320" i="200"/>
  <c r="H320" i="200"/>
  <c r="G320" i="200"/>
  <c r="F320" i="200"/>
  <c r="N318" i="200"/>
  <c r="M318" i="200"/>
  <c r="L318" i="200"/>
  <c r="I318" i="200"/>
  <c r="H318" i="200"/>
  <c r="G318" i="200"/>
  <c r="N314" i="200"/>
  <c r="M314" i="200"/>
  <c r="L314" i="200"/>
  <c r="I314" i="200"/>
  <c r="H314" i="200"/>
  <c r="G314" i="200"/>
  <c r="F314" i="200"/>
  <c r="N313" i="200"/>
  <c r="M313" i="200"/>
  <c r="L313" i="200"/>
  <c r="K313" i="200"/>
  <c r="I313" i="200"/>
  <c r="H313" i="200"/>
  <c r="G313" i="200"/>
  <c r="F313" i="200"/>
  <c r="N312" i="200"/>
  <c r="M312" i="200"/>
  <c r="L312" i="200"/>
  <c r="K312" i="200"/>
  <c r="I312" i="200"/>
  <c r="H312" i="200"/>
  <c r="G312" i="200"/>
  <c r="N311" i="200"/>
  <c r="M311" i="200"/>
  <c r="L311" i="200"/>
  <c r="K311" i="200"/>
  <c r="I311" i="200"/>
  <c r="H311" i="200"/>
  <c r="G311" i="200"/>
  <c r="N310" i="200"/>
  <c r="M310" i="200"/>
  <c r="L310" i="200"/>
  <c r="K310" i="200"/>
  <c r="I310" i="200"/>
  <c r="H310" i="200"/>
  <c r="G310" i="200"/>
  <c r="F310" i="200"/>
  <c r="N309" i="200"/>
  <c r="M309" i="200"/>
  <c r="L309" i="200"/>
  <c r="I309" i="200"/>
  <c r="H309" i="200"/>
  <c r="G309" i="200"/>
  <c r="N308" i="200"/>
  <c r="M308" i="200"/>
  <c r="L308" i="200"/>
  <c r="K308" i="200"/>
  <c r="I308" i="200"/>
  <c r="H308" i="200"/>
  <c r="G308" i="200"/>
  <c r="N305" i="200"/>
  <c r="M305" i="200"/>
  <c r="L305" i="200"/>
  <c r="K305" i="200"/>
  <c r="I305" i="200"/>
  <c r="H305" i="200"/>
  <c r="G305" i="200"/>
  <c r="F305" i="200"/>
  <c r="N304" i="200"/>
  <c r="M304" i="200"/>
  <c r="L304" i="200"/>
  <c r="K304" i="200"/>
  <c r="I304" i="200"/>
  <c r="H304" i="200"/>
  <c r="G304" i="200"/>
  <c r="F304" i="200"/>
  <c r="N303" i="200"/>
  <c r="M303" i="200"/>
  <c r="L303" i="200"/>
  <c r="I303" i="200"/>
  <c r="N297" i="200"/>
  <c r="M297" i="200"/>
  <c r="L297" i="200"/>
  <c r="K297" i="200"/>
  <c r="I297" i="200"/>
  <c r="H297" i="200"/>
  <c r="G297" i="200"/>
  <c r="P294" i="200"/>
  <c r="O294" i="200"/>
  <c r="N294" i="200"/>
  <c r="M294" i="200"/>
  <c r="L294" i="200"/>
  <c r="K294" i="200"/>
  <c r="J294" i="200"/>
  <c r="I294" i="200"/>
  <c r="H294" i="200"/>
  <c r="G294" i="200"/>
  <c r="F294" i="200"/>
  <c r="E294" i="200"/>
  <c r="N293" i="200"/>
  <c r="M293" i="200"/>
  <c r="L293" i="200"/>
  <c r="K293" i="200"/>
  <c r="I293" i="200"/>
  <c r="H293" i="200"/>
  <c r="G293" i="200"/>
  <c r="F293" i="200"/>
  <c r="N291" i="200"/>
  <c r="M291" i="200"/>
  <c r="L291" i="200"/>
  <c r="I291" i="200"/>
  <c r="H291" i="200"/>
  <c r="G291" i="200"/>
  <c r="F291" i="200"/>
  <c r="N290" i="200"/>
  <c r="M290" i="200"/>
  <c r="L290" i="200"/>
  <c r="K290" i="200"/>
  <c r="I290" i="200"/>
  <c r="H290" i="200"/>
  <c r="G290" i="200"/>
  <c r="N288" i="200"/>
  <c r="M288" i="200"/>
  <c r="L288" i="200"/>
  <c r="K288" i="200"/>
  <c r="I288" i="200"/>
  <c r="H288" i="200"/>
  <c r="G288" i="200"/>
  <c r="F288" i="200"/>
  <c r="N285" i="200"/>
  <c r="M285" i="200"/>
  <c r="L285" i="200"/>
  <c r="I285" i="200"/>
  <c r="H285" i="200"/>
  <c r="G285" i="200"/>
  <c r="F285" i="200"/>
  <c r="N284" i="200"/>
  <c r="M284" i="200"/>
  <c r="L284" i="200"/>
  <c r="I284" i="200"/>
  <c r="H284" i="200"/>
  <c r="G284" i="200"/>
  <c r="N283" i="200"/>
  <c r="M283" i="200"/>
  <c r="L283" i="200"/>
  <c r="I283" i="200"/>
  <c r="H283" i="200"/>
  <c r="G283" i="200"/>
  <c r="N282" i="200"/>
  <c r="M282" i="200"/>
  <c r="L282" i="200"/>
  <c r="K282" i="200"/>
  <c r="I282" i="200"/>
  <c r="H282" i="200"/>
  <c r="G282" i="200"/>
  <c r="N281" i="200"/>
  <c r="M281" i="200"/>
  <c r="L281" i="200"/>
  <c r="K281" i="200"/>
  <c r="I281" i="200"/>
  <c r="H281" i="200"/>
  <c r="G281" i="200"/>
  <c r="F281" i="200"/>
  <c r="N280" i="200"/>
  <c r="M280" i="200"/>
  <c r="L280" i="200"/>
  <c r="I280" i="200"/>
  <c r="H280" i="200"/>
  <c r="G280" i="200"/>
  <c r="F280" i="200"/>
  <c r="N279" i="200"/>
  <c r="M279" i="200"/>
  <c r="L279" i="200"/>
  <c r="K279" i="200"/>
  <c r="I279" i="200"/>
  <c r="H279" i="200"/>
  <c r="G279" i="200"/>
  <c r="F279" i="200"/>
  <c r="N278" i="200"/>
  <c r="M278" i="200"/>
  <c r="L278" i="200"/>
  <c r="I278" i="200"/>
  <c r="H278" i="200"/>
  <c r="G278" i="200"/>
  <c r="N275" i="200"/>
  <c r="M275" i="200"/>
  <c r="L275" i="200"/>
  <c r="I275" i="200"/>
  <c r="H275" i="200"/>
  <c r="G275" i="200"/>
  <c r="F275" i="200"/>
  <c r="O273" i="200"/>
  <c r="N273" i="200"/>
  <c r="M273" i="200"/>
  <c r="L273" i="200"/>
  <c r="K273" i="200"/>
  <c r="I273" i="200"/>
  <c r="H273" i="200"/>
  <c r="G273" i="200"/>
  <c r="F273" i="200"/>
  <c r="N272" i="200"/>
  <c r="M272" i="200"/>
  <c r="L272" i="200"/>
  <c r="K272" i="200"/>
  <c r="I272" i="200"/>
  <c r="H272" i="200"/>
  <c r="G272" i="200"/>
  <c r="F272" i="200"/>
  <c r="N271" i="200"/>
  <c r="M271" i="200"/>
  <c r="L271" i="200"/>
  <c r="K271" i="200"/>
  <c r="I271" i="200"/>
  <c r="H271" i="200"/>
  <c r="N264" i="200"/>
  <c r="M264" i="200"/>
  <c r="L264" i="200"/>
  <c r="K264" i="200"/>
  <c r="I264" i="200"/>
  <c r="H264" i="200"/>
  <c r="G264" i="200"/>
  <c r="F264" i="200"/>
  <c r="N263" i="200"/>
  <c r="M263" i="200"/>
  <c r="L263" i="200"/>
  <c r="K263" i="200"/>
  <c r="I263" i="200"/>
  <c r="H263" i="200"/>
  <c r="G263" i="200"/>
  <c r="F263" i="200"/>
  <c r="N261" i="200"/>
  <c r="M261" i="200"/>
  <c r="L261" i="200"/>
  <c r="I261" i="200"/>
  <c r="H261" i="200"/>
  <c r="G261" i="200"/>
  <c r="F261" i="200"/>
  <c r="N257" i="200"/>
  <c r="M257" i="200"/>
  <c r="L257" i="200"/>
  <c r="K257" i="200"/>
  <c r="I257" i="200"/>
  <c r="H257" i="200"/>
  <c r="G257" i="200"/>
  <c r="F257" i="200"/>
  <c r="N254" i="200"/>
  <c r="M254" i="200"/>
  <c r="L254" i="200"/>
  <c r="K254" i="200"/>
  <c r="I254" i="200"/>
  <c r="H254" i="200"/>
  <c r="G254" i="200"/>
  <c r="F254" i="200"/>
  <c r="N253" i="200"/>
  <c r="M253" i="200"/>
  <c r="L253" i="200"/>
  <c r="I253" i="200"/>
  <c r="H253" i="200"/>
  <c r="N252" i="200"/>
  <c r="M252" i="200"/>
  <c r="L252" i="200"/>
  <c r="K252" i="200"/>
  <c r="I252" i="200"/>
  <c r="H252" i="200"/>
  <c r="G252" i="200"/>
  <c r="N251" i="200"/>
  <c r="M251" i="200"/>
  <c r="L251" i="200"/>
  <c r="K251" i="200"/>
  <c r="I251" i="200"/>
  <c r="H251" i="200"/>
  <c r="G251" i="200"/>
  <c r="N249" i="200"/>
  <c r="M249" i="200"/>
  <c r="L249" i="200"/>
  <c r="K249" i="200"/>
  <c r="I249" i="200"/>
  <c r="H249" i="200"/>
  <c r="N247" i="200"/>
  <c r="M247" i="200"/>
  <c r="L247" i="200"/>
  <c r="K247" i="200"/>
  <c r="I247" i="200"/>
  <c r="H247" i="200"/>
  <c r="G247" i="200"/>
  <c r="N246" i="200"/>
  <c r="M246" i="200"/>
  <c r="I246" i="200"/>
  <c r="N244" i="200"/>
  <c r="M244" i="200"/>
  <c r="L244" i="200"/>
  <c r="K244" i="200"/>
  <c r="I244" i="200"/>
  <c r="H244" i="200"/>
  <c r="G244" i="200"/>
  <c r="F244" i="200"/>
  <c r="N242" i="200"/>
  <c r="M242" i="200"/>
  <c r="L242" i="200"/>
  <c r="K242" i="200"/>
  <c r="I242" i="200"/>
  <c r="H242" i="200"/>
  <c r="G242" i="200"/>
  <c r="N241" i="200"/>
  <c r="M241" i="200"/>
  <c r="L241" i="200"/>
  <c r="K241" i="200"/>
  <c r="I241" i="200"/>
  <c r="H241" i="200"/>
  <c r="G241" i="200"/>
  <c r="N238" i="200"/>
  <c r="M238" i="200"/>
  <c r="L238" i="200"/>
  <c r="K238" i="200"/>
  <c r="I238" i="200"/>
  <c r="N237" i="200"/>
  <c r="M237" i="200"/>
  <c r="I237" i="200"/>
  <c r="G237" i="200"/>
  <c r="N235" i="200"/>
  <c r="M235" i="200"/>
  <c r="L235" i="200"/>
  <c r="K235" i="200"/>
  <c r="I235" i="200"/>
  <c r="N225" i="200"/>
  <c r="M225" i="200"/>
  <c r="L225" i="200"/>
  <c r="K225" i="200"/>
  <c r="I225" i="200"/>
  <c r="H225" i="200"/>
  <c r="G225" i="200"/>
  <c r="N221" i="200"/>
  <c r="M221" i="200"/>
  <c r="L221" i="200"/>
  <c r="I221" i="200"/>
  <c r="H221" i="200"/>
  <c r="G221" i="200"/>
  <c r="N220" i="200"/>
  <c r="M220" i="200"/>
  <c r="L220" i="200"/>
  <c r="K220" i="200"/>
  <c r="I220" i="200"/>
  <c r="N218" i="200"/>
  <c r="M218" i="200"/>
  <c r="L218" i="200"/>
  <c r="K218" i="200"/>
  <c r="I218" i="200"/>
  <c r="H218" i="200"/>
  <c r="G218" i="200"/>
  <c r="F218" i="200"/>
  <c r="N217" i="200"/>
  <c r="M217" i="200"/>
  <c r="L217" i="200"/>
  <c r="K217" i="200"/>
  <c r="I217" i="200"/>
  <c r="N216" i="200"/>
  <c r="M216" i="200"/>
  <c r="L216" i="200"/>
  <c r="K216" i="200"/>
  <c r="I216" i="200"/>
  <c r="N215" i="200"/>
  <c r="M215" i="200"/>
  <c r="L215" i="200"/>
  <c r="I215" i="200"/>
  <c r="N213" i="200"/>
  <c r="M213" i="200"/>
  <c r="L213" i="200"/>
  <c r="I213" i="200"/>
  <c r="N202" i="200"/>
  <c r="M202" i="200"/>
  <c r="L202" i="200"/>
  <c r="I202" i="200"/>
  <c r="H202" i="200"/>
  <c r="G202" i="200"/>
  <c r="F202" i="200"/>
  <c r="N199" i="200"/>
  <c r="M199" i="200"/>
  <c r="L199" i="200"/>
  <c r="I199" i="200"/>
  <c r="H199" i="200"/>
  <c r="G199" i="200"/>
  <c r="F199" i="200"/>
  <c r="N198" i="200"/>
  <c r="M198" i="200"/>
  <c r="L198" i="200"/>
  <c r="I198" i="200"/>
  <c r="H198" i="200"/>
  <c r="G198" i="200"/>
  <c r="F198" i="200"/>
  <c r="N197" i="200"/>
  <c r="M197" i="200"/>
  <c r="L197" i="200"/>
  <c r="I197" i="200"/>
  <c r="H197" i="200"/>
  <c r="G197" i="200"/>
  <c r="I196" i="200"/>
  <c r="N194" i="200"/>
  <c r="M194" i="200"/>
  <c r="L194" i="200"/>
  <c r="I194" i="200"/>
  <c r="H194" i="200"/>
  <c r="G194" i="200"/>
  <c r="F194" i="200"/>
  <c r="N192" i="200"/>
  <c r="M192" i="200"/>
  <c r="L192" i="200"/>
  <c r="K192" i="200"/>
  <c r="I192" i="200"/>
  <c r="H192" i="200"/>
  <c r="G192" i="200"/>
  <c r="F192" i="200"/>
  <c r="P191" i="200"/>
  <c r="O191" i="200"/>
  <c r="N191" i="200"/>
  <c r="M191" i="200"/>
  <c r="L191" i="200"/>
  <c r="K191" i="200"/>
  <c r="J191" i="200"/>
  <c r="I191" i="200"/>
  <c r="H191" i="200"/>
  <c r="G191" i="200"/>
  <c r="F191" i="200"/>
  <c r="E191" i="200"/>
  <c r="P190" i="200"/>
  <c r="O190" i="200"/>
  <c r="N190" i="200"/>
  <c r="M190" i="200"/>
  <c r="L190" i="200"/>
  <c r="K190" i="200"/>
  <c r="J190" i="200"/>
  <c r="I190" i="200"/>
  <c r="H190" i="200"/>
  <c r="G190" i="200"/>
  <c r="F190" i="200"/>
  <c r="E190" i="200"/>
  <c r="N189" i="200"/>
  <c r="M189" i="200"/>
  <c r="L189" i="200"/>
  <c r="K189" i="200"/>
  <c r="I189" i="200"/>
  <c r="H189" i="200"/>
  <c r="G189" i="200"/>
  <c r="F189" i="200"/>
  <c r="P188" i="200"/>
  <c r="O188" i="200"/>
  <c r="N188" i="200"/>
  <c r="M188" i="200"/>
  <c r="L188" i="200"/>
  <c r="K188" i="200"/>
  <c r="J188" i="200"/>
  <c r="I188" i="200"/>
  <c r="H188" i="200"/>
  <c r="G188" i="200"/>
  <c r="F188" i="200"/>
  <c r="E188" i="200"/>
  <c r="P187" i="200"/>
  <c r="O187" i="200"/>
  <c r="N187" i="200"/>
  <c r="M187" i="200"/>
  <c r="L187" i="200"/>
  <c r="K187" i="200"/>
  <c r="J187" i="200"/>
  <c r="I187" i="200"/>
  <c r="H187" i="200"/>
  <c r="G187" i="200"/>
  <c r="F187" i="200"/>
  <c r="E187" i="200"/>
  <c r="N186" i="200"/>
  <c r="M186" i="200"/>
  <c r="L186" i="200"/>
  <c r="K186" i="200"/>
  <c r="I186" i="200"/>
  <c r="H186" i="200"/>
  <c r="G186" i="200"/>
  <c r="F186" i="200"/>
  <c r="P185" i="200"/>
  <c r="O185" i="200"/>
  <c r="N185" i="200"/>
  <c r="M185" i="200"/>
  <c r="L185" i="200"/>
  <c r="K185" i="200"/>
  <c r="J185" i="200"/>
  <c r="I185" i="200"/>
  <c r="H185" i="200"/>
  <c r="G185" i="200"/>
  <c r="F185" i="200"/>
  <c r="E185" i="200"/>
  <c r="N184" i="200"/>
  <c r="M184" i="200"/>
  <c r="L184" i="200"/>
  <c r="K184" i="200"/>
  <c r="I184" i="200"/>
  <c r="H184" i="200"/>
  <c r="G184" i="200"/>
  <c r="F184" i="200"/>
  <c r="P183" i="200"/>
  <c r="O183" i="200"/>
  <c r="N183" i="200"/>
  <c r="M183" i="200"/>
  <c r="L183" i="200"/>
  <c r="K183" i="200"/>
  <c r="J183" i="200"/>
  <c r="I183" i="200"/>
  <c r="H183" i="200"/>
  <c r="G183" i="200"/>
  <c r="F183" i="200"/>
  <c r="E183" i="200"/>
  <c r="P182" i="200"/>
  <c r="O182" i="200"/>
  <c r="N182" i="200"/>
  <c r="M182" i="200"/>
  <c r="L182" i="200"/>
  <c r="K182" i="200"/>
  <c r="J182" i="200"/>
  <c r="I182" i="200"/>
  <c r="H182" i="200"/>
  <c r="G182" i="200"/>
  <c r="F182" i="200"/>
  <c r="E182" i="200"/>
  <c r="P181" i="200"/>
  <c r="O181" i="200"/>
  <c r="N181" i="200"/>
  <c r="M181" i="200"/>
  <c r="L181" i="200"/>
  <c r="K181" i="200"/>
  <c r="J181" i="200"/>
  <c r="I181" i="200"/>
  <c r="H181" i="200"/>
  <c r="G181" i="200"/>
  <c r="F181" i="200"/>
  <c r="E181" i="200"/>
  <c r="N180" i="200"/>
  <c r="M180" i="200"/>
  <c r="L180" i="200"/>
  <c r="K180" i="200"/>
  <c r="I180" i="200"/>
  <c r="H180" i="200"/>
  <c r="G180" i="200"/>
  <c r="F180" i="200"/>
  <c r="N178" i="200"/>
  <c r="M178" i="200"/>
  <c r="L178" i="200"/>
  <c r="K178" i="200"/>
  <c r="I178" i="200"/>
  <c r="H178" i="200"/>
  <c r="G178" i="200"/>
  <c r="F178" i="200"/>
  <c r="N177" i="200"/>
  <c r="M177" i="200"/>
  <c r="L177" i="200"/>
  <c r="K177" i="200"/>
  <c r="I177" i="200"/>
  <c r="H177" i="200"/>
  <c r="G177" i="200"/>
  <c r="N175" i="200"/>
  <c r="M175" i="200"/>
  <c r="L175" i="200"/>
  <c r="K175" i="200"/>
  <c r="I175" i="200"/>
  <c r="H175" i="200"/>
  <c r="G175" i="200"/>
  <c r="F175" i="200"/>
  <c r="N174" i="200"/>
  <c r="M174" i="200"/>
  <c r="L174" i="200"/>
  <c r="K174" i="200"/>
  <c r="I174" i="200"/>
  <c r="H174" i="200"/>
  <c r="G174" i="200"/>
  <c r="F174" i="200"/>
  <c r="N172" i="200"/>
  <c r="M172" i="200"/>
  <c r="L172" i="200"/>
  <c r="K172" i="200"/>
  <c r="I172" i="200"/>
  <c r="H172" i="200"/>
  <c r="G172" i="200"/>
  <c r="F172" i="200"/>
  <c r="N171" i="200"/>
  <c r="M171" i="200"/>
  <c r="L171" i="200"/>
  <c r="K171" i="200"/>
  <c r="I171" i="200"/>
  <c r="H171" i="200"/>
  <c r="G171" i="200"/>
  <c r="N170" i="200"/>
  <c r="M170" i="200"/>
  <c r="L170" i="200"/>
  <c r="I170" i="200"/>
  <c r="N168" i="200"/>
  <c r="M168" i="200"/>
  <c r="L168" i="200"/>
  <c r="K168" i="200"/>
  <c r="I168" i="200"/>
  <c r="H168" i="200"/>
  <c r="G168" i="200"/>
  <c r="F168" i="200"/>
  <c r="N166" i="200"/>
  <c r="M166" i="200"/>
  <c r="L166" i="200"/>
  <c r="I166" i="200"/>
  <c r="M165" i="200"/>
  <c r="L165" i="200"/>
  <c r="K165" i="200"/>
  <c r="I165" i="200"/>
  <c r="N163" i="200"/>
  <c r="M163" i="200"/>
  <c r="L163" i="200"/>
  <c r="K163" i="200"/>
  <c r="I163" i="200"/>
  <c r="H163" i="200"/>
  <c r="G163" i="200"/>
  <c r="F163" i="200"/>
  <c r="N162" i="200"/>
  <c r="M162" i="200"/>
  <c r="L162" i="200"/>
  <c r="K162" i="200"/>
  <c r="I162" i="200"/>
  <c r="H162" i="200"/>
  <c r="G162" i="200"/>
  <c r="F162" i="200"/>
  <c r="N161" i="200"/>
  <c r="M161" i="200"/>
  <c r="L161" i="200"/>
  <c r="K161" i="200"/>
  <c r="I161" i="200"/>
  <c r="H161" i="200"/>
  <c r="G161" i="200"/>
  <c r="F161" i="200"/>
  <c r="N160" i="200"/>
  <c r="M160" i="200"/>
  <c r="L160" i="200"/>
  <c r="K160" i="200"/>
  <c r="I160" i="200"/>
  <c r="H160" i="200"/>
  <c r="G160" i="200"/>
  <c r="N159" i="200"/>
  <c r="M159" i="200"/>
  <c r="L159" i="200"/>
  <c r="K159" i="200"/>
  <c r="I159" i="200"/>
  <c r="H159" i="200"/>
  <c r="G159" i="200"/>
  <c r="F159" i="200"/>
  <c r="N158" i="200"/>
  <c r="M158" i="200"/>
  <c r="L158" i="200"/>
  <c r="K158" i="200"/>
  <c r="I158" i="200"/>
  <c r="H158" i="200"/>
  <c r="G158" i="200"/>
  <c r="F158" i="200"/>
  <c r="N157" i="200"/>
  <c r="M157" i="200"/>
  <c r="L157" i="200"/>
  <c r="K157" i="200"/>
  <c r="I157" i="200"/>
  <c r="H157" i="200"/>
  <c r="G157" i="200"/>
  <c r="F157" i="200"/>
  <c r="N156" i="200"/>
  <c r="M156" i="200"/>
  <c r="L156" i="200"/>
  <c r="K156" i="200"/>
  <c r="I156" i="200"/>
  <c r="H156" i="200"/>
  <c r="G156" i="200"/>
  <c r="O153" i="200"/>
  <c r="N153" i="200"/>
  <c r="M153" i="200"/>
  <c r="L153" i="200"/>
  <c r="K153" i="200"/>
  <c r="I153" i="200"/>
  <c r="H153" i="200"/>
  <c r="G153" i="200"/>
  <c r="F153" i="200"/>
  <c r="N152" i="200"/>
  <c r="M152" i="200"/>
  <c r="L152" i="200"/>
  <c r="K152" i="200"/>
  <c r="I152" i="200"/>
  <c r="H152" i="200"/>
  <c r="G152" i="200"/>
  <c r="F152" i="200"/>
  <c r="N151" i="200"/>
  <c r="M151" i="200"/>
  <c r="L151" i="200"/>
  <c r="I151" i="200"/>
  <c r="H151" i="200"/>
  <c r="N147" i="200"/>
  <c r="M147" i="200"/>
  <c r="L147" i="200"/>
  <c r="K147" i="200"/>
  <c r="I147" i="200"/>
  <c r="H147" i="200"/>
  <c r="G147" i="200"/>
  <c r="F147" i="200"/>
  <c r="N143" i="200"/>
  <c r="M143" i="200"/>
  <c r="L143" i="200"/>
  <c r="I143" i="200"/>
  <c r="H143" i="200"/>
  <c r="G143" i="200"/>
  <c r="F143" i="200"/>
  <c r="N138" i="200"/>
  <c r="M138" i="200"/>
  <c r="L138" i="200"/>
  <c r="K138" i="200"/>
  <c r="I138" i="200"/>
  <c r="H138" i="200"/>
  <c r="G138" i="200"/>
  <c r="F138" i="200"/>
  <c r="O137" i="200"/>
  <c r="N137" i="200"/>
  <c r="M137" i="200"/>
  <c r="L137" i="200"/>
  <c r="K137" i="200"/>
  <c r="I137" i="200"/>
  <c r="H137" i="200"/>
  <c r="G137" i="200"/>
  <c r="F137" i="200"/>
  <c r="N134" i="200"/>
  <c r="M134" i="200"/>
  <c r="L134" i="200"/>
  <c r="I134" i="200"/>
  <c r="H134" i="200"/>
  <c r="G134" i="200"/>
  <c r="F134" i="200"/>
  <c r="N133" i="200"/>
  <c r="M133" i="200"/>
  <c r="L133" i="200"/>
  <c r="I133" i="200"/>
  <c r="H133" i="200"/>
  <c r="G133" i="200"/>
  <c r="F133" i="200"/>
  <c r="N131" i="200"/>
  <c r="M131" i="200"/>
  <c r="L131" i="200"/>
  <c r="K131" i="200"/>
  <c r="I131" i="200"/>
  <c r="H131" i="200"/>
  <c r="G131" i="200"/>
  <c r="F131" i="200"/>
  <c r="N130" i="200"/>
  <c r="M130" i="200"/>
  <c r="L130" i="200"/>
  <c r="K130" i="200"/>
  <c r="I130" i="200"/>
  <c r="H130" i="200"/>
  <c r="G130" i="200"/>
  <c r="F130" i="200"/>
  <c r="N128" i="200"/>
  <c r="M128" i="200"/>
  <c r="L128" i="200"/>
  <c r="K128" i="200"/>
  <c r="I128" i="200"/>
  <c r="H128" i="200"/>
  <c r="G128" i="200"/>
  <c r="F128" i="200"/>
  <c r="N126" i="200"/>
  <c r="M126" i="200"/>
  <c r="L126" i="200"/>
  <c r="I126" i="200"/>
  <c r="H126" i="200"/>
  <c r="G126" i="200"/>
  <c r="N124" i="200"/>
  <c r="M124" i="200"/>
  <c r="L124" i="200"/>
  <c r="I124" i="200"/>
  <c r="H124" i="200"/>
  <c r="G124" i="200"/>
  <c r="N123" i="200"/>
  <c r="M123" i="200"/>
  <c r="L123" i="200"/>
  <c r="I123" i="200"/>
  <c r="H123" i="200"/>
  <c r="G123" i="200"/>
  <c r="N122" i="200"/>
  <c r="M122" i="200"/>
  <c r="L122" i="200"/>
  <c r="I122" i="200"/>
  <c r="H122" i="200"/>
  <c r="G122" i="200"/>
  <c r="N121" i="200"/>
  <c r="M121" i="200"/>
  <c r="L121" i="200"/>
  <c r="K121" i="200"/>
  <c r="I121" i="200"/>
  <c r="H121" i="200"/>
  <c r="G121" i="200"/>
  <c r="N120" i="200"/>
  <c r="M120" i="200"/>
  <c r="L120" i="200"/>
  <c r="I120" i="200"/>
  <c r="H120" i="200"/>
  <c r="G120" i="200"/>
  <c r="N118" i="200"/>
  <c r="M118" i="200"/>
  <c r="L118" i="200"/>
  <c r="K118" i="200"/>
  <c r="I118" i="200"/>
  <c r="H118" i="200"/>
  <c r="G118" i="200"/>
  <c r="F118" i="200"/>
  <c r="N117" i="200"/>
  <c r="M117" i="200"/>
  <c r="L117" i="200"/>
  <c r="K117" i="200"/>
  <c r="I117" i="200"/>
  <c r="H117" i="200"/>
  <c r="N108" i="200"/>
  <c r="M108" i="200"/>
  <c r="L108" i="200"/>
  <c r="K108" i="200"/>
  <c r="I108" i="200"/>
  <c r="H108" i="200"/>
  <c r="G108" i="200"/>
  <c r="F108" i="200"/>
  <c r="N105" i="200"/>
  <c r="M105" i="200"/>
  <c r="L105" i="200"/>
  <c r="I105" i="200"/>
  <c r="H105" i="200"/>
  <c r="G105" i="200"/>
  <c r="F105" i="200"/>
  <c r="N103" i="200"/>
  <c r="M103" i="200"/>
  <c r="L103" i="200"/>
  <c r="I103" i="200"/>
  <c r="H103" i="200"/>
  <c r="G103" i="200"/>
  <c r="F103" i="200"/>
  <c r="N100" i="200"/>
  <c r="M100" i="200"/>
  <c r="L100" i="200"/>
  <c r="K100" i="200"/>
  <c r="I100" i="200"/>
  <c r="H100" i="200"/>
  <c r="G100" i="200"/>
  <c r="F100" i="200"/>
  <c r="N99" i="200"/>
  <c r="M99" i="200"/>
  <c r="L99" i="200"/>
  <c r="K99" i="200"/>
  <c r="I99" i="200"/>
  <c r="H99" i="200"/>
  <c r="G99" i="200"/>
  <c r="F99" i="200"/>
  <c r="N97" i="200"/>
  <c r="M97" i="200"/>
  <c r="L97" i="200"/>
  <c r="K97" i="200"/>
  <c r="I97" i="200"/>
  <c r="H97" i="200"/>
  <c r="N96" i="200"/>
  <c r="M96" i="200"/>
  <c r="L96" i="200"/>
  <c r="K96" i="200"/>
  <c r="I96" i="200"/>
  <c r="H96" i="200"/>
  <c r="G96" i="200"/>
  <c r="F96" i="200"/>
  <c r="N94" i="200"/>
  <c r="M94" i="200"/>
  <c r="L94" i="200"/>
  <c r="I94" i="200"/>
  <c r="H94" i="200"/>
  <c r="G94" i="200"/>
  <c r="F94" i="200"/>
  <c r="N93" i="200"/>
  <c r="M93" i="200"/>
  <c r="L93" i="200"/>
  <c r="K93" i="200"/>
  <c r="I93" i="200"/>
  <c r="H93" i="200"/>
  <c r="G93" i="200"/>
  <c r="F93" i="200"/>
  <c r="N92" i="200"/>
  <c r="M92" i="200"/>
  <c r="L92" i="200"/>
  <c r="I92" i="200"/>
  <c r="H92" i="200"/>
  <c r="G92" i="200"/>
  <c r="N90" i="200"/>
  <c r="M90" i="200"/>
  <c r="L90" i="200"/>
  <c r="K90" i="200"/>
  <c r="I90" i="200"/>
  <c r="H90" i="200"/>
  <c r="G90" i="200"/>
  <c r="F90" i="200"/>
  <c r="N89" i="200"/>
  <c r="M89" i="200"/>
  <c r="L89" i="200"/>
  <c r="K89" i="200"/>
  <c r="I89" i="200"/>
  <c r="H89" i="200"/>
  <c r="G89" i="200"/>
  <c r="F89" i="200"/>
  <c r="N88" i="200"/>
  <c r="M88" i="200"/>
  <c r="L88" i="200"/>
  <c r="K88" i="200"/>
  <c r="I88" i="200"/>
  <c r="H88" i="200"/>
  <c r="G88" i="200"/>
  <c r="F88" i="200"/>
  <c r="N87" i="200"/>
  <c r="M87" i="200"/>
  <c r="L87" i="200"/>
  <c r="K87" i="200"/>
  <c r="I87" i="200"/>
  <c r="H87" i="200"/>
  <c r="G87" i="200"/>
  <c r="F87" i="200"/>
  <c r="N85" i="200"/>
  <c r="M85" i="200"/>
  <c r="L85" i="200"/>
  <c r="K85" i="200"/>
  <c r="I85" i="200"/>
  <c r="H85" i="200"/>
  <c r="G85" i="200"/>
  <c r="F85" i="200"/>
  <c r="N84" i="200"/>
  <c r="M84" i="200"/>
  <c r="L84" i="200"/>
  <c r="I84" i="200"/>
  <c r="H84" i="200"/>
  <c r="G84" i="200"/>
  <c r="F84" i="200"/>
  <c r="N82" i="200"/>
  <c r="M82" i="200"/>
  <c r="L82" i="200"/>
  <c r="K82" i="200"/>
  <c r="I82" i="200"/>
  <c r="H82" i="200"/>
  <c r="G82" i="200"/>
  <c r="N81" i="200"/>
  <c r="M81" i="200"/>
  <c r="L81" i="200"/>
  <c r="K81" i="200"/>
  <c r="I81" i="200"/>
  <c r="H81" i="200"/>
  <c r="G81" i="200"/>
  <c r="F81" i="200"/>
  <c r="N79" i="200"/>
  <c r="M79" i="200"/>
  <c r="L79" i="200"/>
  <c r="K79" i="200"/>
  <c r="I79" i="200"/>
  <c r="H79" i="200"/>
  <c r="G79" i="200"/>
  <c r="F79" i="200"/>
  <c r="N78" i="200"/>
  <c r="M78" i="200"/>
  <c r="L78" i="200"/>
  <c r="K78" i="200"/>
  <c r="I78" i="200"/>
  <c r="H78" i="200"/>
  <c r="G78" i="200"/>
  <c r="F78" i="200"/>
  <c r="N77" i="200"/>
  <c r="M77" i="200"/>
  <c r="L77" i="200"/>
  <c r="K77" i="200"/>
  <c r="I77" i="200"/>
  <c r="H77" i="200"/>
  <c r="G77" i="200"/>
  <c r="F77" i="200"/>
  <c r="N76" i="200"/>
  <c r="M76" i="200"/>
  <c r="L76" i="200"/>
  <c r="K76" i="200"/>
  <c r="I76" i="200"/>
  <c r="H76" i="200"/>
  <c r="G76" i="200"/>
  <c r="F76" i="200"/>
  <c r="N75" i="200"/>
  <c r="M75" i="200"/>
  <c r="L75" i="200"/>
  <c r="K75" i="200"/>
  <c r="I75" i="200"/>
  <c r="H75" i="200"/>
  <c r="G75" i="200"/>
  <c r="F75" i="200"/>
  <c r="N74" i="200"/>
  <c r="M74" i="200"/>
  <c r="L74" i="200"/>
  <c r="K74" i="200"/>
  <c r="I74" i="200"/>
  <c r="H74" i="200"/>
  <c r="G74" i="200"/>
  <c r="F74" i="200"/>
  <c r="N72" i="200"/>
  <c r="M72" i="200"/>
  <c r="L72" i="200"/>
  <c r="K72" i="200"/>
  <c r="I72" i="200"/>
  <c r="N71" i="200"/>
  <c r="M71" i="200"/>
  <c r="L71" i="200"/>
  <c r="K71" i="200"/>
  <c r="I71" i="200"/>
  <c r="H71" i="200"/>
  <c r="N70" i="200"/>
  <c r="M70" i="200"/>
  <c r="L70" i="200"/>
  <c r="K70" i="200"/>
  <c r="I70" i="200"/>
  <c r="N68" i="200"/>
  <c r="M68" i="200"/>
  <c r="L68" i="200"/>
  <c r="I68" i="200"/>
  <c r="H68" i="200"/>
  <c r="G68" i="200"/>
  <c r="N67" i="200"/>
  <c r="M67" i="200"/>
  <c r="L67" i="200"/>
  <c r="I67" i="200"/>
  <c r="O65" i="200"/>
  <c r="N65" i="200"/>
  <c r="M65" i="200"/>
  <c r="L65" i="200"/>
  <c r="K65" i="200"/>
  <c r="I65" i="200"/>
  <c r="H65" i="200"/>
  <c r="N64" i="200"/>
  <c r="M64" i="200"/>
  <c r="L64" i="200"/>
  <c r="I64" i="200"/>
  <c r="N62" i="200"/>
  <c r="M62" i="200"/>
  <c r="L62" i="200"/>
  <c r="I62" i="200"/>
  <c r="N61" i="200"/>
  <c r="M61" i="200"/>
  <c r="L61" i="200"/>
  <c r="K61" i="200"/>
  <c r="I61" i="200"/>
  <c r="H61" i="200"/>
  <c r="G61" i="200"/>
  <c r="F61" i="200"/>
  <c r="O59" i="200"/>
  <c r="N59" i="200"/>
  <c r="M59" i="200"/>
  <c r="L59" i="200"/>
  <c r="K59" i="200"/>
  <c r="I59" i="200"/>
  <c r="H59" i="200"/>
  <c r="N58" i="200"/>
  <c r="M58" i="200"/>
  <c r="L58" i="200"/>
  <c r="K58" i="200"/>
  <c r="I58" i="200"/>
  <c r="H58" i="200"/>
  <c r="N56" i="200"/>
  <c r="M56" i="200"/>
  <c r="L56" i="200"/>
  <c r="K56" i="200"/>
  <c r="I56" i="200"/>
  <c r="G56" i="200"/>
  <c r="N55" i="200"/>
  <c r="M55" i="200"/>
  <c r="L55" i="200"/>
  <c r="K55" i="200"/>
  <c r="I55" i="200"/>
  <c r="M54" i="200"/>
  <c r="I54" i="200"/>
  <c r="N52" i="200"/>
  <c r="M52" i="200"/>
  <c r="L52" i="200"/>
  <c r="I52" i="200"/>
  <c r="N48" i="200"/>
  <c r="M48" i="200"/>
  <c r="L48" i="200"/>
  <c r="I48" i="200"/>
  <c r="H48" i="200"/>
  <c r="G48" i="200"/>
  <c r="N47" i="200"/>
  <c r="M47" i="200"/>
  <c r="L47" i="200"/>
  <c r="I47" i="200"/>
  <c r="H47" i="200"/>
  <c r="G47" i="200"/>
  <c r="N46" i="200"/>
  <c r="M46" i="200"/>
  <c r="L46" i="200"/>
  <c r="K46" i="200"/>
  <c r="I46" i="200"/>
  <c r="H46" i="200"/>
  <c r="G46" i="200"/>
  <c r="F46" i="200"/>
  <c r="N43" i="200"/>
  <c r="M43" i="200"/>
  <c r="L43" i="200"/>
  <c r="I43" i="200"/>
  <c r="H43" i="200"/>
  <c r="G43" i="200"/>
  <c r="F43" i="200"/>
  <c r="N41" i="200"/>
  <c r="M41" i="200"/>
  <c r="L41" i="200"/>
  <c r="I41" i="200"/>
  <c r="H41" i="200"/>
  <c r="G41" i="200"/>
  <c r="N40" i="200"/>
  <c r="M40" i="200"/>
  <c r="L40" i="200"/>
  <c r="I40" i="200"/>
  <c r="H40" i="200"/>
  <c r="G40" i="200"/>
  <c r="O37" i="200"/>
  <c r="N37" i="200"/>
  <c r="M37" i="200"/>
  <c r="L37" i="200"/>
  <c r="K37" i="200"/>
  <c r="I37" i="200"/>
  <c r="H37" i="200"/>
  <c r="G37" i="200"/>
  <c r="N36" i="200"/>
  <c r="M36" i="200"/>
  <c r="K36" i="200"/>
  <c r="I36" i="200"/>
  <c r="H36" i="200"/>
  <c r="G36" i="200"/>
  <c r="F36" i="200"/>
  <c r="N34" i="200"/>
  <c r="M34" i="200"/>
  <c r="L34" i="200"/>
  <c r="K34" i="200"/>
  <c r="I34" i="200"/>
  <c r="H34" i="200"/>
  <c r="G34" i="200"/>
  <c r="N32" i="200"/>
  <c r="M32" i="200"/>
  <c r="L32" i="200"/>
  <c r="K32" i="200"/>
  <c r="I32" i="200"/>
  <c r="H32" i="200"/>
  <c r="G32" i="200"/>
  <c r="F32" i="200"/>
  <c r="O30" i="200"/>
  <c r="N30" i="200"/>
  <c r="M30" i="200"/>
  <c r="L30" i="200"/>
  <c r="K30" i="200"/>
  <c r="I30" i="200"/>
  <c r="H30" i="200"/>
  <c r="G30" i="200"/>
  <c r="F30" i="200"/>
  <c r="N29" i="200"/>
  <c r="M29" i="200"/>
  <c r="L29" i="200"/>
  <c r="I29" i="200"/>
  <c r="H29" i="200"/>
  <c r="G29" i="200"/>
  <c r="N26" i="200"/>
  <c r="M26" i="200"/>
  <c r="L26" i="200"/>
  <c r="I26" i="200"/>
  <c r="H26" i="200"/>
  <c r="G26" i="200"/>
  <c r="O24" i="200"/>
  <c r="N24" i="200"/>
  <c r="M24" i="200"/>
  <c r="L24" i="200"/>
  <c r="K24" i="200"/>
  <c r="I24" i="200"/>
  <c r="H24" i="200"/>
  <c r="G24" i="200"/>
  <c r="N21" i="200"/>
  <c r="M21" i="200"/>
  <c r="L21" i="200"/>
  <c r="K21" i="200"/>
  <c r="I21" i="200"/>
  <c r="H21" i="200"/>
  <c r="G21" i="200"/>
  <c r="N20" i="200"/>
  <c r="M20" i="200"/>
  <c r="L20" i="200"/>
  <c r="K20" i="200"/>
  <c r="I20" i="200"/>
  <c r="H20" i="200"/>
  <c r="G20" i="200"/>
  <c r="F20" i="200"/>
  <c r="N19" i="200"/>
  <c r="M19" i="200"/>
  <c r="L19" i="200"/>
  <c r="K19" i="200"/>
  <c r="I19" i="200"/>
  <c r="H19" i="200"/>
  <c r="G19" i="200"/>
  <c r="F19" i="200"/>
  <c r="N18" i="200"/>
  <c r="M18" i="200"/>
  <c r="L18" i="200"/>
  <c r="I18" i="200"/>
  <c r="P448" i="200"/>
  <c r="N448" i="200"/>
  <c r="M448" i="200"/>
  <c r="L448" i="200"/>
  <c r="H448" i="200"/>
  <c r="G448" i="200"/>
  <c r="F448" i="200"/>
  <c r="O418" i="200"/>
  <c r="J418" i="200"/>
  <c r="E418" i="200"/>
  <c r="O417" i="200"/>
  <c r="N417" i="200"/>
  <c r="M417" i="200"/>
  <c r="L417" i="200"/>
  <c r="K417" i="200"/>
  <c r="I417" i="200"/>
  <c r="H417" i="200"/>
  <c r="G417" i="200"/>
  <c r="F417" i="200"/>
  <c r="E417" i="200"/>
  <c r="O408" i="200"/>
  <c r="J408" i="200"/>
  <c r="P408" i="200" s="1"/>
  <c r="P407" i="200" s="1"/>
  <c r="P406" i="200" s="1"/>
  <c r="E408" i="200"/>
  <c r="O407" i="200"/>
  <c r="N407" i="200"/>
  <c r="M407" i="200"/>
  <c r="L407" i="200"/>
  <c r="K407" i="200"/>
  <c r="J407" i="200"/>
  <c r="I407" i="200"/>
  <c r="H407" i="200"/>
  <c r="G407" i="200"/>
  <c r="F407" i="200"/>
  <c r="E407" i="200"/>
  <c r="O406" i="200"/>
  <c r="N406" i="200"/>
  <c r="M406" i="200"/>
  <c r="L406" i="200"/>
  <c r="K406" i="200"/>
  <c r="J406" i="200"/>
  <c r="I406" i="200"/>
  <c r="H406" i="200"/>
  <c r="G406" i="200"/>
  <c r="F406" i="200"/>
  <c r="E406" i="200"/>
  <c r="K405" i="200"/>
  <c r="F405" i="200"/>
  <c r="E405" i="200" s="1"/>
  <c r="E404" i="200" s="1"/>
  <c r="E403" i="200" s="1"/>
  <c r="N404" i="200"/>
  <c r="N403" i="200" s="1"/>
  <c r="M404" i="200"/>
  <c r="L404" i="200"/>
  <c r="L403" i="200" s="1"/>
  <c r="I404" i="200"/>
  <c r="I403" i="200" s="1"/>
  <c r="H404" i="200"/>
  <c r="G404" i="200"/>
  <c r="G403" i="200" s="1"/>
  <c r="M403" i="200"/>
  <c r="H403" i="200"/>
  <c r="O388" i="200"/>
  <c r="J388" i="200" s="1"/>
  <c r="J387" i="200" s="1"/>
  <c r="E388" i="200"/>
  <c r="O387" i="200"/>
  <c r="N387" i="200"/>
  <c r="M387" i="200"/>
  <c r="L387" i="200"/>
  <c r="K387" i="200"/>
  <c r="I387" i="200"/>
  <c r="H387" i="200"/>
  <c r="G387" i="200"/>
  <c r="F387" i="200"/>
  <c r="E387" i="200"/>
  <c r="O369" i="200"/>
  <c r="J369" i="200" s="1"/>
  <c r="K369" i="200"/>
  <c r="E369" i="200"/>
  <c r="O359" i="200"/>
  <c r="J359" i="200"/>
  <c r="E359" i="200"/>
  <c r="O357" i="200"/>
  <c r="E357" i="200"/>
  <c r="E356" i="200" s="1"/>
  <c r="E355" i="200" s="1"/>
  <c r="N356" i="200"/>
  <c r="M356" i="200"/>
  <c r="L356" i="200"/>
  <c r="K356" i="200"/>
  <c r="K355" i="200" s="1"/>
  <c r="I356" i="200"/>
  <c r="H356" i="200"/>
  <c r="G356" i="200"/>
  <c r="G355" i="200" s="1"/>
  <c r="F356" i="200"/>
  <c r="N355" i="200"/>
  <c r="M355" i="200"/>
  <c r="L355" i="200"/>
  <c r="I355" i="200"/>
  <c r="H355" i="200"/>
  <c r="F355" i="200"/>
  <c r="O354" i="200"/>
  <c r="J354" i="200" s="1"/>
  <c r="E354" i="200"/>
  <c r="O299" i="200"/>
  <c r="J299" i="200" s="1"/>
  <c r="J298" i="200" s="1"/>
  <c r="E299" i="200"/>
  <c r="N298" i="200"/>
  <c r="M298" i="200"/>
  <c r="L298" i="200"/>
  <c r="K298" i="200"/>
  <c r="I298" i="200"/>
  <c r="H298" i="200"/>
  <c r="G298" i="200"/>
  <c r="F298" i="200"/>
  <c r="E298" i="200"/>
  <c r="O267" i="200"/>
  <c r="O266" i="200" s="1"/>
  <c r="O265" i="200" s="1"/>
  <c r="E267" i="200"/>
  <c r="E266" i="200" s="1"/>
  <c r="E265" i="200" s="1"/>
  <c r="N266" i="200"/>
  <c r="N265" i="200" s="1"/>
  <c r="M266" i="200"/>
  <c r="L266" i="200"/>
  <c r="K266" i="200"/>
  <c r="K265" i="200" s="1"/>
  <c r="I266" i="200"/>
  <c r="H266" i="200"/>
  <c r="G266" i="200"/>
  <c r="F266" i="200"/>
  <c r="F265" i="200" s="1"/>
  <c r="M265" i="200"/>
  <c r="L265" i="200"/>
  <c r="I265" i="200"/>
  <c r="H265" i="200"/>
  <c r="G265" i="200"/>
  <c r="O230" i="200"/>
  <c r="E230" i="200"/>
  <c r="N229" i="200"/>
  <c r="N228" i="200" s="1"/>
  <c r="M229" i="200"/>
  <c r="M228" i="200" s="1"/>
  <c r="L229" i="200"/>
  <c r="L228" i="200" s="1"/>
  <c r="K229" i="200"/>
  <c r="I229" i="200"/>
  <c r="I228" i="200" s="1"/>
  <c r="H229" i="200"/>
  <c r="G229" i="200"/>
  <c r="G228" i="200" s="1"/>
  <c r="F229" i="200"/>
  <c r="K228" i="200"/>
  <c r="H228" i="200"/>
  <c r="F228" i="200"/>
  <c r="O227" i="200"/>
  <c r="E227" i="200"/>
  <c r="O226" i="200"/>
  <c r="J226" i="200"/>
  <c r="E226" i="200"/>
  <c r="O208" i="200"/>
  <c r="J208" i="200"/>
  <c r="P208" i="200" s="1"/>
  <c r="P207" i="200" s="1"/>
  <c r="E208" i="200"/>
  <c r="O207" i="200"/>
  <c r="N207" i="200"/>
  <c r="N205" i="200" s="1"/>
  <c r="N204" i="200" s="1"/>
  <c r="M207" i="200"/>
  <c r="L207" i="200"/>
  <c r="L205" i="200" s="1"/>
  <c r="L204" i="200" s="1"/>
  <c r="K207" i="200"/>
  <c r="J207" i="200"/>
  <c r="I207" i="200"/>
  <c r="H207" i="200"/>
  <c r="H205" i="200" s="1"/>
  <c r="H204" i="200" s="1"/>
  <c r="G207" i="200"/>
  <c r="F207" i="200"/>
  <c r="F205" i="200" s="1"/>
  <c r="F204" i="200" s="1"/>
  <c r="E207" i="200"/>
  <c r="E205" i="200" s="1"/>
  <c r="E204" i="200" s="1"/>
  <c r="O206" i="200"/>
  <c r="J206" i="200" s="1"/>
  <c r="E206" i="200"/>
  <c r="O205" i="200"/>
  <c r="O204" i="200" s="1"/>
  <c r="M205" i="200"/>
  <c r="K205" i="200"/>
  <c r="I205" i="200"/>
  <c r="I204" i="200" s="1"/>
  <c r="G205" i="200"/>
  <c r="M204" i="200"/>
  <c r="K204" i="200"/>
  <c r="G204" i="200"/>
  <c r="O203" i="200"/>
  <c r="J203" i="200"/>
  <c r="P203" i="200" s="1"/>
  <c r="E203" i="200"/>
  <c r="O113" i="200"/>
  <c r="E113" i="200"/>
  <c r="N112" i="200"/>
  <c r="M112" i="200"/>
  <c r="M111" i="200" s="1"/>
  <c r="L112" i="200"/>
  <c r="L111" i="200" s="1"/>
  <c r="K112" i="200"/>
  <c r="I112" i="200"/>
  <c r="H112" i="200"/>
  <c r="H111" i="200" s="1"/>
  <c r="G112" i="200"/>
  <c r="F112" i="200"/>
  <c r="E112" i="200"/>
  <c r="E111" i="200" s="1"/>
  <c r="N111" i="200"/>
  <c r="K111" i="200"/>
  <c r="I111" i="200"/>
  <c r="G111" i="200"/>
  <c r="F111" i="200"/>
  <c r="O110" i="200"/>
  <c r="J110" i="200"/>
  <c r="J109" i="200" s="1"/>
  <c r="E110" i="200"/>
  <c r="O109" i="200"/>
  <c r="N109" i="200"/>
  <c r="M109" i="200"/>
  <c r="L109" i="200"/>
  <c r="K109" i="200"/>
  <c r="I109" i="200"/>
  <c r="H109" i="200"/>
  <c r="G109" i="200"/>
  <c r="F109" i="200"/>
  <c r="E109" i="200"/>
  <c r="I17" i="165"/>
  <c r="L17" i="165"/>
  <c r="M17" i="165"/>
  <c r="N17" i="165"/>
  <c r="E18" i="165"/>
  <c r="G18" i="165"/>
  <c r="G17" i="165" s="1"/>
  <c r="H18" i="165"/>
  <c r="K18" i="165"/>
  <c r="K17" i="165" s="1"/>
  <c r="E19" i="165"/>
  <c r="O19" i="165"/>
  <c r="E20" i="165"/>
  <c r="O20" i="165"/>
  <c r="F21" i="165"/>
  <c r="E21" i="165" s="1"/>
  <c r="O21" i="165"/>
  <c r="J21" i="165" s="1"/>
  <c r="G23" i="165"/>
  <c r="H23" i="165"/>
  <c r="I23" i="165"/>
  <c r="K23" i="165"/>
  <c r="L23" i="165"/>
  <c r="M23" i="165"/>
  <c r="N23" i="165"/>
  <c r="O23" i="165"/>
  <c r="E24" i="165"/>
  <c r="F24" i="165"/>
  <c r="F23" i="165" s="1"/>
  <c r="J24" i="165"/>
  <c r="J23" i="165" s="1"/>
  <c r="G25" i="165"/>
  <c r="H25" i="165"/>
  <c r="H22" i="165" s="1"/>
  <c r="I25" i="165"/>
  <c r="L25" i="165"/>
  <c r="M25" i="165"/>
  <c r="N25" i="165"/>
  <c r="F26" i="165"/>
  <c r="K26" i="165"/>
  <c r="G28" i="165"/>
  <c r="H28" i="165"/>
  <c r="I28" i="165"/>
  <c r="L28" i="165"/>
  <c r="M28" i="165"/>
  <c r="M28" i="200" s="1"/>
  <c r="N28" i="165"/>
  <c r="F29" i="165"/>
  <c r="F28" i="165" s="1"/>
  <c r="K29" i="165"/>
  <c r="E30" i="165"/>
  <c r="P30" i="165" s="1"/>
  <c r="J30" i="165"/>
  <c r="E32" i="165"/>
  <c r="O32" i="165"/>
  <c r="E33" i="165"/>
  <c r="O33" i="165"/>
  <c r="J33" i="165" s="1"/>
  <c r="P33" i="165" s="1"/>
  <c r="F34" i="165"/>
  <c r="E34" i="165" s="1"/>
  <c r="O34" i="165"/>
  <c r="G35" i="165"/>
  <c r="H35" i="165"/>
  <c r="H31" i="165" s="1"/>
  <c r="I35" i="165"/>
  <c r="K35" i="165"/>
  <c r="K31" i="165" s="1"/>
  <c r="M35" i="165"/>
  <c r="N35" i="165"/>
  <c r="N31" i="165" s="1"/>
  <c r="O35" i="165"/>
  <c r="E36" i="165"/>
  <c r="L36" i="165"/>
  <c r="O36" i="165"/>
  <c r="F35" i="165"/>
  <c r="J37" i="165"/>
  <c r="G39" i="165"/>
  <c r="H39" i="165"/>
  <c r="I39" i="165"/>
  <c r="L39" i="165"/>
  <c r="M39" i="165"/>
  <c r="N39" i="165"/>
  <c r="F40" i="165"/>
  <c r="K39" i="165"/>
  <c r="F41" i="165"/>
  <c r="K41" i="165"/>
  <c r="O41" i="165" s="1"/>
  <c r="J41" i="165" s="1"/>
  <c r="F42" i="165"/>
  <c r="G42" i="165"/>
  <c r="H42" i="165"/>
  <c r="I42" i="165"/>
  <c r="L42" i="165"/>
  <c r="M42" i="165"/>
  <c r="N42" i="165"/>
  <c r="E43" i="165"/>
  <c r="E42" i="165" s="1"/>
  <c r="K43" i="165"/>
  <c r="K42" i="165" s="1"/>
  <c r="O43" i="165"/>
  <c r="O42" i="165" s="1"/>
  <c r="G45" i="165"/>
  <c r="G44" i="165" s="1"/>
  <c r="H45" i="165"/>
  <c r="I45" i="165"/>
  <c r="I44" i="165" s="1"/>
  <c r="L45" i="165"/>
  <c r="M45" i="165"/>
  <c r="M44" i="165" s="1"/>
  <c r="N45" i="165"/>
  <c r="E46" i="165"/>
  <c r="O46" i="165"/>
  <c r="J46" i="165" s="1"/>
  <c r="F47" i="165"/>
  <c r="K47" i="165"/>
  <c r="K45" i="165" s="1"/>
  <c r="O47" i="165"/>
  <c r="J47" i="165" s="1"/>
  <c r="F48" i="165"/>
  <c r="O48" i="165"/>
  <c r="J48" i="165" s="1"/>
  <c r="F52" i="165"/>
  <c r="G52" i="165"/>
  <c r="H52" i="165"/>
  <c r="K52" i="165"/>
  <c r="I53" i="165"/>
  <c r="M53" i="165"/>
  <c r="F54" i="165"/>
  <c r="E54" i="165" s="1"/>
  <c r="G54" i="165"/>
  <c r="H54" i="165"/>
  <c r="K54" i="165"/>
  <c r="O54" i="165" s="1"/>
  <c r="L54" i="165"/>
  <c r="N54" i="165"/>
  <c r="F55" i="165"/>
  <c r="E55" i="165" s="1"/>
  <c r="G55" i="165"/>
  <c r="G55" i="200" s="1"/>
  <c r="H55" i="165"/>
  <c r="O55" i="165"/>
  <c r="J55" i="165" s="1"/>
  <c r="F56" i="165"/>
  <c r="H56" i="165"/>
  <c r="O56" i="165"/>
  <c r="J56" i="165" s="1"/>
  <c r="H57" i="165"/>
  <c r="I57" i="165"/>
  <c r="K57" i="165"/>
  <c r="L57" i="165"/>
  <c r="M57" i="165"/>
  <c r="N57" i="165"/>
  <c r="F58" i="165"/>
  <c r="G58" i="165"/>
  <c r="G58" i="200" s="1"/>
  <c r="O58" i="165"/>
  <c r="O57" i="165" s="1"/>
  <c r="F59" i="165"/>
  <c r="G59" i="165"/>
  <c r="G59" i="200" s="1"/>
  <c r="J59" i="165"/>
  <c r="F60" i="165"/>
  <c r="G60" i="165"/>
  <c r="H60" i="165"/>
  <c r="I60" i="165"/>
  <c r="K60" i="165"/>
  <c r="L60" i="165"/>
  <c r="M60" i="165"/>
  <c r="N60" i="165"/>
  <c r="E61" i="165"/>
  <c r="O61" i="165"/>
  <c r="F62" i="165"/>
  <c r="E62" i="165" s="1"/>
  <c r="G62" i="165"/>
  <c r="H62" i="165"/>
  <c r="K62" i="165"/>
  <c r="O62" i="165" s="1"/>
  <c r="J62" i="165" s="1"/>
  <c r="I63" i="165"/>
  <c r="L63" i="165"/>
  <c r="M63" i="165"/>
  <c r="N63" i="165"/>
  <c r="F64" i="165"/>
  <c r="G64" i="165"/>
  <c r="H64" i="165"/>
  <c r="H63" i="165" s="1"/>
  <c r="K64" i="165"/>
  <c r="K63" i="165" s="1"/>
  <c r="F65" i="165"/>
  <c r="E65" i="165" s="1"/>
  <c r="P65" i="165" s="1"/>
  <c r="G65" i="165"/>
  <c r="G65" i="200" s="1"/>
  <c r="J65" i="165"/>
  <c r="I66" i="165"/>
  <c r="L66" i="165"/>
  <c r="M66" i="165"/>
  <c r="N66" i="165"/>
  <c r="F67" i="165"/>
  <c r="G67" i="165"/>
  <c r="G66" i="165" s="1"/>
  <c r="H67" i="165"/>
  <c r="K67" i="165"/>
  <c r="F68" i="165"/>
  <c r="E68" i="165" s="1"/>
  <c r="K68" i="165"/>
  <c r="O68" i="165" s="1"/>
  <c r="J68" i="165" s="1"/>
  <c r="I69" i="165"/>
  <c r="K69" i="165"/>
  <c r="L69" i="165"/>
  <c r="M69" i="165"/>
  <c r="N69" i="165"/>
  <c r="F70" i="165"/>
  <c r="E70" i="165" s="1"/>
  <c r="P70" i="165" s="1"/>
  <c r="G70" i="165"/>
  <c r="G69" i="165" s="1"/>
  <c r="H70" i="165"/>
  <c r="H69" i="165" s="1"/>
  <c r="O70" i="165"/>
  <c r="J70" i="165" s="1"/>
  <c r="F71" i="165"/>
  <c r="E71" i="165" s="1"/>
  <c r="G71" i="165"/>
  <c r="G71" i="200" s="1"/>
  <c r="O71" i="165"/>
  <c r="J71" i="165" s="1"/>
  <c r="F72" i="165"/>
  <c r="E72" i="165" s="1"/>
  <c r="G72" i="165"/>
  <c r="G72" i="200" s="1"/>
  <c r="H72" i="165"/>
  <c r="O72" i="165"/>
  <c r="J72" i="165" s="1"/>
  <c r="F73" i="165"/>
  <c r="G73" i="165"/>
  <c r="H73" i="165"/>
  <c r="I73" i="165"/>
  <c r="K73" i="165"/>
  <c r="L73" i="165"/>
  <c r="M73" i="165"/>
  <c r="N73" i="165"/>
  <c r="E74" i="165"/>
  <c r="O74" i="165"/>
  <c r="E75" i="165"/>
  <c r="O75" i="165"/>
  <c r="J75" i="165" s="1"/>
  <c r="E76" i="165"/>
  <c r="O76" i="165"/>
  <c r="J76" i="165" s="1"/>
  <c r="E77" i="165"/>
  <c r="O77" i="165"/>
  <c r="J77" i="165" s="1"/>
  <c r="E78" i="165"/>
  <c r="O78" i="165"/>
  <c r="J78" i="165" s="1"/>
  <c r="E79" i="165"/>
  <c r="O79" i="165"/>
  <c r="J79" i="165" s="1"/>
  <c r="G80" i="165"/>
  <c r="H80" i="165"/>
  <c r="I80" i="165"/>
  <c r="K80" i="165"/>
  <c r="L80" i="165"/>
  <c r="M80" i="165"/>
  <c r="N80" i="165"/>
  <c r="E81" i="165"/>
  <c r="O81" i="165"/>
  <c r="O80" i="165" s="1"/>
  <c r="J80" i="165" s="1"/>
  <c r="F82" i="165"/>
  <c r="E82" i="165" s="1"/>
  <c r="O82" i="165"/>
  <c r="J82" i="165" s="1"/>
  <c r="F83" i="165"/>
  <c r="G83" i="165"/>
  <c r="H83" i="165"/>
  <c r="I83" i="165"/>
  <c r="L83" i="165"/>
  <c r="M83" i="165"/>
  <c r="N83" i="165"/>
  <c r="E84" i="165"/>
  <c r="E83" i="165" s="1"/>
  <c r="K84" i="165"/>
  <c r="K83" i="165" s="1"/>
  <c r="E85" i="165"/>
  <c r="O85" i="165"/>
  <c r="J85" i="165" s="1"/>
  <c r="F86" i="165"/>
  <c r="G86" i="165"/>
  <c r="H86" i="165"/>
  <c r="I86" i="165"/>
  <c r="K86" i="165"/>
  <c r="L86" i="165"/>
  <c r="M86" i="165"/>
  <c r="N86" i="165"/>
  <c r="E87" i="165"/>
  <c r="O87" i="165"/>
  <c r="J87" i="165" s="1"/>
  <c r="E88" i="165"/>
  <c r="O88" i="165"/>
  <c r="J88" i="165" s="1"/>
  <c r="E89" i="165"/>
  <c r="O89" i="165"/>
  <c r="J89" i="165" s="1"/>
  <c r="E90" i="165"/>
  <c r="O90" i="165"/>
  <c r="J90" i="165" s="1"/>
  <c r="G91" i="165"/>
  <c r="H91" i="165"/>
  <c r="I91" i="165"/>
  <c r="L91" i="165"/>
  <c r="M91" i="165"/>
  <c r="N91" i="165"/>
  <c r="F92" i="165"/>
  <c r="K92" i="165"/>
  <c r="K91" i="165" s="1"/>
  <c r="O92" i="165"/>
  <c r="E93" i="165"/>
  <c r="O93" i="165"/>
  <c r="J93" i="165" s="1"/>
  <c r="E94" i="165"/>
  <c r="K94" i="165"/>
  <c r="O94" i="165" s="1"/>
  <c r="J94" i="165" s="1"/>
  <c r="F95" i="165"/>
  <c r="G95" i="165"/>
  <c r="H95" i="165"/>
  <c r="I95" i="165"/>
  <c r="K95" i="165"/>
  <c r="L95" i="165"/>
  <c r="M95" i="165"/>
  <c r="N95" i="165"/>
  <c r="E96" i="165"/>
  <c r="E95" i="165" s="1"/>
  <c r="O96" i="165"/>
  <c r="O95" i="165" s="1"/>
  <c r="F97" i="165"/>
  <c r="G97" i="165"/>
  <c r="G97" i="200" s="1"/>
  <c r="O97" i="165"/>
  <c r="J97" i="165" s="1"/>
  <c r="F98" i="165"/>
  <c r="G98" i="165"/>
  <c r="G98" i="200" s="1"/>
  <c r="H98" i="165"/>
  <c r="I98" i="165"/>
  <c r="K98" i="165"/>
  <c r="L98" i="165"/>
  <c r="M98" i="165"/>
  <c r="N98" i="165"/>
  <c r="E99" i="165"/>
  <c r="O99" i="165"/>
  <c r="J99" i="165" s="1"/>
  <c r="E100" i="165"/>
  <c r="O100" i="165"/>
  <c r="J100" i="165" s="1"/>
  <c r="F102" i="165"/>
  <c r="G102" i="165"/>
  <c r="H102" i="165"/>
  <c r="I102" i="165"/>
  <c r="L102" i="165"/>
  <c r="M102" i="165"/>
  <c r="N102" i="165"/>
  <c r="E103" i="165"/>
  <c r="K103" i="165"/>
  <c r="K102" i="165" s="1"/>
  <c r="F104" i="165"/>
  <c r="G104" i="165"/>
  <c r="H104" i="165"/>
  <c r="I104" i="165"/>
  <c r="L104" i="165"/>
  <c r="M104" i="165"/>
  <c r="N104" i="165"/>
  <c r="N101" i="165" s="1"/>
  <c r="E105" i="165"/>
  <c r="K105" i="165"/>
  <c r="O105" i="165" s="1"/>
  <c r="F107" i="165"/>
  <c r="G107" i="165"/>
  <c r="G107" i="200" s="1"/>
  <c r="H107" i="165"/>
  <c r="I107" i="165"/>
  <c r="I107" i="200" s="1"/>
  <c r="K107" i="165"/>
  <c r="L107" i="165"/>
  <c r="M107" i="165"/>
  <c r="N107" i="165"/>
  <c r="N107" i="200" s="1"/>
  <c r="E108" i="165"/>
  <c r="O108" i="165"/>
  <c r="O108" i="200" s="1"/>
  <c r="H116" i="165"/>
  <c r="I116" i="165"/>
  <c r="K116" i="165"/>
  <c r="L116" i="165"/>
  <c r="M116" i="165"/>
  <c r="N116" i="165"/>
  <c r="F117" i="165"/>
  <c r="G117" i="165"/>
  <c r="G116" i="165" s="1"/>
  <c r="O117" i="165"/>
  <c r="E118" i="165"/>
  <c r="O118" i="165"/>
  <c r="J118" i="165" s="1"/>
  <c r="E120" i="165"/>
  <c r="F120" i="165"/>
  <c r="O120" i="165"/>
  <c r="F121" i="165"/>
  <c r="O121" i="165"/>
  <c r="F122" i="165"/>
  <c r="K122" i="165"/>
  <c r="F123" i="165"/>
  <c r="K123" i="165"/>
  <c r="O123" i="165" s="1"/>
  <c r="J123" i="165" s="1"/>
  <c r="F124" i="165"/>
  <c r="K124" i="165"/>
  <c r="O124" i="165" s="1"/>
  <c r="J124" i="165" s="1"/>
  <c r="G125" i="165"/>
  <c r="H125" i="165"/>
  <c r="I125" i="165"/>
  <c r="L125" i="165"/>
  <c r="M125" i="165"/>
  <c r="M125" i="200" s="1"/>
  <c r="N125" i="165"/>
  <c r="F126" i="165"/>
  <c r="K126" i="165"/>
  <c r="K125" i="165" s="1"/>
  <c r="F127" i="165"/>
  <c r="G127" i="165"/>
  <c r="H127" i="165"/>
  <c r="I127" i="165"/>
  <c r="K127" i="165"/>
  <c r="L127" i="165"/>
  <c r="M127" i="165"/>
  <c r="N127" i="165"/>
  <c r="E128" i="165"/>
  <c r="O128" i="165"/>
  <c r="F129" i="165"/>
  <c r="G129" i="165"/>
  <c r="H129" i="165"/>
  <c r="I129" i="165"/>
  <c r="K129" i="165"/>
  <c r="L129" i="165"/>
  <c r="M129" i="165"/>
  <c r="N129" i="165"/>
  <c r="E130" i="165"/>
  <c r="O130" i="165"/>
  <c r="E131" i="165"/>
  <c r="E131" i="200" s="1"/>
  <c r="O131" i="165"/>
  <c r="F132" i="165"/>
  <c r="G132" i="165"/>
  <c r="H132" i="165"/>
  <c r="I132" i="165"/>
  <c r="L132" i="165"/>
  <c r="M132" i="165"/>
  <c r="N132" i="165"/>
  <c r="E133" i="165"/>
  <c r="E132" i="165" s="1"/>
  <c r="K133" i="165"/>
  <c r="E134" i="165"/>
  <c r="K134" i="165"/>
  <c r="O134" i="165" s="1"/>
  <c r="J134" i="165" s="1"/>
  <c r="F136" i="165"/>
  <c r="G136" i="165"/>
  <c r="G135" i="165" s="1"/>
  <c r="H136" i="165"/>
  <c r="I136" i="165"/>
  <c r="I135" i="165" s="1"/>
  <c r="K136" i="165"/>
  <c r="L136" i="165"/>
  <c r="L135" i="165" s="1"/>
  <c r="M136" i="165"/>
  <c r="M135" i="165" s="1"/>
  <c r="N136" i="165"/>
  <c r="N135" i="165" s="1"/>
  <c r="O136" i="165"/>
  <c r="E137" i="165"/>
  <c r="E136" i="165" s="1"/>
  <c r="J137" i="165"/>
  <c r="E138" i="165"/>
  <c r="O138" i="165"/>
  <c r="F140" i="165"/>
  <c r="G140" i="165"/>
  <c r="H140" i="165"/>
  <c r="I140" i="165"/>
  <c r="K140" i="165"/>
  <c r="L140" i="165"/>
  <c r="M140" i="165"/>
  <c r="N140" i="165"/>
  <c r="E141" i="165"/>
  <c r="O141" i="165"/>
  <c r="O140" i="165" s="1"/>
  <c r="F142" i="165"/>
  <c r="F139" i="165" s="1"/>
  <c r="G142" i="165"/>
  <c r="H142" i="165"/>
  <c r="H139" i="165" s="1"/>
  <c r="I142" i="165"/>
  <c r="I139" i="165" s="1"/>
  <c r="L142" i="165"/>
  <c r="L139" i="165" s="1"/>
  <c r="M142" i="165"/>
  <c r="N142" i="165"/>
  <c r="N139" i="165" s="1"/>
  <c r="E143" i="165"/>
  <c r="E142" i="165" s="1"/>
  <c r="E139" i="165" s="1"/>
  <c r="K143" i="165"/>
  <c r="K142" i="165" s="1"/>
  <c r="K139" i="165" s="1"/>
  <c r="E144" i="165"/>
  <c r="O144" i="165"/>
  <c r="J144" i="165" s="1"/>
  <c r="F146" i="165"/>
  <c r="F145" i="165" s="1"/>
  <c r="F145" i="200" s="1"/>
  <c r="G146" i="165"/>
  <c r="H146" i="165"/>
  <c r="H145" i="165" s="1"/>
  <c r="H145" i="200" s="1"/>
  <c r="I146" i="165"/>
  <c r="K146" i="165"/>
  <c r="K145" i="165" s="1"/>
  <c r="K145" i="200" s="1"/>
  <c r="L146" i="165"/>
  <c r="L145" i="165" s="1"/>
  <c r="L145" i="200" s="1"/>
  <c r="M146" i="165"/>
  <c r="M145" i="165" s="1"/>
  <c r="M145" i="200" s="1"/>
  <c r="N146" i="165"/>
  <c r="E147" i="165"/>
  <c r="E146" i="165" s="1"/>
  <c r="E145" i="165" s="1"/>
  <c r="E145" i="200" s="1"/>
  <c r="O147" i="165"/>
  <c r="O146" i="165" s="1"/>
  <c r="O145" i="165" s="1"/>
  <c r="O145" i="200" s="1"/>
  <c r="H150" i="165"/>
  <c r="I150" i="165"/>
  <c r="L150" i="165"/>
  <c r="L150" i="200" s="1"/>
  <c r="M150" i="165"/>
  <c r="N150" i="165"/>
  <c r="F151" i="165"/>
  <c r="G151" i="165"/>
  <c r="G150" i="165" s="1"/>
  <c r="K151" i="165"/>
  <c r="E152" i="165"/>
  <c r="O152" i="165"/>
  <c r="E153" i="165"/>
  <c r="J153" i="165"/>
  <c r="G155" i="165"/>
  <c r="H155" i="165"/>
  <c r="I155" i="165"/>
  <c r="K155" i="165"/>
  <c r="L155" i="165"/>
  <c r="M155" i="165"/>
  <c r="N155" i="165"/>
  <c r="F156" i="165"/>
  <c r="O156" i="165"/>
  <c r="E157" i="165"/>
  <c r="O157" i="165"/>
  <c r="J157" i="165" s="1"/>
  <c r="E158" i="165"/>
  <c r="O158" i="165"/>
  <c r="J158" i="165" s="1"/>
  <c r="E159" i="165"/>
  <c r="O159" i="165"/>
  <c r="J159" i="165" s="1"/>
  <c r="E160" i="165"/>
  <c r="F160" i="165"/>
  <c r="O160" i="165"/>
  <c r="J160" i="165" s="1"/>
  <c r="P160" i="165" s="1"/>
  <c r="E161" i="165"/>
  <c r="O161" i="165"/>
  <c r="J161" i="165" s="1"/>
  <c r="P161" i="165" s="1"/>
  <c r="E162" i="165"/>
  <c r="O162" i="165"/>
  <c r="J162" i="165" s="1"/>
  <c r="P162" i="165" s="1"/>
  <c r="F163" i="165"/>
  <c r="E163" i="165" s="1"/>
  <c r="O163" i="165"/>
  <c r="I164" i="165"/>
  <c r="K164" i="165"/>
  <c r="L164" i="165"/>
  <c r="M164" i="165"/>
  <c r="F165" i="165"/>
  <c r="E165" i="165" s="1"/>
  <c r="G165" i="165"/>
  <c r="H165" i="165"/>
  <c r="N165" i="165"/>
  <c r="O165" i="165"/>
  <c r="F166" i="165"/>
  <c r="G166" i="165"/>
  <c r="H166" i="165"/>
  <c r="K166" i="165"/>
  <c r="O166" i="165"/>
  <c r="F167" i="165"/>
  <c r="G167" i="165"/>
  <c r="H167" i="165"/>
  <c r="I167" i="165"/>
  <c r="K167" i="165"/>
  <c r="L167" i="165"/>
  <c r="M167" i="165"/>
  <c r="N167" i="165"/>
  <c r="E168" i="165"/>
  <c r="O168" i="165"/>
  <c r="I169" i="165"/>
  <c r="K169" i="165"/>
  <c r="L169" i="165"/>
  <c r="M169" i="165"/>
  <c r="N169" i="165"/>
  <c r="F170" i="165"/>
  <c r="G170" i="165"/>
  <c r="H170" i="165"/>
  <c r="K170" i="165"/>
  <c r="O170" i="165"/>
  <c r="F171" i="165"/>
  <c r="E171" i="165" s="1"/>
  <c r="O171" i="165"/>
  <c r="J171" i="165" s="1"/>
  <c r="E172" i="165"/>
  <c r="O172" i="165"/>
  <c r="F173" i="165"/>
  <c r="E173" i="165" s="1"/>
  <c r="G173" i="165"/>
  <c r="H173" i="165"/>
  <c r="I173" i="165"/>
  <c r="K173" i="165"/>
  <c r="L173" i="165"/>
  <c r="J173" i="165" s="1"/>
  <c r="M173" i="165"/>
  <c r="N173" i="165"/>
  <c r="O173" i="165"/>
  <c r="E174" i="165"/>
  <c r="J174" i="165"/>
  <c r="O174" i="165"/>
  <c r="E175" i="165"/>
  <c r="O175" i="165"/>
  <c r="G176" i="165"/>
  <c r="H176" i="165"/>
  <c r="I176" i="165"/>
  <c r="K176" i="165"/>
  <c r="L176" i="165"/>
  <c r="M176" i="165"/>
  <c r="N176" i="165"/>
  <c r="F177" i="165"/>
  <c r="F176" i="165" s="1"/>
  <c r="O177" i="165"/>
  <c r="E178" i="165"/>
  <c r="O178" i="165"/>
  <c r="F179" i="165"/>
  <c r="F179" i="200" s="1"/>
  <c r="G179" i="165"/>
  <c r="H179" i="165"/>
  <c r="I179" i="165"/>
  <c r="K179" i="165"/>
  <c r="K179" i="200" s="1"/>
  <c r="L179" i="165"/>
  <c r="M179" i="165"/>
  <c r="N179" i="165"/>
  <c r="E180" i="165"/>
  <c r="O180" i="165"/>
  <c r="E184" i="165"/>
  <c r="O184" i="165"/>
  <c r="E186" i="165"/>
  <c r="J186" i="165"/>
  <c r="O186" i="165"/>
  <c r="E189" i="165"/>
  <c r="O189" i="165"/>
  <c r="E192" i="165"/>
  <c r="O192" i="165"/>
  <c r="E194" i="165"/>
  <c r="K194" i="165"/>
  <c r="I195" i="165"/>
  <c r="F196" i="165"/>
  <c r="G196" i="165"/>
  <c r="H196" i="165"/>
  <c r="K196" i="165"/>
  <c r="L196" i="165"/>
  <c r="L195" i="165" s="1"/>
  <c r="M196" i="165"/>
  <c r="N196" i="165"/>
  <c r="O196" i="165"/>
  <c r="E197" i="165"/>
  <c r="K197" i="165"/>
  <c r="O197" i="165"/>
  <c r="E198" i="165"/>
  <c r="K198" i="165"/>
  <c r="E199" i="165"/>
  <c r="K199" i="165"/>
  <c r="F201" i="165"/>
  <c r="G201" i="165"/>
  <c r="H201" i="165"/>
  <c r="I201" i="165"/>
  <c r="L201" i="165"/>
  <c r="M201" i="165"/>
  <c r="N201" i="165"/>
  <c r="E202" i="165"/>
  <c r="K202" i="165"/>
  <c r="I212" i="165"/>
  <c r="L212" i="165"/>
  <c r="M212" i="165"/>
  <c r="N212" i="165"/>
  <c r="F213" i="165"/>
  <c r="E213" i="165" s="1"/>
  <c r="G213" i="165"/>
  <c r="H213" i="165"/>
  <c r="K213" i="165"/>
  <c r="K212" i="165" s="1"/>
  <c r="K212" i="200" s="1"/>
  <c r="F215" i="165"/>
  <c r="G215" i="165"/>
  <c r="H215" i="165"/>
  <c r="K215" i="165"/>
  <c r="O215" i="165"/>
  <c r="E216" i="165"/>
  <c r="F216" i="165"/>
  <c r="G216" i="165"/>
  <c r="H216" i="165"/>
  <c r="J216" i="165"/>
  <c r="O216" i="165"/>
  <c r="F217" i="165"/>
  <c r="G217" i="165"/>
  <c r="H217" i="165"/>
  <c r="O217" i="165"/>
  <c r="E218" i="165"/>
  <c r="O218" i="165"/>
  <c r="I219" i="165"/>
  <c r="L219" i="165"/>
  <c r="M219" i="165"/>
  <c r="N219" i="165"/>
  <c r="E220" i="165"/>
  <c r="F220" i="165"/>
  <c r="G220" i="165"/>
  <c r="H220" i="165"/>
  <c r="J220" i="165"/>
  <c r="O220" i="165"/>
  <c r="F221" i="165"/>
  <c r="K221" i="165"/>
  <c r="G224" i="165"/>
  <c r="H224" i="165"/>
  <c r="I224" i="165"/>
  <c r="K224" i="165"/>
  <c r="L224" i="165"/>
  <c r="M224" i="165"/>
  <c r="N224" i="165"/>
  <c r="F225" i="165"/>
  <c r="O225" i="165"/>
  <c r="I234" i="165"/>
  <c r="K234" i="165"/>
  <c r="L234" i="165"/>
  <c r="M234" i="165"/>
  <c r="N234" i="165"/>
  <c r="F235" i="165"/>
  <c r="E235" i="165" s="1"/>
  <c r="G235" i="165"/>
  <c r="H235" i="165"/>
  <c r="O235" i="165"/>
  <c r="J235" i="165" s="1"/>
  <c r="I236" i="165"/>
  <c r="M236" i="165"/>
  <c r="N236" i="165"/>
  <c r="N236" i="200" s="1"/>
  <c r="F237" i="165"/>
  <c r="H237" i="165"/>
  <c r="K237" i="165"/>
  <c r="L237" i="165"/>
  <c r="O237" i="165"/>
  <c r="F238" i="165"/>
  <c r="G238" i="165"/>
  <c r="H238" i="165"/>
  <c r="O238" i="165"/>
  <c r="G240" i="165"/>
  <c r="H240" i="165"/>
  <c r="I240" i="165"/>
  <c r="K240" i="165"/>
  <c r="L240" i="165"/>
  <c r="M240" i="165"/>
  <c r="N240" i="165"/>
  <c r="F241" i="165"/>
  <c r="E241" i="165" s="1"/>
  <c r="O241" i="165"/>
  <c r="F242" i="165"/>
  <c r="O242" i="165"/>
  <c r="F243" i="165"/>
  <c r="G243" i="165"/>
  <c r="H243" i="165"/>
  <c r="I243" i="165"/>
  <c r="K243" i="165"/>
  <c r="L243" i="165"/>
  <c r="M243" i="165"/>
  <c r="N243" i="165"/>
  <c r="E244" i="165"/>
  <c r="O244" i="165"/>
  <c r="I245" i="165"/>
  <c r="I245" i="200" s="1"/>
  <c r="M245" i="165"/>
  <c r="N245" i="165"/>
  <c r="F246" i="165"/>
  <c r="E246" i="165" s="1"/>
  <c r="G246" i="165"/>
  <c r="H246" i="165"/>
  <c r="K246" i="165"/>
  <c r="L246" i="165"/>
  <c r="F247" i="165"/>
  <c r="O247" i="165"/>
  <c r="H248" i="165"/>
  <c r="H248" i="200" s="1"/>
  <c r="I248" i="165"/>
  <c r="K248" i="165"/>
  <c r="L248" i="165"/>
  <c r="M248" i="165"/>
  <c r="M248" i="200" s="1"/>
  <c r="N248" i="165"/>
  <c r="F249" i="165"/>
  <c r="G249" i="165"/>
  <c r="O249" i="165"/>
  <c r="H250" i="165"/>
  <c r="I250" i="165"/>
  <c r="L250" i="165"/>
  <c r="M250" i="165"/>
  <c r="N250" i="165"/>
  <c r="F251" i="165"/>
  <c r="E251" i="165" s="1"/>
  <c r="O251" i="165"/>
  <c r="F252" i="165"/>
  <c r="O252" i="165"/>
  <c r="F253" i="165"/>
  <c r="F253" i="200" s="1"/>
  <c r="G253" i="165"/>
  <c r="K253" i="165"/>
  <c r="E254" i="165"/>
  <c r="O254" i="165"/>
  <c r="F256" i="165"/>
  <c r="G256" i="165"/>
  <c r="H256" i="165"/>
  <c r="I256" i="165"/>
  <c r="K256" i="165"/>
  <c r="L256" i="165"/>
  <c r="M256" i="165"/>
  <c r="N256" i="165"/>
  <c r="E257" i="165"/>
  <c r="O257" i="165"/>
  <c r="F260" i="165"/>
  <c r="G260" i="165"/>
  <c r="H260" i="165"/>
  <c r="I260" i="165"/>
  <c r="L260" i="165"/>
  <c r="M260" i="165"/>
  <c r="N260" i="165"/>
  <c r="E261" i="165"/>
  <c r="K261" i="165"/>
  <c r="F262" i="165"/>
  <c r="G262" i="165"/>
  <c r="H262" i="165"/>
  <c r="I262" i="165"/>
  <c r="K262" i="165"/>
  <c r="L262" i="165"/>
  <c r="L262" i="200" s="1"/>
  <c r="M262" i="165"/>
  <c r="N262" i="165"/>
  <c r="E263" i="165"/>
  <c r="O263" i="165"/>
  <c r="E264" i="165"/>
  <c r="O264" i="165"/>
  <c r="H270" i="165"/>
  <c r="I270" i="165"/>
  <c r="K270" i="165"/>
  <c r="L270" i="165"/>
  <c r="M270" i="165"/>
  <c r="N270" i="165"/>
  <c r="F271" i="165"/>
  <c r="G271" i="165"/>
  <c r="O271" i="165"/>
  <c r="E272" i="165"/>
  <c r="O272" i="165"/>
  <c r="E273" i="165"/>
  <c r="J273" i="165"/>
  <c r="P273" i="165" s="1"/>
  <c r="F274" i="165"/>
  <c r="G274" i="165"/>
  <c r="H274" i="165"/>
  <c r="I274" i="165"/>
  <c r="L274" i="165"/>
  <c r="M274" i="165"/>
  <c r="N274" i="165"/>
  <c r="E275" i="165"/>
  <c r="K275" i="165"/>
  <c r="G277" i="165"/>
  <c r="H277" i="165"/>
  <c r="I277" i="165"/>
  <c r="L277" i="165"/>
  <c r="M277" i="165"/>
  <c r="N277" i="165"/>
  <c r="F278" i="165"/>
  <c r="K278" i="165"/>
  <c r="E279" i="165"/>
  <c r="O279" i="165"/>
  <c r="O279" i="200" s="1"/>
  <c r="E280" i="165"/>
  <c r="K280" i="165"/>
  <c r="O280" i="165"/>
  <c r="E281" i="165"/>
  <c r="O281" i="165"/>
  <c r="F282" i="165"/>
  <c r="O282" i="165"/>
  <c r="J282" i="165" s="1"/>
  <c r="F283" i="165"/>
  <c r="K283" i="165"/>
  <c r="F284" i="165"/>
  <c r="K284" i="165"/>
  <c r="E285" i="165"/>
  <c r="K285" i="165"/>
  <c r="O285" i="165"/>
  <c r="F287" i="165"/>
  <c r="G287" i="165"/>
  <c r="H287" i="165"/>
  <c r="I287" i="165"/>
  <c r="K287" i="165"/>
  <c r="L287" i="165"/>
  <c r="M287" i="165"/>
  <c r="N287" i="165"/>
  <c r="E288" i="165"/>
  <c r="O288" i="165"/>
  <c r="F290" i="165"/>
  <c r="O290" i="165"/>
  <c r="J290" i="165" s="1"/>
  <c r="E291" i="165"/>
  <c r="K291" i="165"/>
  <c r="F292" i="165"/>
  <c r="G292" i="165"/>
  <c r="H292" i="165"/>
  <c r="I292" i="165"/>
  <c r="K292" i="165"/>
  <c r="L292" i="165"/>
  <c r="M292" i="165"/>
  <c r="N292" i="165"/>
  <c r="E293" i="165"/>
  <c r="O293" i="165"/>
  <c r="F297" i="165"/>
  <c r="O297" i="165"/>
  <c r="I302" i="165"/>
  <c r="L302" i="165"/>
  <c r="M302" i="165"/>
  <c r="N302" i="165"/>
  <c r="F303" i="165"/>
  <c r="G303" i="165"/>
  <c r="H303" i="165"/>
  <c r="K303" i="165"/>
  <c r="O303" i="165"/>
  <c r="E304" i="165"/>
  <c r="O304" i="165"/>
  <c r="E305" i="165"/>
  <c r="O305" i="165"/>
  <c r="G307" i="165"/>
  <c r="H307" i="165"/>
  <c r="I307" i="165"/>
  <c r="L307" i="165"/>
  <c r="M307" i="165"/>
  <c r="N307" i="165"/>
  <c r="F308" i="165"/>
  <c r="O308" i="165"/>
  <c r="O308" i="200" s="1"/>
  <c r="F309" i="165"/>
  <c r="K309" i="165"/>
  <c r="E310" i="165"/>
  <c r="O310" i="165"/>
  <c r="J310" i="165" s="1"/>
  <c r="F311" i="165"/>
  <c r="O311" i="165"/>
  <c r="E312" i="165"/>
  <c r="O312" i="165"/>
  <c r="E313" i="165"/>
  <c r="O313" i="165"/>
  <c r="E314" i="165"/>
  <c r="K314" i="165"/>
  <c r="G317" i="165"/>
  <c r="H317" i="165"/>
  <c r="I317" i="165"/>
  <c r="L317" i="165"/>
  <c r="M317" i="165"/>
  <c r="N317" i="165"/>
  <c r="F318" i="165"/>
  <c r="K318" i="165"/>
  <c r="E320" i="165"/>
  <c r="O320" i="165"/>
  <c r="E321" i="165"/>
  <c r="E321" i="200" s="1"/>
  <c r="K321" i="165"/>
  <c r="O321" i="165" s="1"/>
  <c r="F322" i="165"/>
  <c r="G322" i="165"/>
  <c r="H322" i="165"/>
  <c r="I322" i="165"/>
  <c r="K322" i="165"/>
  <c r="M322" i="165"/>
  <c r="N322" i="165"/>
  <c r="L323" i="165"/>
  <c r="O323" i="165"/>
  <c r="E325" i="165"/>
  <c r="E322" i="165" s="1"/>
  <c r="O325" i="165"/>
  <c r="J325" i="165" s="1"/>
  <c r="I327" i="165"/>
  <c r="K327" i="165"/>
  <c r="L327" i="165"/>
  <c r="M327" i="165"/>
  <c r="N327" i="165"/>
  <c r="E328" i="165"/>
  <c r="O328" i="165"/>
  <c r="F329" i="165"/>
  <c r="H329" i="165"/>
  <c r="O329" i="165"/>
  <c r="J329" i="165" s="1"/>
  <c r="F330" i="165"/>
  <c r="G330" i="165"/>
  <c r="H330" i="165"/>
  <c r="O330" i="165"/>
  <c r="G332" i="165"/>
  <c r="H332" i="165"/>
  <c r="I332" i="165"/>
  <c r="K332" i="165"/>
  <c r="L332" i="165"/>
  <c r="M332" i="165"/>
  <c r="N332" i="165"/>
  <c r="F333" i="165"/>
  <c r="O333" i="165"/>
  <c r="I336" i="165"/>
  <c r="K336" i="165"/>
  <c r="L336" i="165"/>
  <c r="L336" i="200" s="1"/>
  <c r="M336" i="165"/>
  <c r="M336" i="200" s="1"/>
  <c r="N336" i="165"/>
  <c r="F337" i="165"/>
  <c r="G337" i="165"/>
  <c r="H337" i="165"/>
  <c r="O337" i="165"/>
  <c r="E338" i="165"/>
  <c r="O338" i="165"/>
  <c r="E339" i="165"/>
  <c r="E339" i="200" s="1"/>
  <c r="O339" i="165"/>
  <c r="F340" i="165"/>
  <c r="G340" i="165"/>
  <c r="G340" i="200" s="1"/>
  <c r="H340" i="165"/>
  <c r="H340" i="200" s="1"/>
  <c r="I340" i="165"/>
  <c r="L340" i="165"/>
  <c r="M340" i="165"/>
  <c r="M340" i="200" s="1"/>
  <c r="N340" i="165"/>
  <c r="E341" i="165"/>
  <c r="K341" i="165"/>
  <c r="F342" i="165"/>
  <c r="F342" i="200" s="1"/>
  <c r="G342" i="165"/>
  <c r="G342" i="200" s="1"/>
  <c r="H342" i="165"/>
  <c r="I342" i="165"/>
  <c r="L342" i="165"/>
  <c r="L342" i="200" s="1"/>
  <c r="M342" i="165"/>
  <c r="N342" i="165"/>
  <c r="E343" i="165"/>
  <c r="K343" i="165"/>
  <c r="F345" i="165"/>
  <c r="G345" i="165"/>
  <c r="H345" i="165"/>
  <c r="I345" i="165"/>
  <c r="L345" i="165"/>
  <c r="M345" i="165"/>
  <c r="N345" i="165"/>
  <c r="E346" i="165"/>
  <c r="K346" i="165"/>
  <c r="F349" i="165"/>
  <c r="G349" i="165"/>
  <c r="H349" i="165"/>
  <c r="I349" i="165"/>
  <c r="L349" i="165"/>
  <c r="M349" i="165"/>
  <c r="N349" i="165"/>
  <c r="E350" i="165"/>
  <c r="K350" i="165"/>
  <c r="F352" i="165"/>
  <c r="G352" i="165"/>
  <c r="H352" i="165"/>
  <c r="I352" i="165"/>
  <c r="L352" i="165"/>
  <c r="M352" i="165"/>
  <c r="N352" i="165"/>
  <c r="E353" i="165"/>
  <c r="K353" i="165"/>
  <c r="I362" i="165"/>
  <c r="L362" i="165"/>
  <c r="M362" i="165"/>
  <c r="N362" i="165"/>
  <c r="F363" i="165"/>
  <c r="E363" i="165" s="1"/>
  <c r="G363" i="165"/>
  <c r="H363" i="165"/>
  <c r="K363" i="165"/>
  <c r="K362" i="165" s="1"/>
  <c r="E364" i="165"/>
  <c r="O364" i="165"/>
  <c r="E365" i="165"/>
  <c r="O365" i="165"/>
  <c r="F367" i="165"/>
  <c r="G367" i="165"/>
  <c r="H367" i="165"/>
  <c r="I367" i="165"/>
  <c r="L367" i="165"/>
  <c r="M367" i="165"/>
  <c r="N367" i="165"/>
  <c r="E368" i="165"/>
  <c r="K368" i="165"/>
  <c r="H372" i="165"/>
  <c r="I372" i="165"/>
  <c r="K372" i="165"/>
  <c r="L372" i="165"/>
  <c r="M372" i="165"/>
  <c r="N372" i="165"/>
  <c r="F373" i="165"/>
  <c r="G373" i="165"/>
  <c r="J373" i="165"/>
  <c r="O373" i="165"/>
  <c r="E374" i="165"/>
  <c r="O374" i="165"/>
  <c r="J374" i="165" s="1"/>
  <c r="G377" i="165"/>
  <c r="H377" i="165"/>
  <c r="H377" i="200" s="1"/>
  <c r="I377" i="165"/>
  <c r="K377" i="165"/>
  <c r="L377" i="165"/>
  <c r="M377" i="165"/>
  <c r="M377" i="200" s="1"/>
  <c r="N377" i="165"/>
  <c r="F378" i="165"/>
  <c r="O378" i="165"/>
  <c r="G379" i="165"/>
  <c r="H379" i="165"/>
  <c r="I379" i="165"/>
  <c r="K379" i="165"/>
  <c r="L379" i="165"/>
  <c r="M379" i="165"/>
  <c r="N379" i="165"/>
  <c r="F380" i="165"/>
  <c r="O380" i="165"/>
  <c r="E381" i="165"/>
  <c r="O381" i="165"/>
  <c r="F382" i="165"/>
  <c r="F382" i="200" s="1"/>
  <c r="G382" i="165"/>
  <c r="H382" i="165"/>
  <c r="I382" i="165"/>
  <c r="L382" i="165"/>
  <c r="M382" i="165"/>
  <c r="M382" i="200" s="1"/>
  <c r="N382" i="165"/>
  <c r="E383" i="165"/>
  <c r="K383" i="165"/>
  <c r="O383" i="165"/>
  <c r="G385" i="165"/>
  <c r="H385" i="165"/>
  <c r="I385" i="165"/>
  <c r="K385" i="165"/>
  <c r="L385" i="165"/>
  <c r="M385" i="165"/>
  <c r="N385" i="165"/>
  <c r="F386" i="165"/>
  <c r="O386" i="165"/>
  <c r="O385" i="165" s="1"/>
  <c r="G391" i="165"/>
  <c r="H391" i="165"/>
  <c r="I391" i="165"/>
  <c r="L391" i="165"/>
  <c r="M391" i="165"/>
  <c r="N391" i="165"/>
  <c r="F392" i="165"/>
  <c r="K392" i="165"/>
  <c r="F393" i="165"/>
  <c r="K393" i="165"/>
  <c r="O393" i="165"/>
  <c r="G395" i="165"/>
  <c r="H395" i="165"/>
  <c r="I395" i="165"/>
  <c r="L395" i="165"/>
  <c r="M395" i="165"/>
  <c r="N395" i="165"/>
  <c r="F396" i="165"/>
  <c r="K396" i="165"/>
  <c r="F398" i="165"/>
  <c r="O398" i="165"/>
  <c r="F399" i="165"/>
  <c r="O399" i="165"/>
  <c r="E400" i="165"/>
  <c r="F400" i="165"/>
  <c r="K400" i="165"/>
  <c r="F401" i="165"/>
  <c r="G401" i="165"/>
  <c r="H401" i="165"/>
  <c r="I401" i="165"/>
  <c r="K401" i="165"/>
  <c r="L401" i="165"/>
  <c r="M401" i="165"/>
  <c r="N401" i="165"/>
  <c r="E402" i="165"/>
  <c r="J402" i="165"/>
  <c r="O402" i="165"/>
  <c r="I411" i="165"/>
  <c r="I411" i="200" s="1"/>
  <c r="L411" i="165"/>
  <c r="M411" i="165"/>
  <c r="N411" i="165"/>
  <c r="N411" i="200" s="1"/>
  <c r="F412" i="165"/>
  <c r="E412" i="165" s="1"/>
  <c r="G412" i="165"/>
  <c r="H412" i="165"/>
  <c r="K412" i="165"/>
  <c r="E413" i="165"/>
  <c r="O413" i="165"/>
  <c r="E415" i="165"/>
  <c r="F415" i="165"/>
  <c r="G415" i="165"/>
  <c r="H415" i="165"/>
  <c r="I415" i="165"/>
  <c r="K415" i="165"/>
  <c r="M415" i="165"/>
  <c r="N415" i="165"/>
  <c r="L416" i="165"/>
  <c r="O416" i="165"/>
  <c r="I421" i="165"/>
  <c r="L421" i="165"/>
  <c r="L421" i="200" s="1"/>
  <c r="M421" i="165"/>
  <c r="M421" i="200" s="1"/>
  <c r="N421" i="165"/>
  <c r="F422" i="165"/>
  <c r="G422" i="165"/>
  <c r="H422" i="165"/>
  <c r="K422" i="165"/>
  <c r="G424" i="165"/>
  <c r="H424" i="165"/>
  <c r="I424" i="165"/>
  <c r="K424" i="165"/>
  <c r="L424" i="165"/>
  <c r="M424" i="165"/>
  <c r="N424" i="165"/>
  <c r="F425" i="165"/>
  <c r="O425" i="165"/>
  <c r="E426" i="165"/>
  <c r="F426" i="165"/>
  <c r="G426" i="165"/>
  <c r="H426" i="165"/>
  <c r="I426" i="165"/>
  <c r="I426" i="200" s="1"/>
  <c r="K426" i="165"/>
  <c r="L426" i="165"/>
  <c r="M426" i="165"/>
  <c r="M426" i="200" s="1"/>
  <c r="N426" i="165"/>
  <c r="N426" i="200" s="1"/>
  <c r="E427" i="165"/>
  <c r="O427" i="165"/>
  <c r="H430" i="165"/>
  <c r="I430" i="165"/>
  <c r="K430" i="165"/>
  <c r="L430" i="165"/>
  <c r="M430" i="165"/>
  <c r="N430" i="165"/>
  <c r="F431" i="165"/>
  <c r="E431" i="165" s="1"/>
  <c r="G431" i="165"/>
  <c r="O431" i="165"/>
  <c r="E432" i="165"/>
  <c r="O432" i="165"/>
  <c r="F434" i="165"/>
  <c r="G434" i="165"/>
  <c r="H434" i="165"/>
  <c r="I434" i="165"/>
  <c r="K434" i="165"/>
  <c r="L434" i="165"/>
  <c r="M434" i="165"/>
  <c r="N434" i="165"/>
  <c r="E435" i="165"/>
  <c r="J435" i="165"/>
  <c r="O435" i="165"/>
  <c r="E437" i="165"/>
  <c r="E437" i="200" s="1"/>
  <c r="O437" i="165"/>
  <c r="J437" i="165" s="1"/>
  <c r="G438" i="165"/>
  <c r="H438" i="165"/>
  <c r="H438" i="200" s="1"/>
  <c r="I438" i="165"/>
  <c r="I438" i="200" s="1"/>
  <c r="K438" i="165"/>
  <c r="L438" i="165"/>
  <c r="M438" i="165"/>
  <c r="M438" i="200" s="1"/>
  <c r="N438" i="165"/>
  <c r="F438" i="165"/>
  <c r="O439" i="165"/>
  <c r="O438" i="165" s="1"/>
  <c r="G441" i="165"/>
  <c r="H441" i="165"/>
  <c r="I441" i="165"/>
  <c r="K441" i="165"/>
  <c r="L441" i="165"/>
  <c r="M441" i="165"/>
  <c r="N441" i="165"/>
  <c r="F442" i="165"/>
  <c r="E442" i="165" s="1"/>
  <c r="O442" i="165"/>
  <c r="F444" i="165"/>
  <c r="G444" i="165"/>
  <c r="H444" i="165"/>
  <c r="I444" i="165"/>
  <c r="K444" i="165"/>
  <c r="L444" i="165"/>
  <c r="M444" i="165"/>
  <c r="N444" i="165"/>
  <c r="E445" i="165"/>
  <c r="O445" i="165"/>
  <c r="P443" i="199"/>
  <c r="O443" i="199"/>
  <c r="N443" i="199"/>
  <c r="M443" i="199"/>
  <c r="L443" i="199"/>
  <c r="K443" i="199"/>
  <c r="J443" i="199"/>
  <c r="H443" i="199"/>
  <c r="G443" i="199"/>
  <c r="F443" i="199"/>
  <c r="O440" i="199"/>
  <c r="E440" i="199"/>
  <c r="E439" i="199" s="1"/>
  <c r="E438" i="199" s="1"/>
  <c r="N439" i="199"/>
  <c r="M439" i="199"/>
  <c r="L439" i="199"/>
  <c r="L438" i="199" s="1"/>
  <c r="K439" i="199"/>
  <c r="K438" i="199" s="1"/>
  <c r="I439" i="199"/>
  <c r="H439" i="199"/>
  <c r="G439" i="199"/>
  <c r="G438" i="199" s="1"/>
  <c r="F439" i="199"/>
  <c r="F438" i="199" s="1"/>
  <c r="N438" i="199"/>
  <c r="M438" i="199"/>
  <c r="I438" i="199"/>
  <c r="H438" i="199"/>
  <c r="O437" i="199"/>
  <c r="F437" i="199"/>
  <c r="E437" i="199" s="1"/>
  <c r="E436" i="199" s="1"/>
  <c r="E435" i="199" s="1"/>
  <c r="N436" i="199"/>
  <c r="M436" i="199"/>
  <c r="M435" i="199" s="1"/>
  <c r="M431" i="199" s="1"/>
  <c r="L436" i="199"/>
  <c r="L435" i="199" s="1"/>
  <c r="L431" i="199" s="1"/>
  <c r="L424" i="199" s="1"/>
  <c r="L423" i="199" s="1"/>
  <c r="K436" i="199"/>
  <c r="I436" i="199"/>
  <c r="I435" i="199" s="1"/>
  <c r="I431" i="199" s="1"/>
  <c r="H436" i="199"/>
  <c r="G436" i="199"/>
  <c r="N435" i="199"/>
  <c r="K435" i="199"/>
  <c r="H435" i="199"/>
  <c r="H431" i="199" s="1"/>
  <c r="G435" i="199"/>
  <c r="O434" i="199"/>
  <c r="J434" i="199" s="1"/>
  <c r="J433" i="199" s="1"/>
  <c r="F434" i="199"/>
  <c r="F439" i="200" s="1"/>
  <c r="N433" i="199"/>
  <c r="M433" i="199"/>
  <c r="L433" i="199"/>
  <c r="K433" i="199"/>
  <c r="I433" i="199"/>
  <c r="H433" i="199"/>
  <c r="G433" i="199"/>
  <c r="G431" i="199" s="1"/>
  <c r="O432" i="199"/>
  <c r="J432" i="199" s="1"/>
  <c r="E432" i="199"/>
  <c r="K431" i="199"/>
  <c r="K424" i="199" s="1"/>
  <c r="K423" i="199" s="1"/>
  <c r="O430" i="199"/>
  <c r="J430" i="199"/>
  <c r="J429" i="199" s="1"/>
  <c r="J428" i="199" s="1"/>
  <c r="E430" i="199"/>
  <c r="E429" i="199" s="1"/>
  <c r="E428" i="199" s="1"/>
  <c r="O429" i="199"/>
  <c r="N429" i="199"/>
  <c r="M429" i="199"/>
  <c r="M428" i="199" s="1"/>
  <c r="L429" i="199"/>
  <c r="L428" i="199" s="1"/>
  <c r="K429" i="199"/>
  <c r="I429" i="199"/>
  <c r="I428" i="199" s="1"/>
  <c r="H429" i="199"/>
  <c r="H428" i="199" s="1"/>
  <c r="G429" i="199"/>
  <c r="F429" i="199"/>
  <c r="O428" i="199"/>
  <c r="N428" i="199"/>
  <c r="K428" i="199"/>
  <c r="G428" i="199"/>
  <c r="F428" i="199"/>
  <c r="O427" i="199"/>
  <c r="O425" i="199" s="1"/>
  <c r="J427" i="199"/>
  <c r="E427" i="199"/>
  <c r="O426" i="199"/>
  <c r="J426" i="199"/>
  <c r="J425" i="199" s="1"/>
  <c r="E426" i="199"/>
  <c r="N425" i="199"/>
  <c r="M425" i="199"/>
  <c r="L425" i="199"/>
  <c r="K425" i="199"/>
  <c r="I425" i="199"/>
  <c r="H425" i="199"/>
  <c r="G425" i="199"/>
  <c r="F425" i="199"/>
  <c r="O422" i="199"/>
  <c r="J422" i="199" s="1"/>
  <c r="J421" i="199" s="1"/>
  <c r="E422" i="199"/>
  <c r="E421" i="199" s="1"/>
  <c r="O421" i="199"/>
  <c r="N421" i="199"/>
  <c r="M421" i="199"/>
  <c r="L421" i="199"/>
  <c r="K421" i="199"/>
  <c r="I421" i="199"/>
  <c r="H421" i="199"/>
  <c r="G421" i="199"/>
  <c r="F421" i="199"/>
  <c r="O420" i="199"/>
  <c r="J420" i="199" s="1"/>
  <c r="J419" i="199" s="1"/>
  <c r="F420" i="199"/>
  <c r="E420" i="199" s="1"/>
  <c r="O419" i="199"/>
  <c r="N419" i="199"/>
  <c r="M419" i="199"/>
  <c r="L419" i="199"/>
  <c r="L418" i="199" s="1"/>
  <c r="L415" i="199" s="1"/>
  <c r="L414" i="199" s="1"/>
  <c r="K419" i="199"/>
  <c r="I419" i="199"/>
  <c r="I418" i="199" s="1"/>
  <c r="H419" i="199"/>
  <c r="G419" i="199"/>
  <c r="F419" i="199"/>
  <c r="M418" i="199"/>
  <c r="H418" i="199"/>
  <c r="H415" i="199" s="1"/>
  <c r="H414" i="199" s="1"/>
  <c r="G418" i="199"/>
  <c r="G415" i="199" s="1"/>
  <c r="G414" i="199" s="1"/>
  <c r="O417" i="199"/>
  <c r="K417" i="199"/>
  <c r="F417" i="199"/>
  <c r="N416" i="199"/>
  <c r="M416" i="199"/>
  <c r="M415" i="199" s="1"/>
  <c r="M414" i="199" s="1"/>
  <c r="L416" i="199"/>
  <c r="K416" i="199"/>
  <c r="I416" i="199"/>
  <c r="H416" i="199"/>
  <c r="G416" i="199"/>
  <c r="O413" i="199"/>
  <c r="O412" i="199" s="1"/>
  <c r="E413" i="199"/>
  <c r="N412" i="199"/>
  <c r="M412" i="199"/>
  <c r="L412" i="199"/>
  <c r="K412" i="199"/>
  <c r="I412" i="199"/>
  <c r="H412" i="199"/>
  <c r="G412" i="199"/>
  <c r="F412" i="199"/>
  <c r="E412" i="199"/>
  <c r="O411" i="199"/>
  <c r="L411" i="199"/>
  <c r="N410" i="199"/>
  <c r="M410" i="199"/>
  <c r="M409" i="199" s="1"/>
  <c r="L410" i="199"/>
  <c r="K410" i="199"/>
  <c r="I410" i="199"/>
  <c r="H410" i="199"/>
  <c r="H409" i="199" s="1"/>
  <c r="H405" i="199" s="1"/>
  <c r="H404" i="199" s="1"/>
  <c r="G410" i="199"/>
  <c r="F410" i="199"/>
  <c r="E410" i="199"/>
  <c r="N409" i="199"/>
  <c r="L409" i="199"/>
  <c r="K409" i="199"/>
  <c r="I409" i="199"/>
  <c r="G409" i="199"/>
  <c r="F409" i="199"/>
  <c r="E409" i="199"/>
  <c r="O408" i="199"/>
  <c r="J408" i="199" s="1"/>
  <c r="P408" i="199" s="1"/>
  <c r="E408" i="199"/>
  <c r="E406" i="199" s="1"/>
  <c r="E405" i="199" s="1"/>
  <c r="E404" i="199" s="1"/>
  <c r="O407" i="199"/>
  <c r="K407" i="199"/>
  <c r="F407" i="199"/>
  <c r="E407" i="199" s="1"/>
  <c r="N406" i="199"/>
  <c r="M406" i="199"/>
  <c r="L406" i="199"/>
  <c r="K406" i="199"/>
  <c r="I406" i="199"/>
  <c r="H406" i="199"/>
  <c r="G406" i="199"/>
  <c r="K405" i="199"/>
  <c r="K404" i="199" s="1"/>
  <c r="G405" i="199"/>
  <c r="G404" i="199" s="1"/>
  <c r="O403" i="199"/>
  <c r="J403" i="199" s="1"/>
  <c r="E403" i="199"/>
  <c r="E402" i="199" s="1"/>
  <c r="E401" i="199" s="1"/>
  <c r="O402" i="199"/>
  <c r="O401" i="199" s="1"/>
  <c r="N402" i="199"/>
  <c r="N401" i="199" s="1"/>
  <c r="M402" i="199"/>
  <c r="L402" i="199"/>
  <c r="K402" i="199"/>
  <c r="K401" i="199" s="1"/>
  <c r="J402" i="199"/>
  <c r="J401" i="199" s="1"/>
  <c r="I402" i="199"/>
  <c r="H402" i="199"/>
  <c r="H401" i="199" s="1"/>
  <c r="G402" i="199"/>
  <c r="G401" i="199" s="1"/>
  <c r="F402" i="199"/>
  <c r="M401" i="199"/>
  <c r="L401" i="199"/>
  <c r="I401" i="199"/>
  <c r="F401" i="199"/>
  <c r="K400" i="199"/>
  <c r="F400" i="199"/>
  <c r="E400" i="199"/>
  <c r="N399" i="199"/>
  <c r="N398" i="199" s="1"/>
  <c r="M399" i="199"/>
  <c r="L399" i="199"/>
  <c r="L398" i="199" s="1"/>
  <c r="I399" i="199"/>
  <c r="I398" i="199" s="1"/>
  <c r="H399" i="199"/>
  <c r="H398" i="199" s="1"/>
  <c r="G399" i="199"/>
  <c r="F399" i="199"/>
  <c r="M398" i="199"/>
  <c r="G398" i="199"/>
  <c r="F398" i="199"/>
  <c r="O397" i="199"/>
  <c r="J397" i="199"/>
  <c r="J396" i="199" s="1"/>
  <c r="E397" i="199"/>
  <c r="P397" i="199" s="1"/>
  <c r="P396" i="199" s="1"/>
  <c r="O396" i="199"/>
  <c r="N396" i="199"/>
  <c r="M396" i="199"/>
  <c r="M392" i="199" s="1"/>
  <c r="L396" i="199"/>
  <c r="L392" i="199" s="1"/>
  <c r="K396" i="199"/>
  <c r="I396" i="199"/>
  <c r="I392" i="199" s="1"/>
  <c r="I389" i="199" s="1"/>
  <c r="H396" i="199"/>
  <c r="H392" i="199" s="1"/>
  <c r="G396" i="199"/>
  <c r="F396" i="199"/>
  <c r="E396" i="199"/>
  <c r="K395" i="199"/>
  <c r="O395" i="199" s="1"/>
  <c r="F395" i="199"/>
  <c r="O394" i="199"/>
  <c r="J394" i="199"/>
  <c r="E394" i="199"/>
  <c r="O393" i="199"/>
  <c r="J393" i="199" s="1"/>
  <c r="F393" i="199"/>
  <c r="E393" i="199" s="1"/>
  <c r="P393" i="199" s="1"/>
  <c r="N392" i="199"/>
  <c r="K392" i="199"/>
  <c r="G392" i="199"/>
  <c r="K391" i="199"/>
  <c r="K390" i="199" s="1"/>
  <c r="F391" i="199"/>
  <c r="E391" i="199" s="1"/>
  <c r="N390" i="199"/>
  <c r="M390" i="199"/>
  <c r="L390" i="199"/>
  <c r="I390" i="199"/>
  <c r="H390" i="199"/>
  <c r="G390" i="199"/>
  <c r="N389" i="199"/>
  <c r="K388" i="199"/>
  <c r="F388" i="199"/>
  <c r="E388" i="199" s="1"/>
  <c r="K387" i="199"/>
  <c r="O387" i="199" s="1"/>
  <c r="F387" i="199"/>
  <c r="E387" i="199" s="1"/>
  <c r="N386" i="199"/>
  <c r="M386" i="199"/>
  <c r="L386" i="199"/>
  <c r="I386" i="199"/>
  <c r="H386" i="199"/>
  <c r="G386" i="199"/>
  <c r="O383" i="199"/>
  <c r="J383" i="199" s="1"/>
  <c r="J382" i="199" s="1"/>
  <c r="E383" i="199"/>
  <c r="O382" i="199"/>
  <c r="N382" i="199"/>
  <c r="M382" i="199"/>
  <c r="L382" i="199"/>
  <c r="K382" i="199"/>
  <c r="I382" i="199"/>
  <c r="H382" i="199"/>
  <c r="G382" i="199"/>
  <c r="F382" i="199"/>
  <c r="O381" i="199"/>
  <c r="J381" i="199"/>
  <c r="J380" i="199" s="1"/>
  <c r="J379" i="199" s="1"/>
  <c r="E381" i="199"/>
  <c r="E380" i="199" s="1"/>
  <c r="E379" i="199" s="1"/>
  <c r="O380" i="199"/>
  <c r="O379" i="199" s="1"/>
  <c r="N380" i="199"/>
  <c r="M380" i="199"/>
  <c r="L380" i="199"/>
  <c r="L379" i="199" s="1"/>
  <c r="K380" i="199"/>
  <c r="K379" i="199" s="1"/>
  <c r="I380" i="199"/>
  <c r="H380" i="199"/>
  <c r="G380" i="199"/>
  <c r="G379" i="199" s="1"/>
  <c r="F380" i="199"/>
  <c r="N379" i="199"/>
  <c r="M379" i="199"/>
  <c r="I379" i="199"/>
  <c r="H379" i="199"/>
  <c r="F379" i="199"/>
  <c r="K378" i="199"/>
  <c r="K377" i="199" s="1"/>
  <c r="E378" i="199"/>
  <c r="E377" i="199" s="1"/>
  <c r="N377" i="199"/>
  <c r="M377" i="199"/>
  <c r="L377" i="199"/>
  <c r="I377" i="199"/>
  <c r="H377" i="199"/>
  <c r="G377" i="199"/>
  <c r="F377" i="199"/>
  <c r="O376" i="199"/>
  <c r="J376" i="199" s="1"/>
  <c r="E376" i="199"/>
  <c r="O375" i="199"/>
  <c r="F375" i="199"/>
  <c r="E375" i="199"/>
  <c r="N374" i="199"/>
  <c r="N371" i="199" s="1"/>
  <c r="N370" i="199" s="1"/>
  <c r="M374" i="199"/>
  <c r="L374" i="199"/>
  <c r="K374" i="199"/>
  <c r="I374" i="199"/>
  <c r="H374" i="199"/>
  <c r="G374" i="199"/>
  <c r="F374" i="199"/>
  <c r="F371" i="199" s="1"/>
  <c r="F370" i="199" s="1"/>
  <c r="F366" i="199" s="1"/>
  <c r="F365" i="199" s="1"/>
  <c r="E374" i="199"/>
  <c r="O373" i="199"/>
  <c r="J373" i="199" s="1"/>
  <c r="J372" i="199" s="1"/>
  <c r="F373" i="199"/>
  <c r="E373" i="199"/>
  <c r="P373" i="199" s="1"/>
  <c r="P372" i="199" s="1"/>
  <c r="O372" i="199"/>
  <c r="N372" i="199"/>
  <c r="M372" i="199"/>
  <c r="M371" i="199" s="1"/>
  <c r="L372" i="199"/>
  <c r="K372" i="199"/>
  <c r="I372" i="199"/>
  <c r="H372" i="199"/>
  <c r="H371" i="199" s="1"/>
  <c r="G372" i="199"/>
  <c r="G371" i="199" s="1"/>
  <c r="G370" i="199" s="1"/>
  <c r="F372" i="199"/>
  <c r="L371" i="199"/>
  <c r="K371" i="199"/>
  <c r="K370" i="199" s="1"/>
  <c r="L370" i="199"/>
  <c r="O369" i="199"/>
  <c r="E369" i="199"/>
  <c r="O368" i="199"/>
  <c r="J368" i="199" s="1"/>
  <c r="E368" i="199"/>
  <c r="N367" i="199"/>
  <c r="M367" i="199"/>
  <c r="L367" i="199"/>
  <c r="K367" i="199"/>
  <c r="I367" i="199"/>
  <c r="H367" i="199"/>
  <c r="G367" i="199"/>
  <c r="F367" i="199"/>
  <c r="K364" i="199"/>
  <c r="O364" i="199" s="1"/>
  <c r="J364" i="199" s="1"/>
  <c r="P364" i="199" s="1"/>
  <c r="E364" i="199"/>
  <c r="E362" i="199" s="1"/>
  <c r="E361" i="199" s="1"/>
  <c r="K363" i="199"/>
  <c r="O363" i="199" s="1"/>
  <c r="O362" i="199" s="1"/>
  <c r="O361" i="199" s="1"/>
  <c r="J363" i="199"/>
  <c r="P363" i="199" s="1"/>
  <c r="E363" i="199"/>
  <c r="N362" i="199"/>
  <c r="M362" i="199"/>
  <c r="L362" i="199"/>
  <c r="I362" i="199"/>
  <c r="I361" i="199" s="1"/>
  <c r="I356" i="199" s="1"/>
  <c r="I355" i="199" s="1"/>
  <c r="H362" i="199"/>
  <c r="H361" i="199" s="1"/>
  <c r="G362" i="199"/>
  <c r="G361" i="199" s="1"/>
  <c r="F362" i="199"/>
  <c r="N361" i="199"/>
  <c r="M361" i="199"/>
  <c r="L361" i="199"/>
  <c r="F361" i="199"/>
  <c r="F356" i="199" s="1"/>
  <c r="O360" i="199"/>
  <c r="J360" i="199" s="1"/>
  <c r="E360" i="199"/>
  <c r="O359" i="199"/>
  <c r="J359" i="199" s="1"/>
  <c r="P359" i="199" s="1"/>
  <c r="E359" i="199"/>
  <c r="K358" i="199"/>
  <c r="K357" i="199" s="1"/>
  <c r="E358" i="199"/>
  <c r="E357" i="199" s="1"/>
  <c r="N357" i="199"/>
  <c r="M357" i="199"/>
  <c r="M356" i="199" s="1"/>
  <c r="M355" i="199" s="1"/>
  <c r="L357" i="199"/>
  <c r="I357" i="199"/>
  <c r="H357" i="199"/>
  <c r="G357" i="199"/>
  <c r="F357" i="199"/>
  <c r="L356" i="199"/>
  <c r="L355" i="199" s="1"/>
  <c r="E356" i="199"/>
  <c r="E355" i="199" s="1"/>
  <c r="F355" i="199"/>
  <c r="O354" i="199"/>
  <c r="J354" i="199" s="1"/>
  <c r="E354" i="199"/>
  <c r="O352" i="199"/>
  <c r="J352" i="199" s="1"/>
  <c r="E352" i="199"/>
  <c r="N351" i="199"/>
  <c r="N350" i="199" s="1"/>
  <c r="M351" i="199"/>
  <c r="M350" i="199" s="1"/>
  <c r="L351" i="199"/>
  <c r="K351" i="199"/>
  <c r="I351" i="199"/>
  <c r="I350" i="199" s="1"/>
  <c r="H351" i="199"/>
  <c r="G351" i="199"/>
  <c r="F351" i="199"/>
  <c r="L350" i="199"/>
  <c r="K350" i="199"/>
  <c r="H350" i="199"/>
  <c r="G350" i="199"/>
  <c r="F350" i="199"/>
  <c r="O349" i="199"/>
  <c r="J349" i="199" s="1"/>
  <c r="E349" i="199"/>
  <c r="K348" i="199"/>
  <c r="E348" i="199"/>
  <c r="N347" i="199"/>
  <c r="M347" i="199"/>
  <c r="L347" i="199"/>
  <c r="I347" i="199"/>
  <c r="H347" i="199"/>
  <c r="G347" i="199"/>
  <c r="F347" i="199"/>
  <c r="F346" i="199" s="1"/>
  <c r="E347" i="199"/>
  <c r="G346" i="199"/>
  <c r="K345" i="199"/>
  <c r="O345" i="199" s="1"/>
  <c r="J345" i="199" s="1"/>
  <c r="E345" i="199"/>
  <c r="E344" i="199" s="1"/>
  <c r="E343" i="199" s="1"/>
  <c r="O344" i="199"/>
  <c r="O343" i="199" s="1"/>
  <c r="N344" i="199"/>
  <c r="M344" i="199"/>
  <c r="L344" i="199"/>
  <c r="L343" i="199" s="1"/>
  <c r="K344" i="199"/>
  <c r="K343" i="199" s="1"/>
  <c r="J344" i="199"/>
  <c r="I344" i="199"/>
  <c r="H344" i="199"/>
  <c r="G344" i="199"/>
  <c r="G343" i="199" s="1"/>
  <c r="G330" i="199" s="1"/>
  <c r="G329" i="199" s="1"/>
  <c r="F344" i="199"/>
  <c r="N343" i="199"/>
  <c r="M343" i="199"/>
  <c r="J343" i="199"/>
  <c r="I343" i="199"/>
  <c r="H343" i="199"/>
  <c r="F343" i="199"/>
  <c r="K341" i="199"/>
  <c r="E341" i="199"/>
  <c r="N340" i="199"/>
  <c r="M340" i="199"/>
  <c r="L340" i="199"/>
  <c r="L339" i="199" s="1"/>
  <c r="I340" i="199"/>
  <c r="I339" i="199" s="1"/>
  <c r="H340" i="199"/>
  <c r="G340" i="199"/>
  <c r="G339" i="199" s="1"/>
  <c r="F340" i="199"/>
  <c r="F339" i="199" s="1"/>
  <c r="E340" i="199"/>
  <c r="E339" i="199" s="1"/>
  <c r="N339" i="199"/>
  <c r="M339" i="199"/>
  <c r="H339" i="199"/>
  <c r="K338" i="199"/>
  <c r="K337" i="199" s="1"/>
  <c r="E338" i="199"/>
  <c r="N337" i="199"/>
  <c r="M337" i="199"/>
  <c r="L337" i="199"/>
  <c r="I337" i="199"/>
  <c r="H337" i="199"/>
  <c r="G337" i="199"/>
  <c r="F337" i="199"/>
  <c r="K336" i="199"/>
  <c r="O336" i="199" s="1"/>
  <c r="J336" i="199" s="1"/>
  <c r="E336" i="199"/>
  <c r="E335" i="199" s="1"/>
  <c r="N335" i="199"/>
  <c r="M335" i="199"/>
  <c r="L335" i="199"/>
  <c r="I335" i="199"/>
  <c r="H335" i="199"/>
  <c r="G335" i="199"/>
  <c r="F335" i="199"/>
  <c r="O334" i="199"/>
  <c r="J334" i="199" s="1"/>
  <c r="P334" i="199" s="1"/>
  <c r="E334" i="199"/>
  <c r="O333" i="199"/>
  <c r="J333" i="199"/>
  <c r="E333" i="199"/>
  <c r="O332" i="199"/>
  <c r="J332" i="199" s="1"/>
  <c r="F332" i="199"/>
  <c r="N331" i="199"/>
  <c r="M331" i="199"/>
  <c r="L331" i="199"/>
  <c r="K331" i="199"/>
  <c r="I331" i="199"/>
  <c r="H331" i="199"/>
  <c r="G331" i="199"/>
  <c r="O328" i="199"/>
  <c r="E328" i="199"/>
  <c r="N327" i="199"/>
  <c r="M327" i="199"/>
  <c r="L327" i="199"/>
  <c r="K327" i="199"/>
  <c r="K326" i="199" s="1"/>
  <c r="I327" i="199"/>
  <c r="I326" i="199" s="1"/>
  <c r="H327" i="199"/>
  <c r="G327" i="199"/>
  <c r="G326" i="199" s="1"/>
  <c r="G296" i="199" s="1"/>
  <c r="G295" i="199" s="1"/>
  <c r="F327" i="199"/>
  <c r="F326" i="199" s="1"/>
  <c r="N326" i="199"/>
  <c r="M326" i="199"/>
  <c r="L326" i="199"/>
  <c r="H326" i="199"/>
  <c r="O325" i="199"/>
  <c r="J325" i="199" s="1"/>
  <c r="H325" i="199"/>
  <c r="H322" i="199" s="1"/>
  <c r="H321" i="199" s="1"/>
  <c r="G325" i="199"/>
  <c r="G322" i="199" s="1"/>
  <c r="G321" i="199" s="1"/>
  <c r="F325" i="199"/>
  <c r="E325" i="199" s="1"/>
  <c r="O324" i="199"/>
  <c r="J324" i="199"/>
  <c r="H324" i="199"/>
  <c r="F324" i="199"/>
  <c r="O323" i="199"/>
  <c r="J323" i="199"/>
  <c r="E323" i="199"/>
  <c r="N322" i="199"/>
  <c r="N321" i="199" s="1"/>
  <c r="M322" i="199"/>
  <c r="M321" i="199" s="1"/>
  <c r="L322" i="199"/>
  <c r="K322" i="199"/>
  <c r="I322" i="199"/>
  <c r="I321" i="199" s="1"/>
  <c r="L321" i="199"/>
  <c r="K321" i="199"/>
  <c r="O320" i="199"/>
  <c r="J320" i="199"/>
  <c r="P320" i="199" s="1"/>
  <c r="E320" i="199"/>
  <c r="O318" i="199"/>
  <c r="L318" i="199"/>
  <c r="O317" i="199"/>
  <c r="N317" i="199"/>
  <c r="N314" i="199" s="1"/>
  <c r="M317" i="199"/>
  <c r="K317" i="199"/>
  <c r="I317" i="199"/>
  <c r="I314" i="199" s="1"/>
  <c r="H317" i="199"/>
  <c r="H314" i="199" s="1"/>
  <c r="G317" i="199"/>
  <c r="F317" i="199"/>
  <c r="E317" i="199"/>
  <c r="K316" i="199"/>
  <c r="O316" i="199" s="1"/>
  <c r="J316" i="199" s="1"/>
  <c r="P316" i="199" s="1"/>
  <c r="E316" i="199"/>
  <c r="O315" i="199"/>
  <c r="O314" i="199" s="1"/>
  <c r="E315" i="199"/>
  <c r="M314" i="199"/>
  <c r="K314" i="199"/>
  <c r="G314" i="199"/>
  <c r="F314" i="199"/>
  <c r="K313" i="199"/>
  <c r="O313" i="199" s="1"/>
  <c r="J313" i="199" s="1"/>
  <c r="F313" i="199"/>
  <c r="E313" i="199" s="1"/>
  <c r="E312" i="199" s="1"/>
  <c r="E311" i="199" s="1"/>
  <c r="N312" i="199"/>
  <c r="N311" i="199" s="1"/>
  <c r="M312" i="199"/>
  <c r="M311" i="199" s="1"/>
  <c r="M310" i="199" s="1"/>
  <c r="L312" i="199"/>
  <c r="L311" i="199" s="1"/>
  <c r="I312" i="199"/>
  <c r="H312" i="199"/>
  <c r="H311" i="199" s="1"/>
  <c r="H310" i="199" s="1"/>
  <c r="G312" i="199"/>
  <c r="G311" i="199" s="1"/>
  <c r="G310" i="199" s="1"/>
  <c r="F312" i="199"/>
  <c r="I311" i="199"/>
  <c r="F311" i="199"/>
  <c r="O309" i="199"/>
  <c r="J309" i="199" s="1"/>
  <c r="E309" i="199"/>
  <c r="O308" i="199"/>
  <c r="J308" i="199" s="1"/>
  <c r="E308" i="199"/>
  <c r="P308" i="199" s="1"/>
  <c r="O307" i="199"/>
  <c r="J307" i="199" s="1"/>
  <c r="F307" i="199"/>
  <c r="F312" i="200" s="1"/>
  <c r="O306" i="199"/>
  <c r="J306" i="199"/>
  <c r="F306" i="199"/>
  <c r="E306" i="199" s="1"/>
  <c r="O305" i="199"/>
  <c r="J305" i="199"/>
  <c r="E305" i="199"/>
  <c r="O304" i="199"/>
  <c r="J304" i="199" s="1"/>
  <c r="K304" i="199"/>
  <c r="K302" i="199" s="1"/>
  <c r="K301" i="199" s="1"/>
  <c r="F304" i="199"/>
  <c r="E304" i="199"/>
  <c r="O303" i="199"/>
  <c r="F303" i="199"/>
  <c r="E303" i="199"/>
  <c r="N302" i="199"/>
  <c r="N301" i="199" s="1"/>
  <c r="M302" i="199"/>
  <c r="M301" i="199" s="1"/>
  <c r="L302" i="199"/>
  <c r="L301" i="199" s="1"/>
  <c r="I302" i="199"/>
  <c r="I301" i="199" s="1"/>
  <c r="H302" i="199"/>
  <c r="H301" i="199" s="1"/>
  <c r="G302" i="199"/>
  <c r="G301" i="199"/>
  <c r="O300" i="199"/>
  <c r="J300" i="199"/>
  <c r="E300" i="199"/>
  <c r="O299" i="199"/>
  <c r="J299" i="199"/>
  <c r="E299" i="199"/>
  <c r="K298" i="199"/>
  <c r="O298" i="199" s="1"/>
  <c r="J298" i="199" s="1"/>
  <c r="E298" i="199"/>
  <c r="N297" i="199"/>
  <c r="M297" i="199"/>
  <c r="L297" i="199"/>
  <c r="I297" i="199"/>
  <c r="H297" i="199"/>
  <c r="G297" i="199"/>
  <c r="F297" i="199"/>
  <c r="O294" i="199"/>
  <c r="E294" i="199"/>
  <c r="E293" i="199" s="1"/>
  <c r="N293" i="199"/>
  <c r="M293" i="199"/>
  <c r="L293" i="199"/>
  <c r="L291" i="199" s="1"/>
  <c r="L290" i="199" s="1"/>
  <c r="K293" i="199"/>
  <c r="K291" i="199" s="1"/>
  <c r="K290" i="199" s="1"/>
  <c r="I293" i="199"/>
  <c r="H293" i="199"/>
  <c r="H291" i="199" s="1"/>
  <c r="H290" i="199" s="1"/>
  <c r="G293" i="199"/>
  <c r="G291" i="199" s="1"/>
  <c r="F293" i="199"/>
  <c r="O292" i="199"/>
  <c r="F292" i="199"/>
  <c r="E292" i="199"/>
  <c r="M291" i="199"/>
  <c r="I291" i="199"/>
  <c r="I290" i="199" s="1"/>
  <c r="M290" i="199"/>
  <c r="G290" i="199"/>
  <c r="O288" i="199"/>
  <c r="J288" i="199" s="1"/>
  <c r="J287" i="199" s="1"/>
  <c r="E288" i="199"/>
  <c r="N287" i="199"/>
  <c r="M287" i="199"/>
  <c r="L287" i="199"/>
  <c r="L284" i="199" s="1"/>
  <c r="K287" i="199"/>
  <c r="K284" i="199" s="1"/>
  <c r="K281" i="199" s="1"/>
  <c r="I287" i="199"/>
  <c r="I284" i="199" s="1"/>
  <c r="H287" i="199"/>
  <c r="H284" i="199" s="1"/>
  <c r="G287" i="199"/>
  <c r="G284" i="199" s="1"/>
  <c r="F287" i="199"/>
  <c r="K286" i="199"/>
  <c r="O286" i="199" s="1"/>
  <c r="J286" i="199" s="1"/>
  <c r="P286" i="199" s="1"/>
  <c r="E286" i="199"/>
  <c r="O285" i="199"/>
  <c r="J285" i="199" s="1"/>
  <c r="J284" i="199" s="1"/>
  <c r="F285" i="199"/>
  <c r="E285" i="199"/>
  <c r="N284" i="199"/>
  <c r="N281" i="199" s="1"/>
  <c r="M284" i="199"/>
  <c r="F284" i="199"/>
  <c r="F281" i="199" s="1"/>
  <c r="O283" i="199"/>
  <c r="O282" i="199" s="1"/>
  <c r="E283" i="199"/>
  <c r="N282" i="199"/>
  <c r="M282" i="199"/>
  <c r="L282" i="199"/>
  <c r="K282" i="199"/>
  <c r="I282" i="199"/>
  <c r="H282" i="199"/>
  <c r="G282" i="199"/>
  <c r="F282" i="199"/>
  <c r="E282" i="199"/>
  <c r="K280" i="199"/>
  <c r="O280" i="199" s="1"/>
  <c r="J280" i="199" s="1"/>
  <c r="E280" i="199"/>
  <c r="P280" i="199" s="1"/>
  <c r="K279" i="199"/>
  <c r="O279" i="199" s="1"/>
  <c r="J279" i="199" s="1"/>
  <c r="F279" i="199"/>
  <c r="E279" i="199" s="1"/>
  <c r="K278" i="199"/>
  <c r="O278" i="199" s="1"/>
  <c r="J278" i="199"/>
  <c r="F278" i="199"/>
  <c r="E278" i="199" s="1"/>
  <c r="O277" i="199"/>
  <c r="J277" i="199" s="1"/>
  <c r="F277" i="199"/>
  <c r="E277" i="199"/>
  <c r="P276" i="199"/>
  <c r="O276" i="199"/>
  <c r="J276" i="199" s="1"/>
  <c r="E276" i="199"/>
  <c r="K275" i="199"/>
  <c r="O275" i="199" s="1"/>
  <c r="E275" i="199"/>
  <c r="O274" i="199"/>
  <c r="J274" i="199"/>
  <c r="P274" i="199" s="1"/>
  <c r="E274" i="199"/>
  <c r="K273" i="199"/>
  <c r="O273" i="199" s="1"/>
  <c r="J273" i="199" s="1"/>
  <c r="F273" i="199"/>
  <c r="E273" i="199" s="1"/>
  <c r="E272" i="199" s="1"/>
  <c r="N272" i="199"/>
  <c r="M272" i="199"/>
  <c r="M271" i="199" s="1"/>
  <c r="L272" i="199"/>
  <c r="L271" i="199" s="1"/>
  <c r="K272" i="199"/>
  <c r="K271" i="199" s="1"/>
  <c r="I272" i="199"/>
  <c r="H272" i="199"/>
  <c r="H271" i="199" s="1"/>
  <c r="G272" i="199"/>
  <c r="N271" i="199"/>
  <c r="I271" i="199"/>
  <c r="G271" i="199"/>
  <c r="O270" i="199"/>
  <c r="J270" i="199" s="1"/>
  <c r="P270" i="199" s="1"/>
  <c r="P269" i="199" s="1"/>
  <c r="E270" i="199"/>
  <c r="N269" i="199"/>
  <c r="M269" i="199"/>
  <c r="L269" i="199"/>
  <c r="K269" i="199"/>
  <c r="I269" i="199"/>
  <c r="H269" i="199"/>
  <c r="G269" i="199"/>
  <c r="F269" i="199"/>
  <c r="E269" i="199"/>
  <c r="J268" i="199"/>
  <c r="E268" i="199"/>
  <c r="O267" i="199"/>
  <c r="J267" i="199" s="1"/>
  <c r="E267" i="199"/>
  <c r="O266" i="199"/>
  <c r="F266" i="199"/>
  <c r="E266" i="199"/>
  <c r="N265" i="199"/>
  <c r="M265" i="199"/>
  <c r="L265" i="199"/>
  <c r="K265" i="199"/>
  <c r="I265" i="199"/>
  <c r="H265" i="199"/>
  <c r="G265" i="199"/>
  <c r="F265" i="199"/>
  <c r="E265" i="199"/>
  <c r="O262" i="199"/>
  <c r="J262" i="199" s="1"/>
  <c r="E262" i="199"/>
  <c r="O261" i="199"/>
  <c r="N261" i="199"/>
  <c r="M261" i="199"/>
  <c r="L261" i="199"/>
  <c r="K261" i="199"/>
  <c r="I261" i="199"/>
  <c r="H261" i="199"/>
  <c r="G261" i="199"/>
  <c r="F261" i="199"/>
  <c r="E261" i="199"/>
  <c r="O260" i="199"/>
  <c r="N260" i="199"/>
  <c r="M260" i="199"/>
  <c r="L260" i="199"/>
  <c r="K260" i="199"/>
  <c r="I260" i="199"/>
  <c r="H260" i="199"/>
  <c r="G260" i="199"/>
  <c r="F260" i="199"/>
  <c r="E260" i="199"/>
  <c r="O259" i="199"/>
  <c r="J259" i="199" s="1"/>
  <c r="E259" i="199"/>
  <c r="O258" i="199"/>
  <c r="J258" i="199" s="1"/>
  <c r="P258" i="199" s="1"/>
  <c r="E258" i="199"/>
  <c r="O257" i="199"/>
  <c r="N257" i="199"/>
  <c r="M257" i="199"/>
  <c r="L257" i="199"/>
  <c r="K257" i="199"/>
  <c r="I257" i="199"/>
  <c r="H257" i="199"/>
  <c r="H253" i="199" s="1"/>
  <c r="G257" i="199"/>
  <c r="G253" i="199" s="1"/>
  <c r="F257" i="199"/>
  <c r="E257" i="199"/>
  <c r="K256" i="199"/>
  <c r="E256" i="199"/>
  <c r="N255" i="199"/>
  <c r="M255" i="199"/>
  <c r="L255" i="199"/>
  <c r="I255" i="199"/>
  <c r="H255" i="199"/>
  <c r="G255" i="199"/>
  <c r="G254" i="199" s="1"/>
  <c r="F255" i="199"/>
  <c r="F254" i="199" s="1"/>
  <c r="F253" i="199" s="1"/>
  <c r="E255" i="199"/>
  <c r="E254" i="199" s="1"/>
  <c r="E253" i="199" s="1"/>
  <c r="N254" i="199"/>
  <c r="M254" i="199"/>
  <c r="L254" i="199"/>
  <c r="I254" i="199"/>
  <c r="I253" i="199" s="1"/>
  <c r="H254" i="199"/>
  <c r="M253" i="199"/>
  <c r="O252" i="199"/>
  <c r="O251" i="199" s="1"/>
  <c r="O250" i="199" s="1"/>
  <c r="J252" i="199"/>
  <c r="J251" i="199" s="1"/>
  <c r="J250" i="199" s="1"/>
  <c r="E252" i="199"/>
  <c r="N251" i="199"/>
  <c r="M251" i="199"/>
  <c r="M250" i="199" s="1"/>
  <c r="L251" i="199"/>
  <c r="K251" i="199"/>
  <c r="K250" i="199" s="1"/>
  <c r="I251" i="199"/>
  <c r="I250" i="199" s="1"/>
  <c r="H251" i="199"/>
  <c r="H250" i="199" s="1"/>
  <c r="G251" i="199"/>
  <c r="F251" i="199"/>
  <c r="N250" i="199"/>
  <c r="L250" i="199"/>
  <c r="G250" i="199"/>
  <c r="F250" i="199"/>
  <c r="O249" i="199"/>
  <c r="J249" i="199" s="1"/>
  <c r="E249" i="199"/>
  <c r="P249" i="199" s="1"/>
  <c r="K248" i="199"/>
  <c r="O248" i="199" s="1"/>
  <c r="J248" i="199"/>
  <c r="E248" i="199"/>
  <c r="O247" i="199"/>
  <c r="J247" i="199" s="1"/>
  <c r="E247" i="199"/>
  <c r="O246" i="199"/>
  <c r="J246" i="199" s="1"/>
  <c r="F246" i="199"/>
  <c r="E246" i="199"/>
  <c r="N245" i="199"/>
  <c r="M245" i="199"/>
  <c r="L245" i="199"/>
  <c r="K245" i="199"/>
  <c r="I245" i="199"/>
  <c r="H245" i="199"/>
  <c r="G245" i="199"/>
  <c r="F245" i="199"/>
  <c r="E245" i="199"/>
  <c r="O244" i="199"/>
  <c r="G244" i="199"/>
  <c r="G243" i="199" s="1"/>
  <c r="F244" i="199"/>
  <c r="E244" i="199" s="1"/>
  <c r="N243" i="199"/>
  <c r="M243" i="199"/>
  <c r="L243" i="199"/>
  <c r="K243" i="199"/>
  <c r="I243" i="199"/>
  <c r="H243" i="199"/>
  <c r="O242" i="199"/>
  <c r="J242" i="199"/>
  <c r="F242" i="199"/>
  <c r="L241" i="199"/>
  <c r="L240" i="199" s="1"/>
  <c r="K241" i="199"/>
  <c r="K240" i="199" s="1"/>
  <c r="K234" i="199" s="1"/>
  <c r="H241" i="199"/>
  <c r="G241" i="199"/>
  <c r="G240" i="199" s="1"/>
  <c r="F241" i="199"/>
  <c r="E241" i="199" s="1"/>
  <c r="N240" i="199"/>
  <c r="M240" i="199"/>
  <c r="I240" i="199"/>
  <c r="H240" i="199"/>
  <c r="O239" i="199"/>
  <c r="E239" i="199"/>
  <c r="N238" i="199"/>
  <c r="M238" i="199"/>
  <c r="L238" i="199"/>
  <c r="L234" i="199" s="1"/>
  <c r="K238" i="199"/>
  <c r="I238" i="199"/>
  <c r="H238" i="199"/>
  <c r="G238" i="199"/>
  <c r="F238" i="199"/>
  <c r="E238" i="199"/>
  <c r="O237" i="199"/>
  <c r="J237" i="199" s="1"/>
  <c r="F237" i="199"/>
  <c r="E237" i="199" s="1"/>
  <c r="O236" i="199"/>
  <c r="J236" i="199"/>
  <c r="F236" i="199"/>
  <c r="E236" i="199" s="1"/>
  <c r="P236" i="199" s="1"/>
  <c r="N235" i="199"/>
  <c r="N234" i="199" s="1"/>
  <c r="M235" i="199"/>
  <c r="L235" i="199"/>
  <c r="K235" i="199"/>
  <c r="I235" i="199"/>
  <c r="I234" i="199" s="1"/>
  <c r="H235" i="199"/>
  <c r="G235" i="199"/>
  <c r="O233" i="199"/>
  <c r="J233" i="199"/>
  <c r="H233" i="199"/>
  <c r="F233" i="199"/>
  <c r="E233" i="199" s="1"/>
  <c r="L232" i="199"/>
  <c r="L231" i="199" s="1"/>
  <c r="K232" i="199"/>
  <c r="O232" i="199" s="1"/>
  <c r="H232" i="199"/>
  <c r="H231" i="199" s="1"/>
  <c r="F232" i="199"/>
  <c r="E232" i="199"/>
  <c r="N231" i="199"/>
  <c r="M231" i="199"/>
  <c r="I231" i="199"/>
  <c r="G231" i="199"/>
  <c r="O230" i="199"/>
  <c r="J230" i="199" s="1"/>
  <c r="H230" i="199"/>
  <c r="H229" i="199" s="1"/>
  <c r="H228" i="199" s="1"/>
  <c r="G230" i="199"/>
  <c r="F230" i="199"/>
  <c r="O229" i="199"/>
  <c r="N229" i="199"/>
  <c r="N228" i="199" s="1"/>
  <c r="M229" i="199"/>
  <c r="L229" i="199"/>
  <c r="K229" i="199"/>
  <c r="I229" i="199"/>
  <c r="G229" i="199"/>
  <c r="O225" i="199"/>
  <c r="J225" i="199" s="1"/>
  <c r="J224" i="199" s="1"/>
  <c r="J223" i="199" s="1"/>
  <c r="E225" i="199"/>
  <c r="N224" i="199"/>
  <c r="M224" i="199"/>
  <c r="M223" i="199" s="1"/>
  <c r="L224" i="199"/>
  <c r="K224" i="199"/>
  <c r="K223" i="199" s="1"/>
  <c r="I224" i="199"/>
  <c r="I223" i="199" s="1"/>
  <c r="H224" i="199"/>
  <c r="H223" i="199" s="1"/>
  <c r="G224" i="199"/>
  <c r="F224" i="199"/>
  <c r="F223" i="199" s="1"/>
  <c r="E224" i="199"/>
  <c r="E223" i="199" s="1"/>
  <c r="N223" i="199"/>
  <c r="L223" i="199"/>
  <c r="G223" i="199"/>
  <c r="O222" i="199"/>
  <c r="J222" i="199" s="1"/>
  <c r="E222" i="199"/>
  <c r="O221" i="199"/>
  <c r="J221" i="199" s="1"/>
  <c r="E221" i="199"/>
  <c r="O220" i="199"/>
  <c r="F220" i="199"/>
  <c r="E220" i="199"/>
  <c r="E219" i="199" s="1"/>
  <c r="E218" i="199" s="1"/>
  <c r="E217" i="199" s="1"/>
  <c r="N219" i="199"/>
  <c r="N218" i="199" s="1"/>
  <c r="M219" i="199"/>
  <c r="L219" i="199"/>
  <c r="K219" i="199"/>
  <c r="I219" i="199"/>
  <c r="I218" i="199" s="1"/>
  <c r="I217" i="199" s="1"/>
  <c r="H219" i="199"/>
  <c r="H218" i="199" s="1"/>
  <c r="H217" i="199" s="1"/>
  <c r="G219" i="199"/>
  <c r="G218" i="199" s="1"/>
  <c r="G217" i="199" s="1"/>
  <c r="F219" i="199"/>
  <c r="F218" i="199" s="1"/>
  <c r="F217" i="199" s="1"/>
  <c r="M218" i="199"/>
  <c r="M217" i="199" s="1"/>
  <c r="L218" i="199"/>
  <c r="K218" i="199"/>
  <c r="K217" i="199" s="1"/>
  <c r="N217" i="199"/>
  <c r="L217" i="199"/>
  <c r="K216" i="199"/>
  <c r="F216" i="199"/>
  <c r="E216" i="199" s="1"/>
  <c r="O215" i="199"/>
  <c r="J215" i="199"/>
  <c r="H215" i="199"/>
  <c r="G215" i="199"/>
  <c r="G214" i="199" s="1"/>
  <c r="F215" i="199"/>
  <c r="F214" i="199" s="1"/>
  <c r="E215" i="199"/>
  <c r="E214" i="199" s="1"/>
  <c r="E209" i="199" s="1"/>
  <c r="N214" i="199"/>
  <c r="N209" i="199" s="1"/>
  <c r="M214" i="199"/>
  <c r="L214" i="199"/>
  <c r="I214" i="199"/>
  <c r="I209" i="199" s="1"/>
  <c r="H214" i="199"/>
  <c r="O213" i="199"/>
  <c r="J213" i="199" s="1"/>
  <c r="E213" i="199"/>
  <c r="O212" i="199"/>
  <c r="J212" i="199"/>
  <c r="H212" i="199"/>
  <c r="G212" i="199"/>
  <c r="G209" i="199" s="1"/>
  <c r="F212" i="199"/>
  <c r="E212" i="199"/>
  <c r="P212" i="199" s="1"/>
  <c r="O211" i="199"/>
  <c r="J211" i="199"/>
  <c r="H211" i="199"/>
  <c r="G211" i="199"/>
  <c r="F211" i="199"/>
  <c r="E211" i="199"/>
  <c r="P211" i="199" s="1"/>
  <c r="K210" i="199"/>
  <c r="O210" i="199" s="1"/>
  <c r="J210" i="199" s="1"/>
  <c r="H210" i="199"/>
  <c r="G210" i="199"/>
  <c r="F210" i="199"/>
  <c r="E210" i="199"/>
  <c r="M209" i="199"/>
  <c r="L209" i="199"/>
  <c r="K208" i="199"/>
  <c r="O208" i="199" s="1"/>
  <c r="H208" i="199"/>
  <c r="H207" i="199" s="1"/>
  <c r="G208" i="199"/>
  <c r="G207" i="199" s="1"/>
  <c r="F208" i="199"/>
  <c r="E208" i="199"/>
  <c r="N207" i="199"/>
  <c r="M207" i="199"/>
  <c r="L207" i="199"/>
  <c r="L206" i="199" s="1"/>
  <c r="K207" i="199"/>
  <c r="I207" i="199"/>
  <c r="F207" i="199"/>
  <c r="E207" i="199"/>
  <c r="O203" i="199"/>
  <c r="O202" i="199" s="1"/>
  <c r="O200" i="199" s="1"/>
  <c r="O199" i="199" s="1"/>
  <c r="J203" i="199"/>
  <c r="P203" i="199" s="1"/>
  <c r="P202" i="199" s="1"/>
  <c r="P200" i="199" s="1"/>
  <c r="P199" i="199" s="1"/>
  <c r="E203" i="199"/>
  <c r="N202" i="199"/>
  <c r="M202" i="199"/>
  <c r="L202" i="199"/>
  <c r="K202" i="199"/>
  <c r="I202" i="199"/>
  <c r="H202" i="199"/>
  <c r="G202" i="199"/>
  <c r="F202" i="199"/>
  <c r="E202" i="199"/>
  <c r="O201" i="199"/>
  <c r="J201" i="199"/>
  <c r="P201" i="199" s="1"/>
  <c r="E201" i="199"/>
  <c r="N200" i="199"/>
  <c r="M200" i="199"/>
  <c r="L200" i="199"/>
  <c r="K200" i="199"/>
  <c r="I200" i="199"/>
  <c r="H200" i="199"/>
  <c r="G200" i="199"/>
  <c r="F200" i="199"/>
  <c r="E200" i="199"/>
  <c r="N199" i="199"/>
  <c r="M199" i="199"/>
  <c r="L199" i="199"/>
  <c r="K199" i="199"/>
  <c r="I199" i="199"/>
  <c r="H199" i="199"/>
  <c r="G199" i="199"/>
  <c r="F199" i="199"/>
  <c r="E199" i="199"/>
  <c r="O198" i="199"/>
  <c r="J198" i="199"/>
  <c r="P198" i="199" s="1"/>
  <c r="E198" i="199"/>
  <c r="O197" i="199"/>
  <c r="J197" i="199"/>
  <c r="P197" i="199" s="1"/>
  <c r="P196" i="199" s="1"/>
  <c r="P195" i="199" s="1"/>
  <c r="E197" i="199"/>
  <c r="O196" i="199"/>
  <c r="N196" i="199"/>
  <c r="M196" i="199"/>
  <c r="L196" i="199"/>
  <c r="K196" i="199"/>
  <c r="J196" i="199"/>
  <c r="I196" i="199"/>
  <c r="H196" i="199"/>
  <c r="G196" i="199"/>
  <c r="F196" i="199"/>
  <c r="E196" i="199"/>
  <c r="O195" i="199"/>
  <c r="N195" i="199"/>
  <c r="M195" i="199"/>
  <c r="L195" i="199"/>
  <c r="K195" i="199"/>
  <c r="J195" i="199"/>
  <c r="I195" i="199"/>
  <c r="H195" i="199"/>
  <c r="G195" i="199"/>
  <c r="F195" i="199"/>
  <c r="E195" i="199"/>
  <c r="K194" i="199"/>
  <c r="O194" i="199" s="1"/>
  <c r="J194" i="199" s="1"/>
  <c r="E194" i="199"/>
  <c r="O193" i="199"/>
  <c r="J193" i="199" s="1"/>
  <c r="E193" i="199"/>
  <c r="K192" i="199"/>
  <c r="O192" i="199" s="1"/>
  <c r="J192" i="199"/>
  <c r="F192" i="199"/>
  <c r="F197" i="200" s="1"/>
  <c r="E192" i="199"/>
  <c r="N191" i="199"/>
  <c r="N190" i="199" s="1"/>
  <c r="M191" i="199"/>
  <c r="M190" i="199" s="1"/>
  <c r="L191" i="199"/>
  <c r="K191" i="199"/>
  <c r="O191" i="199" s="1"/>
  <c r="H191" i="199"/>
  <c r="H190" i="199" s="1"/>
  <c r="G191" i="199"/>
  <c r="G190" i="199" s="1"/>
  <c r="F191" i="199"/>
  <c r="K190" i="199"/>
  <c r="I190" i="199"/>
  <c r="K189" i="199"/>
  <c r="O189" i="199" s="1"/>
  <c r="J189" i="199" s="1"/>
  <c r="E189" i="199"/>
  <c r="O187" i="199"/>
  <c r="J187" i="199" s="1"/>
  <c r="E187" i="199"/>
  <c r="P187" i="199" s="1"/>
  <c r="O184" i="199"/>
  <c r="J184" i="199" s="1"/>
  <c r="E184" i="199"/>
  <c r="O181" i="199"/>
  <c r="J181" i="199" s="1"/>
  <c r="E181" i="199"/>
  <c r="P181" i="199" s="1"/>
  <c r="O179" i="199"/>
  <c r="J179" i="199" s="1"/>
  <c r="E179" i="199"/>
  <c r="P179" i="199" s="1"/>
  <c r="O175" i="199"/>
  <c r="J175" i="199" s="1"/>
  <c r="J174" i="199" s="1"/>
  <c r="E175" i="199"/>
  <c r="N174" i="199"/>
  <c r="M174" i="199"/>
  <c r="L174" i="199"/>
  <c r="K174" i="199"/>
  <c r="I174" i="199"/>
  <c r="H174" i="199"/>
  <c r="G174" i="199"/>
  <c r="F174" i="199"/>
  <c r="O173" i="199"/>
  <c r="J173" i="199" s="1"/>
  <c r="E173" i="199"/>
  <c r="P173" i="199" s="1"/>
  <c r="O172" i="199"/>
  <c r="F172" i="199"/>
  <c r="E172" i="199"/>
  <c r="N171" i="199"/>
  <c r="M171" i="199"/>
  <c r="L171" i="199"/>
  <c r="K171" i="199"/>
  <c r="I171" i="199"/>
  <c r="H171" i="199"/>
  <c r="G171" i="199"/>
  <c r="F171" i="199"/>
  <c r="O170" i="199"/>
  <c r="J170" i="199" s="1"/>
  <c r="P170" i="199" s="1"/>
  <c r="E170" i="199"/>
  <c r="O169" i="199"/>
  <c r="J169" i="199" s="1"/>
  <c r="P169" i="199" s="1"/>
  <c r="E169" i="199"/>
  <c r="N168" i="199"/>
  <c r="M168" i="199"/>
  <c r="L168" i="199"/>
  <c r="K168" i="199"/>
  <c r="O168" i="199" s="1"/>
  <c r="J168" i="199"/>
  <c r="I168" i="199"/>
  <c r="H168" i="199"/>
  <c r="G168" i="199"/>
  <c r="F168" i="199"/>
  <c r="O167" i="199"/>
  <c r="J167" i="199" s="1"/>
  <c r="P167" i="199" s="1"/>
  <c r="E167" i="199"/>
  <c r="O166" i="199"/>
  <c r="J166" i="199"/>
  <c r="F166" i="199"/>
  <c r="E166" i="199" s="1"/>
  <c r="K165" i="199"/>
  <c r="K164" i="199" s="1"/>
  <c r="H165" i="199"/>
  <c r="F165" i="199"/>
  <c r="E165" i="199" s="1"/>
  <c r="N164" i="199"/>
  <c r="M164" i="199"/>
  <c r="L164" i="199"/>
  <c r="I164" i="199"/>
  <c r="H164" i="199"/>
  <c r="G164" i="199"/>
  <c r="O163" i="199"/>
  <c r="J163" i="199"/>
  <c r="P163" i="199" s="1"/>
  <c r="P162" i="199" s="1"/>
  <c r="E163" i="199"/>
  <c r="O162" i="199"/>
  <c r="N162" i="199"/>
  <c r="M162" i="199"/>
  <c r="L162" i="199"/>
  <c r="K162" i="199"/>
  <c r="J162" i="199"/>
  <c r="I162" i="199"/>
  <c r="H162" i="199"/>
  <c r="G162" i="199"/>
  <c r="F162" i="199"/>
  <c r="E162" i="199"/>
  <c r="K161" i="199"/>
  <c r="O161" i="199" s="1"/>
  <c r="H161" i="199"/>
  <c r="G161" i="199"/>
  <c r="F161" i="199"/>
  <c r="O160" i="199"/>
  <c r="N160" i="199"/>
  <c r="N159" i="199" s="1"/>
  <c r="J160" i="199"/>
  <c r="H160" i="199"/>
  <c r="H159" i="199" s="1"/>
  <c r="F160" i="199"/>
  <c r="E160" i="199"/>
  <c r="M159" i="199"/>
  <c r="L159" i="199"/>
  <c r="I159" i="199"/>
  <c r="G159" i="199"/>
  <c r="O158" i="199"/>
  <c r="J158" i="199" s="1"/>
  <c r="E158" i="199"/>
  <c r="O157" i="199"/>
  <c r="J157" i="199" s="1"/>
  <c r="E157" i="199"/>
  <c r="P157" i="199" s="1"/>
  <c r="O156" i="199"/>
  <c r="J156" i="199" s="1"/>
  <c r="E156" i="199"/>
  <c r="O155" i="199"/>
  <c r="J155" i="199" s="1"/>
  <c r="F155" i="199"/>
  <c r="F160" i="200" s="1"/>
  <c r="O154" i="199"/>
  <c r="J154" i="199"/>
  <c r="E154" i="199"/>
  <c r="P154" i="199" s="1"/>
  <c r="O153" i="199"/>
  <c r="J153" i="199"/>
  <c r="J158" i="200" s="1"/>
  <c r="E153" i="199"/>
  <c r="P153" i="199" s="1"/>
  <c r="O152" i="199"/>
  <c r="J152" i="199"/>
  <c r="E152" i="199"/>
  <c r="P152" i="199" s="1"/>
  <c r="O151" i="199"/>
  <c r="O156" i="200" s="1"/>
  <c r="J151" i="199"/>
  <c r="F151" i="199"/>
  <c r="E151" i="199" s="1"/>
  <c r="P151" i="199" s="1"/>
  <c r="N150" i="199"/>
  <c r="N155" i="200" s="1"/>
  <c r="M150" i="199"/>
  <c r="M149" i="199" s="1"/>
  <c r="L150" i="199"/>
  <c r="K150" i="199"/>
  <c r="J150" i="199"/>
  <c r="I150" i="199"/>
  <c r="H150" i="199"/>
  <c r="G150" i="199"/>
  <c r="J148" i="199"/>
  <c r="E148" i="199"/>
  <c r="O147" i="199"/>
  <c r="J147" i="199"/>
  <c r="E147" i="199"/>
  <c r="K146" i="199"/>
  <c r="E146" i="199"/>
  <c r="N145" i="199"/>
  <c r="M145" i="199"/>
  <c r="L145" i="199"/>
  <c r="I145" i="199"/>
  <c r="H145" i="199"/>
  <c r="G145" i="199"/>
  <c r="F145" i="199"/>
  <c r="E145" i="199"/>
  <c r="O142" i="199"/>
  <c r="J142" i="199" s="1"/>
  <c r="P142" i="199" s="1"/>
  <c r="E142" i="199"/>
  <c r="O141" i="199"/>
  <c r="J141" i="199"/>
  <c r="P141" i="199" s="1"/>
  <c r="E141" i="199"/>
  <c r="K140" i="199"/>
  <c r="O140" i="199" s="1"/>
  <c r="E140" i="199"/>
  <c r="E139" i="199" s="1"/>
  <c r="E136" i="199" s="1"/>
  <c r="N139" i="199"/>
  <c r="N136" i="199" s="1"/>
  <c r="M139" i="199"/>
  <c r="L139" i="199"/>
  <c r="L136" i="199" s="1"/>
  <c r="I139" i="199"/>
  <c r="I136" i="199" s="1"/>
  <c r="H139" i="199"/>
  <c r="H136" i="199" s="1"/>
  <c r="G139" i="199"/>
  <c r="F139" i="199"/>
  <c r="O138" i="199"/>
  <c r="E138" i="199"/>
  <c r="N137" i="199"/>
  <c r="M137" i="199"/>
  <c r="L137" i="199"/>
  <c r="K137" i="199"/>
  <c r="I137" i="199"/>
  <c r="H137" i="199"/>
  <c r="G137" i="199"/>
  <c r="F137" i="199"/>
  <c r="E137" i="199"/>
  <c r="M136" i="199"/>
  <c r="G136" i="199"/>
  <c r="F136" i="199"/>
  <c r="O135" i="199"/>
  <c r="E135" i="199"/>
  <c r="J134" i="199"/>
  <c r="E134" i="199"/>
  <c r="E137" i="200" s="1"/>
  <c r="O133" i="199"/>
  <c r="N133" i="199"/>
  <c r="M133" i="199"/>
  <c r="M132" i="199" s="1"/>
  <c r="L133" i="199"/>
  <c r="L132" i="199" s="1"/>
  <c r="K133" i="199"/>
  <c r="J133" i="199"/>
  <c r="I133" i="199"/>
  <c r="H133" i="199"/>
  <c r="H132" i="199" s="1"/>
  <c r="G133" i="199"/>
  <c r="F133" i="199"/>
  <c r="F132" i="199" s="1"/>
  <c r="E133" i="199"/>
  <c r="E136" i="200" s="1"/>
  <c r="N132" i="199"/>
  <c r="K132" i="199"/>
  <c r="I132" i="199"/>
  <c r="I135" i="200" s="1"/>
  <c r="G132" i="199"/>
  <c r="K131" i="199"/>
  <c r="O131" i="199" s="1"/>
  <c r="J131" i="199" s="1"/>
  <c r="E131" i="199"/>
  <c r="K130" i="199"/>
  <c r="O130" i="199" s="1"/>
  <c r="E130" i="199"/>
  <c r="N129" i="199"/>
  <c r="M129" i="199"/>
  <c r="M132" i="200" s="1"/>
  <c r="L129" i="199"/>
  <c r="K129" i="199"/>
  <c r="I129" i="199"/>
  <c r="H129" i="199"/>
  <c r="G129" i="199"/>
  <c r="F129" i="199"/>
  <c r="O128" i="199"/>
  <c r="J128" i="199"/>
  <c r="P128" i="199" s="1"/>
  <c r="E128" i="199"/>
  <c r="O127" i="199"/>
  <c r="O126" i="199" s="1"/>
  <c r="J127" i="199"/>
  <c r="P127" i="199" s="1"/>
  <c r="E127" i="199"/>
  <c r="N126" i="199"/>
  <c r="M126" i="199"/>
  <c r="L126" i="199"/>
  <c r="K126" i="199"/>
  <c r="I126" i="199"/>
  <c r="I129" i="200" s="1"/>
  <c r="H126" i="199"/>
  <c r="G126" i="199"/>
  <c r="F126" i="199"/>
  <c r="E126" i="199"/>
  <c r="O125" i="199"/>
  <c r="J125" i="199"/>
  <c r="E125" i="199"/>
  <c r="P125" i="199" s="1"/>
  <c r="P124" i="199" s="1"/>
  <c r="O124" i="199"/>
  <c r="N124" i="199"/>
  <c r="M124" i="199"/>
  <c r="L124" i="199"/>
  <c r="K124" i="199"/>
  <c r="J124" i="199"/>
  <c r="I124" i="199"/>
  <c r="I127" i="200" s="1"/>
  <c r="H124" i="199"/>
  <c r="G124" i="199"/>
  <c r="F124" i="199"/>
  <c r="E124" i="199"/>
  <c r="K123" i="199"/>
  <c r="O123" i="199" s="1"/>
  <c r="J123" i="199" s="1"/>
  <c r="J122" i="199" s="1"/>
  <c r="E123" i="199"/>
  <c r="E122" i="199" s="1"/>
  <c r="O122" i="199"/>
  <c r="N122" i="199"/>
  <c r="M122" i="199"/>
  <c r="L122" i="199"/>
  <c r="K122" i="199"/>
  <c r="K116" i="199" s="1"/>
  <c r="I122" i="199"/>
  <c r="H122" i="199"/>
  <c r="H116" i="199" s="1"/>
  <c r="G122" i="199"/>
  <c r="G116" i="199" s="1"/>
  <c r="F122" i="199"/>
  <c r="K121" i="199"/>
  <c r="O121" i="199" s="1"/>
  <c r="J121" i="199" s="1"/>
  <c r="F121" i="199"/>
  <c r="E121" i="199"/>
  <c r="K120" i="199"/>
  <c r="O120" i="199" s="1"/>
  <c r="J120" i="199" s="1"/>
  <c r="F120" i="199"/>
  <c r="E120" i="199"/>
  <c r="K119" i="199"/>
  <c r="O119" i="199" s="1"/>
  <c r="J119" i="199" s="1"/>
  <c r="F119" i="199"/>
  <c r="E119" i="199"/>
  <c r="P118" i="199"/>
  <c r="O118" i="199"/>
  <c r="J118" i="199" s="1"/>
  <c r="F118" i="199"/>
  <c r="E118" i="199" s="1"/>
  <c r="K117" i="199"/>
  <c r="F117" i="199"/>
  <c r="E117" i="199" s="1"/>
  <c r="O115" i="199"/>
  <c r="J115" i="199" s="1"/>
  <c r="E115" i="199"/>
  <c r="E113" i="199" s="1"/>
  <c r="O114" i="199"/>
  <c r="J114" i="199" s="1"/>
  <c r="E114" i="199"/>
  <c r="N113" i="199"/>
  <c r="M113" i="199"/>
  <c r="L113" i="199"/>
  <c r="K113" i="199"/>
  <c r="K116" i="200" s="1"/>
  <c r="I113" i="199"/>
  <c r="H113" i="199"/>
  <c r="G113" i="199"/>
  <c r="F113" i="199"/>
  <c r="O110" i="199"/>
  <c r="J110" i="199" s="1"/>
  <c r="J109" i="199" s="1"/>
  <c r="J108" i="199" s="1"/>
  <c r="E110" i="199"/>
  <c r="P110" i="199" s="1"/>
  <c r="P109" i="199" s="1"/>
  <c r="P108" i="199" s="1"/>
  <c r="N109" i="199"/>
  <c r="M109" i="199"/>
  <c r="L109" i="199"/>
  <c r="K109" i="199"/>
  <c r="K108" i="199" s="1"/>
  <c r="I109" i="199"/>
  <c r="I108" i="199" s="1"/>
  <c r="H109" i="199"/>
  <c r="H108" i="199" s="1"/>
  <c r="G109" i="199"/>
  <c r="G108" i="199" s="1"/>
  <c r="F109" i="199"/>
  <c r="N108" i="199"/>
  <c r="M108" i="199"/>
  <c r="L108" i="199"/>
  <c r="F108" i="199"/>
  <c r="O107" i="199"/>
  <c r="J107" i="199" s="1"/>
  <c r="J106" i="199" s="1"/>
  <c r="J105" i="199" s="1"/>
  <c r="E107" i="199"/>
  <c r="N106" i="199"/>
  <c r="M106" i="199"/>
  <c r="M105" i="199" s="1"/>
  <c r="L106" i="199"/>
  <c r="L105" i="199" s="1"/>
  <c r="K106" i="199"/>
  <c r="I106" i="199"/>
  <c r="I105" i="199" s="1"/>
  <c r="H106" i="199"/>
  <c r="H105" i="199" s="1"/>
  <c r="G106" i="199"/>
  <c r="G105" i="199" s="1"/>
  <c r="F106" i="199"/>
  <c r="E106" i="199"/>
  <c r="E105" i="199" s="1"/>
  <c r="N105" i="199"/>
  <c r="K105" i="199"/>
  <c r="F105" i="199"/>
  <c r="K104" i="199"/>
  <c r="K105" i="200" s="1"/>
  <c r="E104" i="199"/>
  <c r="N103" i="199"/>
  <c r="M103" i="199"/>
  <c r="M100" i="199" s="1"/>
  <c r="L103" i="199"/>
  <c r="L100" i="199" s="1"/>
  <c r="I103" i="199"/>
  <c r="H103" i="199"/>
  <c r="H100" i="199" s="1"/>
  <c r="G103" i="199"/>
  <c r="F103" i="199"/>
  <c r="E103" i="199"/>
  <c r="K102" i="199"/>
  <c r="E102" i="199"/>
  <c r="E101" i="199" s="1"/>
  <c r="E100" i="199" s="1"/>
  <c r="N101" i="199"/>
  <c r="M101" i="199"/>
  <c r="L101" i="199"/>
  <c r="I101" i="199"/>
  <c r="H101" i="199"/>
  <c r="G101" i="199"/>
  <c r="F101" i="199"/>
  <c r="F100" i="199" s="1"/>
  <c r="N100" i="199"/>
  <c r="O99" i="199"/>
  <c r="J99" i="199" s="1"/>
  <c r="E99" i="199"/>
  <c r="P99" i="199" s="1"/>
  <c r="O98" i="199"/>
  <c r="J98" i="199"/>
  <c r="E98" i="199"/>
  <c r="N97" i="199"/>
  <c r="M97" i="199"/>
  <c r="L97" i="199"/>
  <c r="K97" i="199"/>
  <c r="K98" i="200" s="1"/>
  <c r="I97" i="199"/>
  <c r="H97" i="199"/>
  <c r="G97" i="199"/>
  <c r="F97" i="199"/>
  <c r="E97" i="199"/>
  <c r="O96" i="199"/>
  <c r="J96" i="199"/>
  <c r="E96" i="199"/>
  <c r="P96" i="199" s="1"/>
  <c r="O95" i="199"/>
  <c r="E95" i="199"/>
  <c r="N94" i="199"/>
  <c r="M94" i="199"/>
  <c r="L94" i="199"/>
  <c r="K94" i="199"/>
  <c r="I94" i="199"/>
  <c r="H94" i="199"/>
  <c r="G94" i="199"/>
  <c r="F94" i="199"/>
  <c r="K93" i="199"/>
  <c r="O93" i="199" s="1"/>
  <c r="J93" i="199" s="1"/>
  <c r="E93" i="199"/>
  <c r="O92" i="199"/>
  <c r="J92" i="199" s="1"/>
  <c r="P92" i="199" s="1"/>
  <c r="E92" i="199"/>
  <c r="K91" i="199"/>
  <c r="F91" i="199"/>
  <c r="E91" i="199" s="1"/>
  <c r="E90" i="199" s="1"/>
  <c r="N90" i="199"/>
  <c r="M90" i="199"/>
  <c r="L90" i="199"/>
  <c r="I90" i="199"/>
  <c r="H90" i="199"/>
  <c r="G90" i="199"/>
  <c r="F90" i="199"/>
  <c r="O89" i="199"/>
  <c r="J89" i="199"/>
  <c r="E89" i="199"/>
  <c r="P89" i="199" s="1"/>
  <c r="O88" i="199"/>
  <c r="J88" i="199"/>
  <c r="E88" i="199"/>
  <c r="P88" i="199" s="1"/>
  <c r="O87" i="199"/>
  <c r="J87" i="199" s="1"/>
  <c r="E87" i="199"/>
  <c r="O86" i="199"/>
  <c r="O85" i="199" s="1"/>
  <c r="J86" i="199"/>
  <c r="E86" i="199"/>
  <c r="N85" i="199"/>
  <c r="M85" i="199"/>
  <c r="L85" i="199"/>
  <c r="K85" i="199"/>
  <c r="I85" i="199"/>
  <c r="H85" i="199"/>
  <c r="G85" i="199"/>
  <c r="F85" i="199"/>
  <c r="E85" i="199"/>
  <c r="O84" i="199"/>
  <c r="J84" i="199"/>
  <c r="E84" i="199"/>
  <c r="P84" i="199" s="1"/>
  <c r="K83" i="199"/>
  <c r="O83" i="199" s="1"/>
  <c r="O82" i="199" s="1"/>
  <c r="E83" i="199"/>
  <c r="N82" i="199"/>
  <c r="M82" i="199"/>
  <c r="L82" i="199"/>
  <c r="I82" i="199"/>
  <c r="H82" i="199"/>
  <c r="G82" i="199"/>
  <c r="G83" i="200" s="1"/>
  <c r="F82" i="199"/>
  <c r="O81" i="199"/>
  <c r="F81" i="199"/>
  <c r="E81" i="199" s="1"/>
  <c r="O80" i="199"/>
  <c r="J80" i="199" s="1"/>
  <c r="P80" i="199" s="1"/>
  <c r="E80" i="199"/>
  <c r="N79" i="199"/>
  <c r="M79" i="199"/>
  <c r="L79" i="199"/>
  <c r="K79" i="199"/>
  <c r="K80" i="200" s="1"/>
  <c r="I79" i="199"/>
  <c r="H79" i="199"/>
  <c r="G79" i="199"/>
  <c r="O78" i="199"/>
  <c r="O79" i="200" s="1"/>
  <c r="J78" i="199"/>
  <c r="E78" i="199"/>
  <c r="O77" i="199"/>
  <c r="O78" i="200" s="1"/>
  <c r="J77" i="199"/>
  <c r="E77" i="199"/>
  <c r="O76" i="199"/>
  <c r="E76" i="199"/>
  <c r="O75" i="199"/>
  <c r="O76" i="200" s="1"/>
  <c r="J75" i="199"/>
  <c r="P75" i="199" s="1"/>
  <c r="E75" i="199"/>
  <c r="O74" i="199"/>
  <c r="J74" i="199"/>
  <c r="E74" i="199"/>
  <c r="O73" i="199"/>
  <c r="O74" i="200" s="1"/>
  <c r="J73" i="199"/>
  <c r="E73" i="199"/>
  <c r="O72" i="199"/>
  <c r="N72" i="199"/>
  <c r="M72" i="199"/>
  <c r="L72" i="199"/>
  <c r="J72" i="199" s="1"/>
  <c r="K72" i="199"/>
  <c r="I72" i="199"/>
  <c r="H72" i="199"/>
  <c r="G72" i="199"/>
  <c r="G73" i="200" s="1"/>
  <c r="F72" i="199"/>
  <c r="E72" i="199" s="1"/>
  <c r="O71" i="199"/>
  <c r="J71" i="199"/>
  <c r="H71" i="199"/>
  <c r="F71" i="199"/>
  <c r="E71" i="199"/>
  <c r="O70" i="199"/>
  <c r="J70" i="199" s="1"/>
  <c r="P70" i="199" s="1"/>
  <c r="E70" i="199"/>
  <c r="O69" i="199"/>
  <c r="O70" i="200" s="1"/>
  <c r="J69" i="199"/>
  <c r="H69" i="199"/>
  <c r="F69" i="199"/>
  <c r="E69" i="199" s="1"/>
  <c r="E68" i="199" s="1"/>
  <c r="N68" i="199"/>
  <c r="M68" i="199"/>
  <c r="L68" i="199"/>
  <c r="K68" i="199"/>
  <c r="K69" i="200" s="1"/>
  <c r="I68" i="199"/>
  <c r="H68" i="199"/>
  <c r="G68" i="199"/>
  <c r="K67" i="199"/>
  <c r="O67" i="199" s="1"/>
  <c r="J67" i="199" s="1"/>
  <c r="F67" i="199"/>
  <c r="E67" i="199"/>
  <c r="K66" i="199"/>
  <c r="H66" i="199"/>
  <c r="H65" i="199" s="1"/>
  <c r="G66" i="199"/>
  <c r="G67" i="200" s="1"/>
  <c r="F66" i="199"/>
  <c r="E66" i="199" s="1"/>
  <c r="E65" i="199" s="1"/>
  <c r="N65" i="199"/>
  <c r="M65" i="199"/>
  <c r="L65" i="199"/>
  <c r="I65" i="199"/>
  <c r="J64" i="199"/>
  <c r="E64" i="199"/>
  <c r="P64" i="199" s="1"/>
  <c r="O63" i="199"/>
  <c r="J63" i="199" s="1"/>
  <c r="K63" i="199"/>
  <c r="H63" i="199"/>
  <c r="H62" i="199" s="1"/>
  <c r="G63" i="199"/>
  <c r="G62" i="199" s="1"/>
  <c r="F63" i="199"/>
  <c r="E63" i="199"/>
  <c r="E62" i="199" s="1"/>
  <c r="N62" i="199"/>
  <c r="M62" i="199"/>
  <c r="L62" i="199"/>
  <c r="K62" i="199"/>
  <c r="I62" i="199"/>
  <c r="F62" i="199"/>
  <c r="K61" i="199"/>
  <c r="O61" i="199" s="1"/>
  <c r="J61" i="199" s="1"/>
  <c r="P61" i="199" s="1"/>
  <c r="H61" i="199"/>
  <c r="G61" i="199"/>
  <c r="F61" i="199"/>
  <c r="E61" i="199"/>
  <c r="O60" i="199"/>
  <c r="J60" i="199" s="1"/>
  <c r="J59" i="199" s="1"/>
  <c r="E60" i="199"/>
  <c r="N59" i="199"/>
  <c r="M59" i="199"/>
  <c r="L59" i="199"/>
  <c r="K59" i="199"/>
  <c r="I59" i="199"/>
  <c r="H59" i="199"/>
  <c r="G59" i="199"/>
  <c r="F59" i="199"/>
  <c r="E59" i="199"/>
  <c r="P59" i="199" s="1"/>
  <c r="J58" i="199"/>
  <c r="P58" i="199" s="1"/>
  <c r="E58" i="199"/>
  <c r="O57" i="199"/>
  <c r="J57" i="199"/>
  <c r="F57" i="199"/>
  <c r="E57" i="199" s="1"/>
  <c r="P57" i="199" s="1"/>
  <c r="P56" i="199" s="1"/>
  <c r="O56" i="199"/>
  <c r="N56" i="199"/>
  <c r="M56" i="199"/>
  <c r="L56" i="199"/>
  <c r="K56" i="199"/>
  <c r="I56" i="199"/>
  <c r="H56" i="199"/>
  <c r="G56" i="199"/>
  <c r="O55" i="199"/>
  <c r="J55" i="199" s="1"/>
  <c r="H55" i="199"/>
  <c r="F55" i="199"/>
  <c r="E55" i="199"/>
  <c r="O54" i="199"/>
  <c r="J54" i="199"/>
  <c r="H54" i="199"/>
  <c r="F54" i="199"/>
  <c r="E54" i="199"/>
  <c r="O53" i="199"/>
  <c r="J53" i="199" s="1"/>
  <c r="L53" i="199"/>
  <c r="K53" i="199"/>
  <c r="K54" i="200" s="1"/>
  <c r="H53" i="199"/>
  <c r="F53" i="199"/>
  <c r="E53" i="199" s="1"/>
  <c r="N52" i="199"/>
  <c r="M52" i="199"/>
  <c r="L52" i="199"/>
  <c r="K52" i="199"/>
  <c r="I52" i="199"/>
  <c r="G52" i="199"/>
  <c r="K51" i="199"/>
  <c r="K52" i="200" s="1"/>
  <c r="H51" i="199"/>
  <c r="G51" i="199"/>
  <c r="G52" i="200" s="1"/>
  <c r="F51" i="199"/>
  <c r="E51" i="199"/>
  <c r="K47" i="199"/>
  <c r="O47" i="199" s="1"/>
  <c r="J47" i="199"/>
  <c r="F47" i="199"/>
  <c r="E47" i="199" s="1"/>
  <c r="P47" i="199" s="1"/>
  <c r="K46" i="199"/>
  <c r="F46" i="199"/>
  <c r="F44" i="199" s="1"/>
  <c r="E46" i="199"/>
  <c r="O45" i="199"/>
  <c r="J45" i="199" s="1"/>
  <c r="E45" i="199"/>
  <c r="N44" i="199"/>
  <c r="N43" i="199" s="1"/>
  <c r="M44" i="199"/>
  <c r="M43" i="199" s="1"/>
  <c r="L44" i="199"/>
  <c r="L43" i="199" s="1"/>
  <c r="I44" i="199"/>
  <c r="H44" i="199"/>
  <c r="H43" i="199" s="1"/>
  <c r="G44" i="199"/>
  <c r="G45" i="200" s="1"/>
  <c r="I43" i="199"/>
  <c r="K42" i="199"/>
  <c r="E42" i="199"/>
  <c r="N41" i="199"/>
  <c r="M41" i="199"/>
  <c r="M37" i="199" s="1"/>
  <c r="L41" i="199"/>
  <c r="I41" i="199"/>
  <c r="I37" i="199" s="1"/>
  <c r="H41" i="199"/>
  <c r="H37" i="199" s="1"/>
  <c r="G41" i="199"/>
  <c r="G42" i="200" s="1"/>
  <c r="F41" i="199"/>
  <c r="K40" i="199"/>
  <c r="K41" i="200" s="1"/>
  <c r="F40" i="199"/>
  <c r="E40" i="199" s="1"/>
  <c r="K39" i="199"/>
  <c r="K40" i="200" s="1"/>
  <c r="F39" i="199"/>
  <c r="E39" i="199"/>
  <c r="N38" i="199"/>
  <c r="N37" i="199" s="1"/>
  <c r="M38" i="199"/>
  <c r="L38" i="199"/>
  <c r="I38" i="199"/>
  <c r="H38" i="199"/>
  <c r="G38" i="199"/>
  <c r="L37" i="199"/>
  <c r="J36" i="199"/>
  <c r="F36" i="199"/>
  <c r="F37" i="200" s="1"/>
  <c r="O35" i="199"/>
  <c r="O34" i="199" s="1"/>
  <c r="O31" i="199" s="1"/>
  <c r="L35" i="199"/>
  <c r="L34" i="199" s="1"/>
  <c r="L31" i="199" s="1"/>
  <c r="E35" i="199"/>
  <c r="N34" i="199"/>
  <c r="N31" i="199" s="1"/>
  <c r="M34" i="199"/>
  <c r="K34" i="199"/>
  <c r="I34" i="199"/>
  <c r="H34" i="199"/>
  <c r="G34" i="199"/>
  <c r="G31" i="199" s="1"/>
  <c r="G27" i="199" s="1"/>
  <c r="F34" i="199"/>
  <c r="F31" i="199" s="1"/>
  <c r="O33" i="199"/>
  <c r="J33" i="199" s="1"/>
  <c r="F33" i="199"/>
  <c r="E33" i="199"/>
  <c r="P32" i="199"/>
  <c r="O32" i="199"/>
  <c r="J32" i="199" s="1"/>
  <c r="E32" i="199"/>
  <c r="M31" i="199"/>
  <c r="K31" i="199"/>
  <c r="I31" i="199"/>
  <c r="J30" i="199"/>
  <c r="P30" i="199" s="1"/>
  <c r="E30" i="199"/>
  <c r="K29" i="199"/>
  <c r="K28" i="199" s="1"/>
  <c r="F29" i="199"/>
  <c r="E29" i="199" s="1"/>
  <c r="E28" i="199" s="1"/>
  <c r="N28" i="199"/>
  <c r="N27" i="199" s="1"/>
  <c r="M28" i="199"/>
  <c r="M27" i="199" s="1"/>
  <c r="L28" i="199"/>
  <c r="I28" i="199"/>
  <c r="H28" i="199"/>
  <c r="G28" i="199"/>
  <c r="G28" i="200" s="1"/>
  <c r="F28" i="199"/>
  <c r="F27" i="199" s="1"/>
  <c r="K26" i="199"/>
  <c r="O26" i="199" s="1"/>
  <c r="J26" i="199" s="1"/>
  <c r="F26" i="199"/>
  <c r="E26" i="199" s="1"/>
  <c r="E25" i="199" s="1"/>
  <c r="N25" i="199"/>
  <c r="N25" i="200" s="1"/>
  <c r="M25" i="199"/>
  <c r="L25" i="199"/>
  <c r="L25" i="200" s="1"/>
  <c r="K25" i="199"/>
  <c r="K22" i="199" s="1"/>
  <c r="I25" i="199"/>
  <c r="H25" i="199"/>
  <c r="G25" i="199"/>
  <c r="G22" i="199" s="1"/>
  <c r="J24" i="199"/>
  <c r="J23" i="199" s="1"/>
  <c r="F24" i="199"/>
  <c r="O23" i="199"/>
  <c r="N23" i="199"/>
  <c r="N22" i="199" s="1"/>
  <c r="M23" i="199"/>
  <c r="M22" i="199" s="1"/>
  <c r="L23" i="199"/>
  <c r="K23" i="199"/>
  <c r="I23" i="199"/>
  <c r="I22" i="199" s="1"/>
  <c r="H23" i="199"/>
  <c r="H23" i="200" s="1"/>
  <c r="G23" i="199"/>
  <c r="L22" i="199"/>
  <c r="H22" i="199"/>
  <c r="O21" i="199"/>
  <c r="J21" i="199" s="1"/>
  <c r="J21" i="200" s="1"/>
  <c r="F21" i="199"/>
  <c r="E21" i="199" s="1"/>
  <c r="P21" i="199" s="1"/>
  <c r="O20" i="199"/>
  <c r="J20" i="199" s="1"/>
  <c r="P20" i="199" s="1"/>
  <c r="E20" i="199"/>
  <c r="O19" i="199"/>
  <c r="J19" i="199" s="1"/>
  <c r="E19" i="199"/>
  <c r="K18" i="199"/>
  <c r="K18" i="200" s="1"/>
  <c r="H18" i="199"/>
  <c r="H17" i="199" s="1"/>
  <c r="G18" i="199"/>
  <c r="F18" i="199"/>
  <c r="F18" i="200" s="1"/>
  <c r="E18" i="199"/>
  <c r="E17" i="199" s="1"/>
  <c r="N17" i="199"/>
  <c r="M17" i="199"/>
  <c r="L17" i="199"/>
  <c r="K17" i="199"/>
  <c r="K17" i="200" s="1"/>
  <c r="I17" i="199"/>
  <c r="C159" i="198"/>
  <c r="C158" i="198"/>
  <c r="C157" i="198"/>
  <c r="C156" i="198"/>
  <c r="C155" i="198"/>
  <c r="C154" i="198"/>
  <c r="C153" i="198"/>
  <c r="C152" i="198"/>
  <c r="C151" i="198"/>
  <c r="C150" i="198"/>
  <c r="F149" i="198"/>
  <c r="F133" i="198" s="1"/>
  <c r="E149" i="198"/>
  <c r="E133" i="198" s="1"/>
  <c r="D149" i="198"/>
  <c r="C149" i="198" s="1"/>
  <c r="C148" i="198"/>
  <c r="C147" i="198"/>
  <c r="C146" i="198"/>
  <c r="D145" i="198"/>
  <c r="C145" i="198" s="1"/>
  <c r="C144" i="198"/>
  <c r="C143" i="198"/>
  <c r="C142" i="198"/>
  <c r="C141" i="198"/>
  <c r="D140" i="198"/>
  <c r="C140" i="198" s="1"/>
  <c r="C139" i="198"/>
  <c r="C138" i="198"/>
  <c r="C137" i="198"/>
  <c r="C136" i="198"/>
  <c r="C135" i="198"/>
  <c r="C134" i="198"/>
  <c r="C132" i="198"/>
  <c r="C131" i="198"/>
  <c r="C130" i="198"/>
  <c r="C129" i="198"/>
  <c r="C128" i="198"/>
  <c r="C127" i="198"/>
  <c r="C126" i="198"/>
  <c r="C125" i="198"/>
  <c r="C124" i="198"/>
  <c r="C123" i="198"/>
  <c r="C122" i="198"/>
  <c r="F121" i="198"/>
  <c r="E121" i="198"/>
  <c r="D121" i="198"/>
  <c r="D119" i="198"/>
  <c r="D117" i="198" s="1"/>
  <c r="C117" i="198" s="1"/>
  <c r="C118" i="198"/>
  <c r="C116" i="198"/>
  <c r="D115" i="198"/>
  <c r="C115" i="198" s="1"/>
  <c r="E112" i="198"/>
  <c r="C112" i="198" s="1"/>
  <c r="F111" i="198"/>
  <c r="D111" i="198"/>
  <c r="C110" i="198"/>
  <c r="C109" i="198"/>
  <c r="F108" i="198"/>
  <c r="F107" i="198" s="1"/>
  <c r="F106" i="198" s="1"/>
  <c r="F101" i="198" s="1"/>
  <c r="E108" i="198"/>
  <c r="C108" i="198" s="1"/>
  <c r="D107" i="198"/>
  <c r="C105" i="198"/>
  <c r="C104" i="198"/>
  <c r="D103" i="198"/>
  <c r="C103" i="198" s="1"/>
  <c r="F102" i="198"/>
  <c r="E102" i="198"/>
  <c r="C100" i="198"/>
  <c r="C99" i="198"/>
  <c r="C98" i="198"/>
  <c r="E97" i="198"/>
  <c r="C97" i="198" s="1"/>
  <c r="D95" i="198"/>
  <c r="C94" i="198"/>
  <c r="C93" i="198"/>
  <c r="C92" i="198"/>
  <c r="D91" i="198"/>
  <c r="C91" i="198" s="1"/>
  <c r="F90" i="198"/>
  <c r="F66" i="198" s="1"/>
  <c r="E90" i="198"/>
  <c r="D90" i="198"/>
  <c r="C90" i="198" s="1"/>
  <c r="C89" i="198"/>
  <c r="C88" i="198"/>
  <c r="C87" i="198"/>
  <c r="D86" i="198"/>
  <c r="C86" i="198"/>
  <c r="C85" i="198"/>
  <c r="D84" i="198"/>
  <c r="C84" i="198" s="1"/>
  <c r="C83" i="198"/>
  <c r="D82" i="198"/>
  <c r="C82" i="198"/>
  <c r="C81" i="198"/>
  <c r="C80" i="198"/>
  <c r="C79" i="198"/>
  <c r="D78" i="198"/>
  <c r="C78" i="198" s="1"/>
  <c r="C76" i="198"/>
  <c r="C75" i="198"/>
  <c r="D74" i="198"/>
  <c r="C74" i="198" s="1"/>
  <c r="C73" i="198"/>
  <c r="D72" i="198"/>
  <c r="D71" i="198" s="1"/>
  <c r="C72" i="198"/>
  <c r="C70" i="198"/>
  <c r="C69" i="198"/>
  <c r="D68" i="198"/>
  <c r="C68" i="198"/>
  <c r="E65" i="198"/>
  <c r="C65" i="198"/>
  <c r="C64" i="198"/>
  <c r="C63" i="198"/>
  <c r="E62" i="198"/>
  <c r="D62" i="198"/>
  <c r="C62" i="198"/>
  <c r="E61" i="198"/>
  <c r="C61" i="198" s="1"/>
  <c r="C60" i="198"/>
  <c r="D59" i="198"/>
  <c r="C59" i="198"/>
  <c r="D58" i="198"/>
  <c r="C58" i="198" s="1"/>
  <c r="D56" i="198"/>
  <c r="C56" i="198" s="1"/>
  <c r="D55" i="198"/>
  <c r="C55" i="198"/>
  <c r="C53" i="198"/>
  <c r="D52" i="198"/>
  <c r="C52" i="198" s="1"/>
  <c r="C51" i="198"/>
  <c r="C50" i="198"/>
  <c r="C49" i="198"/>
  <c r="C48" i="198"/>
  <c r="D47" i="198"/>
  <c r="C47" i="198"/>
  <c r="D46" i="198"/>
  <c r="C46" i="198" s="1"/>
  <c r="D45" i="198"/>
  <c r="C45" i="198"/>
  <c r="C44" i="198"/>
  <c r="C43" i="198"/>
  <c r="C42" i="198"/>
  <c r="C39" i="198"/>
  <c r="C38" i="198"/>
  <c r="C37" i="198" s="1"/>
  <c r="D37" i="198"/>
  <c r="D36" i="198"/>
  <c r="D35" i="198" s="1"/>
  <c r="C35" i="198" s="1"/>
  <c r="C36" i="198"/>
  <c r="D34" i="198"/>
  <c r="D33" i="198" s="1"/>
  <c r="C34" i="198"/>
  <c r="C31" i="198"/>
  <c r="D30" i="198"/>
  <c r="C30" i="198"/>
  <c r="C29" i="198"/>
  <c r="C28" i="198"/>
  <c r="D27" i="198"/>
  <c r="C27" i="198"/>
  <c r="D26" i="198"/>
  <c r="C26" i="198" s="1"/>
  <c r="C25" i="198"/>
  <c r="D24" i="198"/>
  <c r="C24" i="198"/>
  <c r="C23" i="198"/>
  <c r="D22" i="198"/>
  <c r="C22" i="198"/>
  <c r="D21" i="198"/>
  <c r="C21" i="198" s="1"/>
  <c r="D20" i="198"/>
  <c r="C20" i="198" s="1"/>
  <c r="C19" i="198"/>
  <c r="D18" i="198"/>
  <c r="C18" i="198"/>
  <c r="F15" i="198"/>
  <c r="P99" i="165" l="1"/>
  <c r="J147" i="165"/>
  <c r="J37" i="200"/>
  <c r="O75" i="200"/>
  <c r="G91" i="200"/>
  <c r="I132" i="200"/>
  <c r="F101" i="165"/>
  <c r="F101" i="200" s="1"/>
  <c r="H146" i="200"/>
  <c r="K38" i="165"/>
  <c r="G117" i="200"/>
  <c r="E36" i="200"/>
  <c r="K86" i="200"/>
  <c r="K95" i="200"/>
  <c r="F165" i="200"/>
  <c r="K57" i="200"/>
  <c r="G60" i="200"/>
  <c r="O77" i="200"/>
  <c r="I136" i="200"/>
  <c r="I155" i="200"/>
  <c r="J439" i="165"/>
  <c r="J439" i="200" s="1"/>
  <c r="E135" i="165"/>
  <c r="I119" i="165"/>
  <c r="O103" i="165"/>
  <c r="O103" i="200" s="1"/>
  <c r="J96" i="165"/>
  <c r="J96" i="200" s="1"/>
  <c r="G53" i="165"/>
  <c r="E29" i="165"/>
  <c r="E28" i="165" s="1"/>
  <c r="J257" i="199"/>
  <c r="P259" i="199"/>
  <c r="P257" i="199" s="1"/>
  <c r="E290" i="199"/>
  <c r="K362" i="200"/>
  <c r="J208" i="199"/>
  <c r="J207" i="199" s="1"/>
  <c r="O207" i="199"/>
  <c r="J68" i="199"/>
  <c r="P68" i="199" s="1"/>
  <c r="J85" i="199"/>
  <c r="L264" i="199"/>
  <c r="L263" i="199" s="1"/>
  <c r="E291" i="199"/>
  <c r="N385" i="199"/>
  <c r="N384" i="199" s="1"/>
  <c r="G424" i="199"/>
  <c r="G423" i="199" s="1"/>
  <c r="P210" i="199"/>
  <c r="P126" i="199"/>
  <c r="J62" i="199"/>
  <c r="P63" i="199"/>
  <c r="O129" i="199"/>
  <c r="J130" i="199"/>
  <c r="J129" i="199" s="1"/>
  <c r="J261" i="199"/>
  <c r="J260" i="199" s="1"/>
  <c r="P262" i="199"/>
  <c r="P261" i="199" s="1"/>
  <c r="P260" i="199" s="1"/>
  <c r="J275" i="199"/>
  <c r="P275" i="199" s="1"/>
  <c r="O272" i="199"/>
  <c r="J335" i="199"/>
  <c r="P336" i="199"/>
  <c r="P335" i="199" s="1"/>
  <c r="J351" i="199"/>
  <c r="J350" i="199" s="1"/>
  <c r="L27" i="199"/>
  <c r="M50" i="199"/>
  <c r="M49" i="199" s="1"/>
  <c r="M48" i="199" s="1"/>
  <c r="P67" i="199"/>
  <c r="O102" i="199"/>
  <c r="K103" i="200"/>
  <c r="P130" i="199"/>
  <c r="P129" i="199" s="1"/>
  <c r="E133" i="200"/>
  <c r="H112" i="199"/>
  <c r="H111" i="199" s="1"/>
  <c r="I149" i="199"/>
  <c r="M228" i="199"/>
  <c r="H356" i="199"/>
  <c r="H355" i="199" s="1"/>
  <c r="N440" i="165"/>
  <c r="N440" i="200" s="1"/>
  <c r="N441" i="200"/>
  <c r="P437" i="165"/>
  <c r="P437" i="200" s="1"/>
  <c r="J437" i="200"/>
  <c r="P435" i="165"/>
  <c r="E435" i="200"/>
  <c r="O430" i="165"/>
  <c r="O430" i="200" s="1"/>
  <c r="O431" i="200"/>
  <c r="J431" i="165"/>
  <c r="P431" i="165" s="1"/>
  <c r="F426" i="200"/>
  <c r="N423" i="165"/>
  <c r="N423" i="200" s="1"/>
  <c r="N424" i="200"/>
  <c r="H421" i="165"/>
  <c r="H421" i="200" s="1"/>
  <c r="H422" i="200"/>
  <c r="L415" i="165"/>
  <c r="L416" i="200"/>
  <c r="I414" i="165"/>
  <c r="I414" i="200" s="1"/>
  <c r="I410" i="200" s="1"/>
  <c r="I409" i="200" s="1"/>
  <c r="I415" i="200"/>
  <c r="E414" i="165"/>
  <c r="E414" i="200" s="1"/>
  <c r="E415" i="200"/>
  <c r="H411" i="165"/>
  <c r="H411" i="200" s="1"/>
  <c r="H412" i="200"/>
  <c r="I397" i="165"/>
  <c r="I401" i="200"/>
  <c r="K384" i="165"/>
  <c r="K384" i="200" s="1"/>
  <c r="K385" i="200"/>
  <c r="O379" i="165"/>
  <c r="O379" i="200" s="1"/>
  <c r="O380" i="200"/>
  <c r="E374" i="200"/>
  <c r="E349" i="165"/>
  <c r="E350" i="200"/>
  <c r="M342" i="200"/>
  <c r="G306" i="165"/>
  <c r="G306" i="200" s="1"/>
  <c r="G307" i="200"/>
  <c r="I274" i="200"/>
  <c r="I270" i="200"/>
  <c r="I239" i="165"/>
  <c r="I239" i="200" s="1"/>
  <c r="I240" i="200"/>
  <c r="J234" i="165"/>
  <c r="J234" i="200" s="1"/>
  <c r="J235" i="200"/>
  <c r="M129" i="200"/>
  <c r="I50" i="199"/>
  <c r="O62" i="199"/>
  <c r="F65" i="199"/>
  <c r="P189" i="199"/>
  <c r="P225" i="199"/>
  <c r="P224" i="199" s="1"/>
  <c r="P223" i="199" s="1"/>
  <c r="P246" i="199"/>
  <c r="P245" i="199" s="1"/>
  <c r="O269" i="199"/>
  <c r="I310" i="199"/>
  <c r="O351" i="199"/>
  <c r="O350" i="199" s="1"/>
  <c r="O358" i="199"/>
  <c r="N443" i="165"/>
  <c r="N443" i="200" s="1"/>
  <c r="N444" i="200"/>
  <c r="I443" i="165"/>
  <c r="I443" i="200" s="1"/>
  <c r="I444" i="200"/>
  <c r="M440" i="165"/>
  <c r="M440" i="200" s="1"/>
  <c r="M441" i="200"/>
  <c r="H440" i="165"/>
  <c r="H440" i="200" s="1"/>
  <c r="H441" i="200"/>
  <c r="L438" i="200"/>
  <c r="N433" i="165"/>
  <c r="N433" i="200" s="1"/>
  <c r="N434" i="200"/>
  <c r="I433" i="165"/>
  <c r="I433" i="200" s="1"/>
  <c r="I434" i="200"/>
  <c r="O432" i="200"/>
  <c r="G430" i="165"/>
  <c r="G430" i="200" s="1"/>
  <c r="G431" i="200"/>
  <c r="M430" i="200"/>
  <c r="E426" i="200"/>
  <c r="M423" i="165"/>
  <c r="M423" i="200" s="1"/>
  <c r="M420" i="200" s="1"/>
  <c r="M419" i="200" s="1"/>
  <c r="M424" i="200"/>
  <c r="H423" i="165"/>
  <c r="H423" i="200" s="1"/>
  <c r="H424" i="200"/>
  <c r="G421" i="165"/>
  <c r="G421" i="200" s="1"/>
  <c r="G420" i="200" s="1"/>
  <c r="G419" i="200" s="1"/>
  <c r="G422" i="200"/>
  <c r="N414" i="165"/>
  <c r="N414" i="200" s="1"/>
  <c r="N415" i="200"/>
  <c r="H414" i="165"/>
  <c r="H414" i="200" s="1"/>
  <c r="H415" i="200"/>
  <c r="J413" i="165"/>
  <c r="O413" i="200"/>
  <c r="M391" i="200"/>
  <c r="G391" i="200"/>
  <c r="N384" i="165"/>
  <c r="N384" i="200" s="1"/>
  <c r="N385" i="200"/>
  <c r="I384" i="165"/>
  <c r="I384" i="200" s="1"/>
  <c r="I385" i="200"/>
  <c r="K382" i="165"/>
  <c r="K382" i="200" s="1"/>
  <c r="K383" i="200"/>
  <c r="L382" i="200"/>
  <c r="F379" i="165"/>
  <c r="F379" i="200" s="1"/>
  <c r="F380" i="200"/>
  <c r="E380" i="165"/>
  <c r="N372" i="200"/>
  <c r="I372" i="200"/>
  <c r="N366" i="165"/>
  <c r="N366" i="200" s="1"/>
  <c r="N367" i="200"/>
  <c r="H366" i="165"/>
  <c r="H366" i="200" s="1"/>
  <c r="H367" i="200"/>
  <c r="E365" i="200"/>
  <c r="H362" i="165"/>
  <c r="H362" i="200" s="1"/>
  <c r="H363" i="200"/>
  <c r="N362" i="200"/>
  <c r="I362" i="200"/>
  <c r="M352" i="200"/>
  <c r="G352" i="200"/>
  <c r="N348" i="165"/>
  <c r="N348" i="200" s="1"/>
  <c r="N349" i="200"/>
  <c r="H348" i="165"/>
  <c r="H348" i="200" s="1"/>
  <c r="H349" i="200"/>
  <c r="E345" i="165"/>
  <c r="E346" i="200"/>
  <c r="I344" i="165"/>
  <c r="I344" i="200" s="1"/>
  <c r="I345" i="200"/>
  <c r="K342" i="165"/>
  <c r="K342" i="200" s="1"/>
  <c r="K343" i="200"/>
  <c r="J338" i="165"/>
  <c r="O338" i="200"/>
  <c r="G336" i="165"/>
  <c r="G336" i="200" s="1"/>
  <c r="G337" i="200"/>
  <c r="E333" i="165"/>
  <c r="E333" i="200" s="1"/>
  <c r="F333" i="200"/>
  <c r="K331" i="165"/>
  <c r="K331" i="200" s="1"/>
  <c r="K332" i="200"/>
  <c r="O330" i="200"/>
  <c r="J330" i="165"/>
  <c r="J330" i="200" s="1"/>
  <c r="E322" i="200"/>
  <c r="M319" i="165"/>
  <c r="M319" i="200" s="1"/>
  <c r="M322" i="200"/>
  <c r="G319" i="165"/>
  <c r="G319" i="200" s="1"/>
  <c r="G322" i="200"/>
  <c r="O320" i="200"/>
  <c r="J310" i="200"/>
  <c r="L306" i="165"/>
  <c r="L306" i="200" s="1"/>
  <c r="L307" i="200"/>
  <c r="I302" i="200"/>
  <c r="E292" i="165"/>
  <c r="E292" i="200" s="1"/>
  <c r="E293" i="200"/>
  <c r="K289" i="165"/>
  <c r="K292" i="200"/>
  <c r="F292" i="200"/>
  <c r="J290" i="200"/>
  <c r="N287" i="200"/>
  <c r="I287" i="200"/>
  <c r="J285" i="165"/>
  <c r="O285" i="200"/>
  <c r="E284" i="165"/>
  <c r="E284" i="200" s="1"/>
  <c r="F284" i="200"/>
  <c r="P282" i="165"/>
  <c r="J282" i="200"/>
  <c r="J280" i="165"/>
  <c r="O280" i="200"/>
  <c r="J279" i="165"/>
  <c r="N276" i="165"/>
  <c r="N276" i="200" s="1"/>
  <c r="N277" i="200"/>
  <c r="H276" i="165"/>
  <c r="H276" i="200" s="1"/>
  <c r="H277" i="200"/>
  <c r="E256" i="165"/>
  <c r="E257" i="200"/>
  <c r="K255" i="165"/>
  <c r="K255" i="200" s="1"/>
  <c r="K256" i="200"/>
  <c r="F255" i="165"/>
  <c r="F255" i="200" s="1"/>
  <c r="F256" i="200"/>
  <c r="G250" i="165"/>
  <c r="G250" i="200" s="1"/>
  <c r="G253" i="200"/>
  <c r="O246" i="165"/>
  <c r="K246" i="200"/>
  <c r="K245" i="165"/>
  <c r="K245" i="200" s="1"/>
  <c r="E246" i="200"/>
  <c r="J244" i="165"/>
  <c r="P244" i="165" s="1"/>
  <c r="O244" i="200"/>
  <c r="L243" i="200"/>
  <c r="G243" i="200"/>
  <c r="O241" i="200"/>
  <c r="J241" i="165"/>
  <c r="E194" i="200"/>
  <c r="N179" i="200"/>
  <c r="J160" i="200"/>
  <c r="E139" i="200"/>
  <c r="I139" i="200"/>
  <c r="M135" i="200"/>
  <c r="E134" i="200"/>
  <c r="K63" i="200"/>
  <c r="J23" i="200"/>
  <c r="N23" i="200"/>
  <c r="O42" i="199"/>
  <c r="K43" i="200"/>
  <c r="O68" i="199"/>
  <c r="J95" i="199"/>
  <c r="J94" i="199" s="1"/>
  <c r="O96" i="200"/>
  <c r="I415" i="199"/>
  <c r="I414" i="199" s="1"/>
  <c r="F418" i="199"/>
  <c r="E444" i="165"/>
  <c r="E445" i="200"/>
  <c r="K443" i="165"/>
  <c r="K443" i="200" s="1"/>
  <c r="K444" i="200"/>
  <c r="I440" i="165"/>
  <c r="I440" i="200" s="1"/>
  <c r="I441" i="200"/>
  <c r="K433" i="165"/>
  <c r="K433" i="200" s="1"/>
  <c r="K434" i="200"/>
  <c r="I423" i="165"/>
  <c r="I423" i="200" s="1"/>
  <c r="I424" i="200"/>
  <c r="K397" i="165"/>
  <c r="K397" i="200" s="1"/>
  <c r="K400" i="200"/>
  <c r="O384" i="165"/>
  <c r="O384" i="200" s="1"/>
  <c r="O385" i="200"/>
  <c r="L376" i="165"/>
  <c r="L379" i="200"/>
  <c r="F372" i="165"/>
  <c r="F372" i="200" s="1"/>
  <c r="F373" i="200"/>
  <c r="E373" i="165"/>
  <c r="P373" i="165" s="1"/>
  <c r="H352" i="200"/>
  <c r="I348" i="165"/>
  <c r="I348" i="200" s="1"/>
  <c r="I349" i="200"/>
  <c r="O346" i="165"/>
  <c r="K346" i="200"/>
  <c r="F344" i="165"/>
  <c r="F344" i="200" s="1"/>
  <c r="F345" i="200"/>
  <c r="N340" i="200"/>
  <c r="H336" i="165"/>
  <c r="H336" i="200" s="1"/>
  <c r="H337" i="200"/>
  <c r="O332" i="165"/>
  <c r="O333" i="200"/>
  <c r="L331" i="165"/>
  <c r="L331" i="200" s="1"/>
  <c r="L332" i="200"/>
  <c r="F330" i="200"/>
  <c r="E330" i="165"/>
  <c r="L316" i="165"/>
  <c r="L316" i="200" s="1"/>
  <c r="L317" i="200"/>
  <c r="M306" i="165"/>
  <c r="M306" i="200" s="1"/>
  <c r="M307" i="200"/>
  <c r="G302" i="165"/>
  <c r="G302" i="200" s="1"/>
  <c r="G303" i="200"/>
  <c r="I276" i="165"/>
  <c r="I276" i="200" s="1"/>
  <c r="I277" i="200"/>
  <c r="E274" i="165"/>
  <c r="E274" i="200" s="1"/>
  <c r="E275" i="200"/>
  <c r="E272" i="200"/>
  <c r="K250" i="165"/>
  <c r="K250" i="200" s="1"/>
  <c r="K253" i="200"/>
  <c r="K213" i="200"/>
  <c r="O213" i="165"/>
  <c r="H52" i="199"/>
  <c r="P74" i="199"/>
  <c r="K90" i="199"/>
  <c r="K91" i="200" s="1"/>
  <c r="K92" i="200"/>
  <c r="J126" i="199"/>
  <c r="I144" i="199"/>
  <c r="I143" i="199" s="1"/>
  <c r="E168" i="199"/>
  <c r="F173" i="200"/>
  <c r="P267" i="199"/>
  <c r="P278" i="199"/>
  <c r="I296" i="199"/>
  <c r="I295" i="199" s="1"/>
  <c r="F310" i="199"/>
  <c r="O335" i="199"/>
  <c r="O338" i="199"/>
  <c r="P354" i="199"/>
  <c r="N356" i="199"/>
  <c r="N355" i="199" s="1"/>
  <c r="P376" i="199"/>
  <c r="M389" i="199"/>
  <c r="M385" i="199" s="1"/>
  <c r="M384" i="199" s="1"/>
  <c r="I405" i="199"/>
  <c r="I404" i="199" s="1"/>
  <c r="O441" i="165"/>
  <c r="O442" i="200"/>
  <c r="E15" i="198"/>
  <c r="D54" i="198"/>
  <c r="C54" i="198" s="1"/>
  <c r="D77" i="198"/>
  <c r="C77" i="198" s="1"/>
  <c r="C121" i="198"/>
  <c r="G17" i="199"/>
  <c r="G18" i="200"/>
  <c r="O29" i="199"/>
  <c r="K38" i="199"/>
  <c r="K39" i="200" s="1"/>
  <c r="O39" i="199"/>
  <c r="J39" i="199" s="1"/>
  <c r="P39" i="199" s="1"/>
  <c r="P45" i="199"/>
  <c r="P55" i="199"/>
  <c r="F56" i="199"/>
  <c r="G50" i="199"/>
  <c r="G49" i="199" s="1"/>
  <c r="G48" i="199" s="1"/>
  <c r="P62" i="199"/>
  <c r="G65" i="199"/>
  <c r="G66" i="200" s="1"/>
  <c r="G264" i="199"/>
  <c r="G263" i="199" s="1"/>
  <c r="J272" i="199"/>
  <c r="J283" i="199"/>
  <c r="J282" i="199" s="1"/>
  <c r="J281" i="199" s="1"/>
  <c r="G281" i="199"/>
  <c r="L281" i="199"/>
  <c r="F302" i="199"/>
  <c r="F301" i="199" s="1"/>
  <c r="E307" i="199"/>
  <c r="P307" i="199" s="1"/>
  <c r="P325" i="199"/>
  <c r="P349" i="199"/>
  <c r="L346" i="199"/>
  <c r="L330" i="199" s="1"/>
  <c r="L329" i="199" s="1"/>
  <c r="P352" i="199"/>
  <c r="P351" i="199" s="1"/>
  <c r="P350" i="199" s="1"/>
  <c r="K362" i="199"/>
  <c r="K361" i="199" s="1"/>
  <c r="H370" i="199"/>
  <c r="M370" i="199"/>
  <c r="M366" i="199" s="1"/>
  <c r="M365" i="199" s="1"/>
  <c r="O378" i="199"/>
  <c r="G389" i="199"/>
  <c r="L405" i="199"/>
  <c r="L404" i="199" s="1"/>
  <c r="J413" i="199"/>
  <c r="J412" i="199" s="1"/>
  <c r="J418" i="199"/>
  <c r="P432" i="199"/>
  <c r="F436" i="199"/>
  <c r="F435" i="199" s="1"/>
  <c r="M443" i="165"/>
  <c r="M443" i="200" s="1"/>
  <c r="M444" i="200"/>
  <c r="H443" i="165"/>
  <c r="H443" i="200" s="1"/>
  <c r="H444" i="200"/>
  <c r="F441" i="165"/>
  <c r="F442" i="200"/>
  <c r="L440" i="165"/>
  <c r="L440" i="200" s="1"/>
  <c r="L441" i="200"/>
  <c r="G440" i="165"/>
  <c r="G440" i="200" s="1"/>
  <c r="G441" i="200"/>
  <c r="K438" i="200"/>
  <c r="G438" i="200"/>
  <c r="O434" i="165"/>
  <c r="O435" i="200"/>
  <c r="M433" i="165"/>
  <c r="M433" i="200" s="1"/>
  <c r="M434" i="200"/>
  <c r="H433" i="165"/>
  <c r="H433" i="200" s="1"/>
  <c r="H434" i="200"/>
  <c r="J432" i="165"/>
  <c r="F430" i="165"/>
  <c r="F430" i="200" s="1"/>
  <c r="F431" i="200"/>
  <c r="L430" i="200"/>
  <c r="J427" i="165"/>
  <c r="O427" i="200"/>
  <c r="O426" i="165"/>
  <c r="O426" i="200" s="1"/>
  <c r="E398" i="165"/>
  <c r="E398" i="200" s="1"/>
  <c r="F398" i="200"/>
  <c r="M395" i="200"/>
  <c r="G395" i="200"/>
  <c r="O392" i="165"/>
  <c r="O392" i="200" s="1"/>
  <c r="K392" i="200"/>
  <c r="L391" i="200"/>
  <c r="O386" i="200"/>
  <c r="J386" i="165"/>
  <c r="M372" i="200"/>
  <c r="H372" i="200"/>
  <c r="M366" i="165"/>
  <c r="M366" i="200" s="1"/>
  <c r="M367" i="200"/>
  <c r="G366" i="165"/>
  <c r="G366" i="200" s="1"/>
  <c r="G367" i="200"/>
  <c r="J364" i="165"/>
  <c r="O364" i="200"/>
  <c r="J329" i="200"/>
  <c r="E328" i="200"/>
  <c r="K326" i="165"/>
  <c r="K326" i="200" s="1"/>
  <c r="K327" i="200"/>
  <c r="O322" i="165"/>
  <c r="O322" i="200" s="1"/>
  <c r="O323" i="200"/>
  <c r="K322" i="200"/>
  <c r="F319" i="165"/>
  <c r="F319" i="200" s="1"/>
  <c r="F322" i="200"/>
  <c r="H316" i="165"/>
  <c r="H317" i="200"/>
  <c r="J313" i="165"/>
  <c r="O313" i="200"/>
  <c r="J311" i="165"/>
  <c r="O311" i="200"/>
  <c r="P310" i="165"/>
  <c r="E310" i="200"/>
  <c r="F307" i="165"/>
  <c r="F308" i="200"/>
  <c r="E308" i="165"/>
  <c r="N302" i="200"/>
  <c r="O297" i="200"/>
  <c r="J297" i="165"/>
  <c r="N289" i="165"/>
  <c r="N286" i="165" s="1"/>
  <c r="N286" i="200" s="1"/>
  <c r="N292" i="200"/>
  <c r="I289" i="165"/>
  <c r="I286" i="165" s="1"/>
  <c r="I292" i="200"/>
  <c r="O291" i="165"/>
  <c r="J291" i="165" s="1"/>
  <c r="P291" i="165" s="1"/>
  <c r="P291" i="200" s="1"/>
  <c r="K291" i="200"/>
  <c r="F289" i="165"/>
  <c r="F286" i="165" s="1"/>
  <c r="F286" i="200" s="1"/>
  <c r="F290" i="200"/>
  <c r="M287" i="200"/>
  <c r="H287" i="200"/>
  <c r="K285" i="200"/>
  <c r="O283" i="165"/>
  <c r="K283" i="200"/>
  <c r="E282" i="165"/>
  <c r="E282" i="200" s="1"/>
  <c r="F282" i="200"/>
  <c r="K280" i="200"/>
  <c r="K260" i="165"/>
  <c r="K261" i="200"/>
  <c r="O261" i="165"/>
  <c r="M259" i="165"/>
  <c r="M259" i="200" s="1"/>
  <c r="M260" i="200"/>
  <c r="G259" i="165"/>
  <c r="G259" i="200" s="1"/>
  <c r="G260" i="200"/>
  <c r="N255" i="165"/>
  <c r="N255" i="200" s="1"/>
  <c r="N256" i="200"/>
  <c r="I255" i="165"/>
  <c r="I255" i="200" s="1"/>
  <c r="I256" i="200"/>
  <c r="O254" i="200"/>
  <c r="J254" i="165"/>
  <c r="F250" i="165"/>
  <c r="F250" i="200" s="1"/>
  <c r="F251" i="200"/>
  <c r="L250" i="200"/>
  <c r="G248" i="165"/>
  <c r="G248" i="200" s="1"/>
  <c r="G249" i="200"/>
  <c r="L248" i="200"/>
  <c r="J247" i="165"/>
  <c r="J247" i="200" s="1"/>
  <c r="O247" i="200"/>
  <c r="H245" i="165"/>
  <c r="H245" i="200" s="1"/>
  <c r="H246" i="200"/>
  <c r="N245" i="200"/>
  <c r="J216" i="200"/>
  <c r="E216" i="200"/>
  <c r="P216" i="165"/>
  <c r="P216" i="200" s="1"/>
  <c r="G215" i="200"/>
  <c r="E198" i="200"/>
  <c r="O196" i="200"/>
  <c r="K195" i="165"/>
  <c r="K195" i="200" s="1"/>
  <c r="K196" i="200"/>
  <c r="H150" i="200"/>
  <c r="M127" i="200"/>
  <c r="O116" i="165"/>
  <c r="O117" i="200"/>
  <c r="M116" i="200"/>
  <c r="H116" i="200"/>
  <c r="M107" i="200"/>
  <c r="H107" i="200"/>
  <c r="E104" i="165"/>
  <c r="E104" i="200" s="1"/>
  <c r="E105" i="200"/>
  <c r="I101" i="165"/>
  <c r="I104" i="200"/>
  <c r="J103" i="165"/>
  <c r="P103" i="165" s="1"/>
  <c r="M102" i="200"/>
  <c r="G102" i="200"/>
  <c r="G95" i="200"/>
  <c r="K60" i="200"/>
  <c r="O57" i="200"/>
  <c r="G53" i="200"/>
  <c r="G39" i="200"/>
  <c r="E28" i="200"/>
  <c r="I28" i="200"/>
  <c r="M16" i="199"/>
  <c r="G112" i="199"/>
  <c r="G111" i="199" s="1"/>
  <c r="G116" i="200"/>
  <c r="P131" i="199"/>
  <c r="N144" i="199"/>
  <c r="N143" i="199" s="1"/>
  <c r="J202" i="199"/>
  <c r="J200" i="199" s="1"/>
  <c r="J199" i="199" s="1"/>
  <c r="L366" i="199"/>
  <c r="L365" i="199" s="1"/>
  <c r="M405" i="199"/>
  <c r="M404" i="199" s="1"/>
  <c r="K418" i="199"/>
  <c r="K415" i="199" s="1"/>
  <c r="K414" i="199" s="1"/>
  <c r="F443" i="165"/>
  <c r="F443" i="200" s="1"/>
  <c r="F444" i="200"/>
  <c r="F433" i="165"/>
  <c r="F433" i="200" s="1"/>
  <c r="F434" i="200"/>
  <c r="N397" i="165"/>
  <c r="N401" i="200"/>
  <c r="F399" i="200"/>
  <c r="E399" i="165"/>
  <c r="E399" i="200" s="1"/>
  <c r="J383" i="165"/>
  <c r="P383" i="165" s="1"/>
  <c r="O383" i="200"/>
  <c r="G382" i="200"/>
  <c r="G376" i="165"/>
  <c r="G379" i="200"/>
  <c r="K363" i="200"/>
  <c r="O363" i="165"/>
  <c r="E362" i="165"/>
  <c r="E362" i="200" s="1"/>
  <c r="E363" i="200"/>
  <c r="N352" i="200"/>
  <c r="L344" i="165"/>
  <c r="L344" i="200" s="1"/>
  <c r="L345" i="200"/>
  <c r="G331" i="165"/>
  <c r="G331" i="200" s="1"/>
  <c r="G332" i="200"/>
  <c r="K318" i="200"/>
  <c r="K317" i="165"/>
  <c r="E304" i="200"/>
  <c r="E278" i="165"/>
  <c r="F278" i="200"/>
  <c r="P273" i="200"/>
  <c r="N270" i="200"/>
  <c r="J263" i="165"/>
  <c r="J263" i="200" s="1"/>
  <c r="O263" i="200"/>
  <c r="G258" i="165"/>
  <c r="G258" i="200" s="1"/>
  <c r="G262" i="200"/>
  <c r="E252" i="165"/>
  <c r="E252" i="200" s="1"/>
  <c r="F252" i="200"/>
  <c r="N239" i="165"/>
  <c r="N239" i="200" s="1"/>
  <c r="N240" i="200"/>
  <c r="H236" i="165"/>
  <c r="H236" i="200" s="1"/>
  <c r="H238" i="200"/>
  <c r="L236" i="165"/>
  <c r="L236" i="200" s="1"/>
  <c r="L237" i="200"/>
  <c r="E234" i="165"/>
  <c r="E212" i="165"/>
  <c r="E212" i="200" s="1"/>
  <c r="E213" i="200"/>
  <c r="N200" i="165"/>
  <c r="N200" i="200" s="1"/>
  <c r="N201" i="200"/>
  <c r="H200" i="165"/>
  <c r="H200" i="200" s="1"/>
  <c r="H201" i="200"/>
  <c r="J189" i="165"/>
  <c r="J189" i="200" s="1"/>
  <c r="O189" i="200"/>
  <c r="P186" i="165"/>
  <c r="P186" i="200" s="1"/>
  <c r="E186" i="200"/>
  <c r="E179" i="165"/>
  <c r="E180" i="200"/>
  <c r="E128" i="200"/>
  <c r="O18" i="199"/>
  <c r="J18" i="199" s="1"/>
  <c r="P18" i="199" s="1"/>
  <c r="P17" i="199" s="1"/>
  <c r="G43" i="199"/>
  <c r="G44" i="200" s="1"/>
  <c r="J56" i="199"/>
  <c r="P78" i="199"/>
  <c r="K101" i="199"/>
  <c r="K102" i="200" s="1"/>
  <c r="O117" i="199"/>
  <c r="J117" i="199" s="1"/>
  <c r="P117" i="199" s="1"/>
  <c r="K120" i="200"/>
  <c r="G149" i="199"/>
  <c r="G144" i="199" s="1"/>
  <c r="G143" i="199" s="1"/>
  <c r="P168" i="199"/>
  <c r="N149" i="199"/>
  <c r="P208" i="199"/>
  <c r="P207" i="199" s="1"/>
  <c r="N206" i="199"/>
  <c r="N205" i="199" s="1"/>
  <c r="L253" i="199"/>
  <c r="P299" i="199"/>
  <c r="E302" i="199"/>
  <c r="K335" i="199"/>
  <c r="N366" i="199"/>
  <c r="N365" i="199" s="1"/>
  <c r="P383" i="199"/>
  <c r="P382" i="199" s="1"/>
  <c r="O391" i="199"/>
  <c r="D57" i="198"/>
  <c r="C57" i="198" s="1"/>
  <c r="F17" i="199"/>
  <c r="H31" i="199"/>
  <c r="H27" i="199" s="1"/>
  <c r="H35" i="200"/>
  <c r="F38" i="199"/>
  <c r="F37" i="199" s="1"/>
  <c r="F16" i="199" s="1"/>
  <c r="O40" i="199"/>
  <c r="F43" i="199"/>
  <c r="O51" i="199"/>
  <c r="J51" i="199" s="1"/>
  <c r="P51" i="199" s="1"/>
  <c r="O52" i="199"/>
  <c r="L50" i="199"/>
  <c r="L49" i="199" s="1"/>
  <c r="N50" i="199"/>
  <c r="N49" i="199" s="1"/>
  <c r="N48" i="199" s="1"/>
  <c r="P71" i="199"/>
  <c r="P73" i="199"/>
  <c r="P77" i="199"/>
  <c r="O79" i="199"/>
  <c r="J79" i="199" s="1"/>
  <c r="J80" i="200" s="1"/>
  <c r="J81" i="199"/>
  <c r="O82" i="200"/>
  <c r="P87" i="199"/>
  <c r="J97" i="199"/>
  <c r="G100" i="199"/>
  <c r="I100" i="199"/>
  <c r="O104" i="199"/>
  <c r="P115" i="199"/>
  <c r="P134" i="199"/>
  <c r="P133" i="199" s="1"/>
  <c r="O150" i="199"/>
  <c r="O165" i="199"/>
  <c r="O190" i="199"/>
  <c r="P194" i="199"/>
  <c r="P222" i="199"/>
  <c r="O224" i="199"/>
  <c r="O223" i="199" s="1"/>
  <c r="I228" i="199"/>
  <c r="I227" i="199" s="1"/>
  <c r="I226" i="199" s="1"/>
  <c r="E231" i="199"/>
  <c r="J235" i="199"/>
  <c r="O241" i="199"/>
  <c r="O240" i="199" s="1"/>
  <c r="F243" i="199"/>
  <c r="G234" i="199"/>
  <c r="P247" i="199"/>
  <c r="E107" i="198"/>
  <c r="E106" i="198" s="1"/>
  <c r="E101" i="198" s="1"/>
  <c r="C119" i="198"/>
  <c r="F120" i="198"/>
  <c r="F114" i="198" s="1"/>
  <c r="I17" i="200"/>
  <c r="P19" i="199"/>
  <c r="E24" i="199"/>
  <c r="E23" i="199" s="1"/>
  <c r="F24" i="200"/>
  <c r="I27" i="199"/>
  <c r="I16" i="199" s="1"/>
  <c r="I15" i="199" s="1"/>
  <c r="P33" i="199"/>
  <c r="E36" i="199"/>
  <c r="G37" i="199"/>
  <c r="K44" i="199"/>
  <c r="K47" i="200"/>
  <c r="H50" i="199"/>
  <c r="H49" i="199" s="1"/>
  <c r="H48" i="199" s="1"/>
  <c r="F52" i="199"/>
  <c r="P72" i="199"/>
  <c r="J76" i="199"/>
  <c r="P76" i="199" s="1"/>
  <c r="J83" i="199"/>
  <c r="J82" i="199" s="1"/>
  <c r="P86" i="199"/>
  <c r="P85" i="199" s="1"/>
  <c r="O97" i="199"/>
  <c r="O99" i="200"/>
  <c r="K103" i="199"/>
  <c r="O109" i="199"/>
  <c r="O108" i="199" s="1"/>
  <c r="F116" i="199"/>
  <c r="N116" i="199"/>
  <c r="P123" i="199"/>
  <c r="P122" i="199" s="1"/>
  <c r="L116" i="199"/>
  <c r="L112" i="199" s="1"/>
  <c r="L111" i="199" s="1"/>
  <c r="E129" i="199"/>
  <c r="E132" i="200" s="1"/>
  <c r="E132" i="199"/>
  <c r="E135" i="200" s="1"/>
  <c r="E138" i="200"/>
  <c r="P147" i="199"/>
  <c r="P156" i="199"/>
  <c r="P184" i="199"/>
  <c r="M206" i="199"/>
  <c r="M205" i="199" s="1"/>
  <c r="H209" i="199"/>
  <c r="H206" i="199" s="1"/>
  <c r="H205" i="199" s="1"/>
  <c r="P221" i="199"/>
  <c r="F231" i="199"/>
  <c r="J241" i="199"/>
  <c r="J240" i="199" s="1"/>
  <c r="P268" i="199"/>
  <c r="P279" i="199"/>
  <c r="H281" i="199"/>
  <c r="H264" i="199" s="1"/>
  <c r="H263" i="199" s="1"/>
  <c r="O297" i="199"/>
  <c r="E297" i="199"/>
  <c r="P306" i="199"/>
  <c r="J315" i="199"/>
  <c r="N310" i="199"/>
  <c r="N296" i="199" s="1"/>
  <c r="N295" i="199" s="1"/>
  <c r="N346" i="199"/>
  <c r="H346" i="199"/>
  <c r="H330" i="199" s="1"/>
  <c r="H329" i="199" s="1"/>
  <c r="M346" i="199"/>
  <c r="P360" i="199"/>
  <c r="E372" i="199"/>
  <c r="E382" i="199"/>
  <c r="H389" i="199"/>
  <c r="L389" i="199"/>
  <c r="L385" i="199" s="1"/>
  <c r="N418" i="199"/>
  <c r="N415" i="199" s="1"/>
  <c r="N414" i="199" s="1"/>
  <c r="E425" i="199"/>
  <c r="N431" i="199"/>
  <c r="N424" i="199" s="1"/>
  <c r="N423" i="199" s="1"/>
  <c r="J445" i="165"/>
  <c r="P445" i="165" s="1"/>
  <c r="O445" i="200"/>
  <c r="L443" i="165"/>
  <c r="L443" i="200" s="1"/>
  <c r="L444" i="200"/>
  <c r="G443" i="165"/>
  <c r="G443" i="200" s="1"/>
  <c r="G444" i="200"/>
  <c r="E441" i="165"/>
  <c r="E442" i="200"/>
  <c r="K440" i="165"/>
  <c r="K440" i="200" s="1"/>
  <c r="K441" i="200"/>
  <c r="O439" i="200"/>
  <c r="N436" i="165"/>
  <c r="N436" i="200" s="1"/>
  <c r="N438" i="200"/>
  <c r="O437" i="200"/>
  <c r="J434" i="165"/>
  <c r="J435" i="200"/>
  <c r="L433" i="165"/>
  <c r="L433" i="200" s="1"/>
  <c r="L434" i="200"/>
  <c r="G433" i="165"/>
  <c r="G433" i="200" s="1"/>
  <c r="G434" i="200"/>
  <c r="E432" i="200"/>
  <c r="E430" i="165"/>
  <c r="E431" i="200"/>
  <c r="K430" i="200"/>
  <c r="P427" i="165"/>
  <c r="E427" i="200"/>
  <c r="K412" i="200"/>
  <c r="O412" i="165"/>
  <c r="E411" i="165"/>
  <c r="E411" i="200" s="1"/>
  <c r="E410" i="200" s="1"/>
  <c r="E409" i="200" s="1"/>
  <c r="E412" i="200"/>
  <c r="K411" i="165"/>
  <c r="K411" i="200" s="1"/>
  <c r="E401" i="165"/>
  <c r="E401" i="200" s="1"/>
  <c r="E402" i="200"/>
  <c r="K401" i="200"/>
  <c r="F401" i="200"/>
  <c r="J399" i="165"/>
  <c r="O399" i="200"/>
  <c r="O396" i="165"/>
  <c r="K396" i="200"/>
  <c r="L395" i="200"/>
  <c r="J393" i="165"/>
  <c r="J393" i="200" s="1"/>
  <c r="F391" i="165"/>
  <c r="F392" i="200"/>
  <c r="E392" i="165"/>
  <c r="M376" i="165"/>
  <c r="M379" i="200"/>
  <c r="H376" i="165"/>
  <c r="H379" i="200"/>
  <c r="N376" i="165"/>
  <c r="N377" i="200"/>
  <c r="I377" i="200"/>
  <c r="P374" i="165"/>
  <c r="G372" i="165"/>
  <c r="G372" i="200" s="1"/>
  <c r="G373" i="200"/>
  <c r="G330" i="200"/>
  <c r="G327" i="165"/>
  <c r="H327" i="165"/>
  <c r="H329" i="200"/>
  <c r="N326" i="165"/>
  <c r="N326" i="200" s="1"/>
  <c r="N327" i="200"/>
  <c r="I326" i="165"/>
  <c r="I326" i="200" s="1"/>
  <c r="I327" i="200"/>
  <c r="J321" i="165"/>
  <c r="O321" i="200"/>
  <c r="O318" i="165"/>
  <c r="M316" i="165"/>
  <c r="M316" i="200" s="1"/>
  <c r="M317" i="200"/>
  <c r="G316" i="165"/>
  <c r="G316" i="200" s="1"/>
  <c r="G317" i="200"/>
  <c r="E313" i="200"/>
  <c r="F311" i="200"/>
  <c r="E311" i="165"/>
  <c r="E311" i="200" s="1"/>
  <c r="H306" i="165"/>
  <c r="H306" i="200" s="1"/>
  <c r="H307" i="200"/>
  <c r="J304" i="165"/>
  <c r="O304" i="200"/>
  <c r="H302" i="165"/>
  <c r="H302" i="200" s="1"/>
  <c r="H303" i="200"/>
  <c r="M302" i="200"/>
  <c r="K274" i="165"/>
  <c r="K274" i="200" s="1"/>
  <c r="K275" i="200"/>
  <c r="O275" i="165"/>
  <c r="L274" i="200"/>
  <c r="F274" i="200"/>
  <c r="J272" i="165"/>
  <c r="O272" i="200"/>
  <c r="E271" i="165"/>
  <c r="F271" i="200"/>
  <c r="K270" i="200"/>
  <c r="E264" i="200"/>
  <c r="M258" i="165"/>
  <c r="M258" i="200" s="1"/>
  <c r="M262" i="200"/>
  <c r="H262" i="200"/>
  <c r="L259" i="165"/>
  <c r="L260" i="200"/>
  <c r="F259" i="165"/>
  <c r="F260" i="200"/>
  <c r="O252" i="200"/>
  <c r="E251" i="200"/>
  <c r="I250" i="200"/>
  <c r="F248" i="165"/>
  <c r="F248" i="200" s="1"/>
  <c r="F249" i="200"/>
  <c r="E249" i="165"/>
  <c r="L234" i="200"/>
  <c r="F224" i="165"/>
  <c r="F225" i="200"/>
  <c r="K223" i="165"/>
  <c r="K224" i="200"/>
  <c r="K219" i="165"/>
  <c r="K221" i="200"/>
  <c r="H219" i="165"/>
  <c r="H219" i="200" s="1"/>
  <c r="H220" i="200"/>
  <c r="N214" i="165"/>
  <c r="N214" i="200" s="1"/>
  <c r="N219" i="200"/>
  <c r="J218" i="165"/>
  <c r="J218" i="200" s="1"/>
  <c r="O218" i="200"/>
  <c r="G217" i="200"/>
  <c r="K199" i="200"/>
  <c r="O199" i="165"/>
  <c r="P174" i="165"/>
  <c r="P174" i="200" s="1"/>
  <c r="J174" i="200"/>
  <c r="M173" i="200"/>
  <c r="E172" i="200"/>
  <c r="J170" i="165"/>
  <c r="P170" i="165" s="1"/>
  <c r="E170" i="165"/>
  <c r="E170" i="200" s="1"/>
  <c r="F170" i="200"/>
  <c r="K169" i="200"/>
  <c r="N167" i="200"/>
  <c r="I167" i="200"/>
  <c r="J166" i="165"/>
  <c r="J166" i="200" s="1"/>
  <c r="O166" i="200"/>
  <c r="E166" i="165"/>
  <c r="E164" i="165" s="1"/>
  <c r="F166" i="200"/>
  <c r="G164" i="165"/>
  <c r="G164" i="200" s="1"/>
  <c r="G165" i="200"/>
  <c r="K164" i="200"/>
  <c r="P162" i="200"/>
  <c r="P161" i="200"/>
  <c r="E158" i="200"/>
  <c r="E156" i="165"/>
  <c r="E156" i="200" s="1"/>
  <c r="F156" i="200"/>
  <c r="K155" i="200"/>
  <c r="J153" i="200"/>
  <c r="O151" i="165"/>
  <c r="O151" i="200" s="1"/>
  <c r="K151" i="200"/>
  <c r="M150" i="200"/>
  <c r="M139" i="165"/>
  <c r="M139" i="200" s="1"/>
  <c r="M142" i="200"/>
  <c r="G139" i="165"/>
  <c r="G139" i="200" s="1"/>
  <c r="G142" i="200"/>
  <c r="J138" i="165"/>
  <c r="P138" i="165" s="1"/>
  <c r="O138" i="200"/>
  <c r="O135" i="165"/>
  <c r="O136" i="200"/>
  <c r="K135" i="165"/>
  <c r="K135" i="200" s="1"/>
  <c r="K136" i="200"/>
  <c r="F135" i="165"/>
  <c r="F135" i="200" s="1"/>
  <c r="F136" i="200"/>
  <c r="O131" i="200"/>
  <c r="J131" i="165"/>
  <c r="J131" i="200" s="1"/>
  <c r="N129" i="200"/>
  <c r="O127" i="165"/>
  <c r="O127" i="200" s="1"/>
  <c r="O128" i="200"/>
  <c r="J128" i="165"/>
  <c r="P128" i="165" s="1"/>
  <c r="L127" i="200"/>
  <c r="G127" i="200"/>
  <c r="J123" i="200"/>
  <c r="J121" i="165"/>
  <c r="J121" i="200" s="1"/>
  <c r="O121" i="200"/>
  <c r="E120" i="200"/>
  <c r="G86" i="200"/>
  <c r="G80" i="200"/>
  <c r="K73" i="200"/>
  <c r="G69" i="200"/>
  <c r="G62" i="200"/>
  <c r="E30" i="200"/>
  <c r="H22" i="200"/>
  <c r="L23" i="200"/>
  <c r="M17" i="200"/>
  <c r="M243" i="200"/>
  <c r="H243" i="200"/>
  <c r="E242" i="165"/>
  <c r="E242" i="200" s="1"/>
  <c r="F242" i="200"/>
  <c r="E241" i="200"/>
  <c r="K240" i="200"/>
  <c r="J238" i="165"/>
  <c r="J238" i="200" s="1"/>
  <c r="O238" i="200"/>
  <c r="O236" i="165"/>
  <c r="O237" i="200"/>
  <c r="F236" i="165"/>
  <c r="F236" i="200" s="1"/>
  <c r="F237" i="200"/>
  <c r="O235" i="200"/>
  <c r="F234" i="165"/>
  <c r="F235" i="200"/>
  <c r="M233" i="165"/>
  <c r="M234" i="200"/>
  <c r="O224" i="165"/>
  <c r="O225" i="200"/>
  <c r="L223" i="165"/>
  <c r="L224" i="200"/>
  <c r="G223" i="165"/>
  <c r="G224" i="200"/>
  <c r="P220" i="165"/>
  <c r="J220" i="200"/>
  <c r="E220" i="200"/>
  <c r="I214" i="165"/>
  <c r="I214" i="200" s="1"/>
  <c r="I219" i="200"/>
  <c r="H217" i="200"/>
  <c r="O216" i="200"/>
  <c r="F216" i="200"/>
  <c r="H215" i="200"/>
  <c r="F212" i="165"/>
  <c r="F212" i="200" s="1"/>
  <c r="F213" i="200"/>
  <c r="L212" i="200"/>
  <c r="E202" i="200"/>
  <c r="I200" i="165"/>
  <c r="I200" i="200" s="1"/>
  <c r="I149" i="200" s="1"/>
  <c r="I148" i="200" s="1"/>
  <c r="I201" i="200"/>
  <c r="O198" i="165"/>
  <c r="O195" i="165" s="1"/>
  <c r="O195" i="200" s="1"/>
  <c r="K198" i="200"/>
  <c r="E197" i="200"/>
  <c r="J196" i="165"/>
  <c r="L196" i="200"/>
  <c r="E196" i="165"/>
  <c r="E195" i="165" s="1"/>
  <c r="F196" i="200"/>
  <c r="K194" i="200"/>
  <c r="E192" i="200"/>
  <c r="J186" i="200"/>
  <c r="J180" i="165"/>
  <c r="J180" i="200" s="1"/>
  <c r="O180" i="200"/>
  <c r="L179" i="200"/>
  <c r="G179" i="200"/>
  <c r="E178" i="200"/>
  <c r="M176" i="200"/>
  <c r="H176" i="200"/>
  <c r="N173" i="200"/>
  <c r="I173" i="200"/>
  <c r="O172" i="200"/>
  <c r="J172" i="165"/>
  <c r="F167" i="200"/>
  <c r="G155" i="200"/>
  <c r="N150" i="200"/>
  <c r="N145" i="165"/>
  <c r="N145" i="200" s="1"/>
  <c r="N146" i="200"/>
  <c r="I145" i="165"/>
  <c r="I145" i="200" s="1"/>
  <c r="I146" i="200"/>
  <c r="P144" i="165"/>
  <c r="N139" i="200"/>
  <c r="H139" i="200"/>
  <c r="L135" i="200"/>
  <c r="G135" i="200"/>
  <c r="K132" i="165"/>
  <c r="K132" i="200" s="1"/>
  <c r="K133" i="200"/>
  <c r="O133" i="165"/>
  <c r="L132" i="200"/>
  <c r="F132" i="200"/>
  <c r="E129" i="165"/>
  <c r="E129" i="200" s="1"/>
  <c r="K129" i="200"/>
  <c r="F129" i="200"/>
  <c r="H127" i="200"/>
  <c r="F125" i="165"/>
  <c r="F125" i="200" s="1"/>
  <c r="F126" i="200"/>
  <c r="E124" i="165"/>
  <c r="F124" i="200"/>
  <c r="E122" i="165"/>
  <c r="E122" i="200" s="1"/>
  <c r="F122" i="200"/>
  <c r="F120" i="200"/>
  <c r="N116" i="200"/>
  <c r="I116" i="200"/>
  <c r="L104" i="200"/>
  <c r="N102" i="200"/>
  <c r="H102" i="200"/>
  <c r="E100" i="200"/>
  <c r="E99" i="200"/>
  <c r="F98" i="200"/>
  <c r="M95" i="200"/>
  <c r="H95" i="200"/>
  <c r="E94" i="200"/>
  <c r="L91" i="200"/>
  <c r="J90" i="200"/>
  <c r="J88" i="200"/>
  <c r="N86" i="200"/>
  <c r="I86" i="200"/>
  <c r="J85" i="200"/>
  <c r="N83" i="200"/>
  <c r="H83" i="200"/>
  <c r="J82" i="200"/>
  <c r="N80" i="200"/>
  <c r="I80" i="200"/>
  <c r="E79" i="200"/>
  <c r="E77" i="200"/>
  <c r="E75" i="200"/>
  <c r="M73" i="200"/>
  <c r="H73" i="200"/>
  <c r="H72" i="200"/>
  <c r="J69" i="165"/>
  <c r="J69" i="200" s="1"/>
  <c r="J70" i="200"/>
  <c r="E69" i="165"/>
  <c r="E69" i="200" s="1"/>
  <c r="E70" i="200"/>
  <c r="E68" i="200"/>
  <c r="F66" i="165"/>
  <c r="F66" i="200" s="1"/>
  <c r="F67" i="200"/>
  <c r="E67" i="165"/>
  <c r="I66" i="200"/>
  <c r="N63" i="200"/>
  <c r="J62" i="200"/>
  <c r="O60" i="165"/>
  <c r="O60" i="200" s="1"/>
  <c r="J61" i="165"/>
  <c r="J60" i="165" s="1"/>
  <c r="L60" i="200"/>
  <c r="F59" i="200"/>
  <c r="E59" i="165"/>
  <c r="N57" i="200"/>
  <c r="I57" i="200"/>
  <c r="F56" i="200"/>
  <c r="E56" i="165"/>
  <c r="E56" i="200" s="1"/>
  <c r="E55" i="200"/>
  <c r="I51" i="165"/>
  <c r="I51" i="200" s="1"/>
  <c r="I53" i="200"/>
  <c r="E52" i="165"/>
  <c r="E52" i="200" s="1"/>
  <c r="F52" i="200"/>
  <c r="N44" i="165"/>
  <c r="N44" i="200" s="1"/>
  <c r="N45" i="200"/>
  <c r="H44" i="165"/>
  <c r="H44" i="200" s="1"/>
  <c r="H45" i="200"/>
  <c r="J43" i="165"/>
  <c r="L38" i="165"/>
  <c r="L38" i="200" s="1"/>
  <c r="L42" i="200"/>
  <c r="F38" i="165"/>
  <c r="F42" i="200"/>
  <c r="F39" i="165"/>
  <c r="F40" i="200"/>
  <c r="I39" i="200"/>
  <c r="F35" i="200"/>
  <c r="O35" i="200"/>
  <c r="I31" i="165"/>
  <c r="I31" i="200" s="1"/>
  <c r="I35" i="200"/>
  <c r="E34" i="200"/>
  <c r="E32" i="200"/>
  <c r="K28" i="165"/>
  <c r="K28" i="200" s="1"/>
  <c r="O29" i="165"/>
  <c r="I25" i="200"/>
  <c r="M23" i="200"/>
  <c r="O20" i="200"/>
  <c r="J20" i="165"/>
  <c r="N17" i="200"/>
  <c r="O112" i="200"/>
  <c r="O111" i="200" s="1"/>
  <c r="J113" i="200"/>
  <c r="J112" i="200" s="1"/>
  <c r="J111" i="200" s="1"/>
  <c r="P230" i="200"/>
  <c r="P229" i="200" s="1"/>
  <c r="P228" i="200" s="1"/>
  <c r="P354" i="200"/>
  <c r="F21" i="200"/>
  <c r="F34" i="200"/>
  <c r="O58" i="200"/>
  <c r="O61" i="200"/>
  <c r="O72" i="200"/>
  <c r="O89" i="200"/>
  <c r="I125" i="200"/>
  <c r="E130" i="200"/>
  <c r="E143" i="200"/>
  <c r="N98" i="200"/>
  <c r="I98" i="200"/>
  <c r="J97" i="200"/>
  <c r="L95" i="200"/>
  <c r="J93" i="200"/>
  <c r="F91" i="165"/>
  <c r="F91" i="200" s="1"/>
  <c r="F92" i="200"/>
  <c r="E92" i="165"/>
  <c r="E92" i="200" s="1"/>
  <c r="I91" i="200"/>
  <c r="M86" i="200"/>
  <c r="H86" i="200"/>
  <c r="M83" i="200"/>
  <c r="M80" i="200"/>
  <c r="H80" i="200"/>
  <c r="J78" i="200"/>
  <c r="J76" i="200"/>
  <c r="L73" i="200"/>
  <c r="E71" i="200"/>
  <c r="H69" i="200"/>
  <c r="N69" i="200"/>
  <c r="I69" i="200"/>
  <c r="K66" i="165"/>
  <c r="O67" i="165"/>
  <c r="N66" i="200"/>
  <c r="J65" i="200"/>
  <c r="H63" i="200"/>
  <c r="M63" i="200"/>
  <c r="H62" i="200"/>
  <c r="E60" i="165"/>
  <c r="E60" i="200" s="1"/>
  <c r="E61" i="200"/>
  <c r="F60" i="200"/>
  <c r="M57" i="200"/>
  <c r="H57" i="200"/>
  <c r="J55" i="200"/>
  <c r="N53" i="165"/>
  <c r="N54" i="200"/>
  <c r="J48" i="200"/>
  <c r="F45" i="165"/>
  <c r="F47" i="200"/>
  <c r="E47" i="165"/>
  <c r="E45" i="165" s="1"/>
  <c r="M44" i="200"/>
  <c r="I42" i="200"/>
  <c r="N39" i="200"/>
  <c r="H39" i="200"/>
  <c r="O36" i="200"/>
  <c r="N31" i="200"/>
  <c r="H31" i="200"/>
  <c r="P30" i="200"/>
  <c r="F28" i="200"/>
  <c r="L28" i="200"/>
  <c r="K26" i="200"/>
  <c r="O26" i="165"/>
  <c r="M22" i="165"/>
  <c r="M22" i="200" s="1"/>
  <c r="M25" i="200"/>
  <c r="P24" i="165"/>
  <c r="E24" i="200"/>
  <c r="G23" i="200"/>
  <c r="E20" i="200"/>
  <c r="H17" i="165"/>
  <c r="H17" i="200" s="1"/>
  <c r="H18" i="200"/>
  <c r="O229" i="200"/>
  <c r="O228" i="200" s="1"/>
  <c r="J230" i="200"/>
  <c r="J229" i="200" s="1"/>
  <c r="J228" i="200" s="1"/>
  <c r="P357" i="200"/>
  <c r="P418" i="200"/>
  <c r="P417" i="200" s="1"/>
  <c r="J417" i="200"/>
  <c r="O46" i="200"/>
  <c r="K48" i="200"/>
  <c r="O48" i="200"/>
  <c r="O56" i="200"/>
  <c r="K64" i="200"/>
  <c r="O71" i="200"/>
  <c r="O81" i="200"/>
  <c r="K84" i="200"/>
  <c r="O90" i="200"/>
  <c r="O93" i="200"/>
  <c r="O118" i="200"/>
  <c r="E142" i="200"/>
  <c r="L146" i="200"/>
  <c r="N430" i="200"/>
  <c r="N429" i="200" s="1"/>
  <c r="N428" i="200" s="1"/>
  <c r="I430" i="200"/>
  <c r="L426" i="200"/>
  <c r="H426" i="200"/>
  <c r="O424" i="165"/>
  <c r="O425" i="200"/>
  <c r="L423" i="165"/>
  <c r="L423" i="200" s="1"/>
  <c r="L420" i="200" s="1"/>
  <c r="L424" i="200"/>
  <c r="G423" i="165"/>
  <c r="G423" i="200" s="1"/>
  <c r="G424" i="200"/>
  <c r="E422" i="165"/>
  <c r="F422" i="200"/>
  <c r="I421" i="200"/>
  <c r="I420" i="200" s="1"/>
  <c r="I419" i="200" s="1"/>
  <c r="M414" i="165"/>
  <c r="M414" i="200" s="1"/>
  <c r="M415" i="200"/>
  <c r="G414" i="165"/>
  <c r="G414" i="200" s="1"/>
  <c r="G415" i="200"/>
  <c r="E413" i="200"/>
  <c r="G411" i="165"/>
  <c r="G411" i="200" s="1"/>
  <c r="G410" i="200" s="1"/>
  <c r="G409" i="200" s="1"/>
  <c r="G412" i="200"/>
  <c r="M411" i="200"/>
  <c r="O401" i="165"/>
  <c r="O401" i="200" s="1"/>
  <c r="O402" i="200"/>
  <c r="M397" i="165"/>
  <c r="M401" i="200"/>
  <c r="H397" i="165"/>
  <c r="H401" i="200"/>
  <c r="F400" i="200"/>
  <c r="E396" i="165"/>
  <c r="E396" i="200" s="1"/>
  <c r="F396" i="200"/>
  <c r="I395" i="200"/>
  <c r="K393" i="200"/>
  <c r="I391" i="200"/>
  <c r="M384" i="165"/>
  <c r="M384" i="200" s="1"/>
  <c r="M385" i="200"/>
  <c r="H384" i="165"/>
  <c r="H384" i="200" s="1"/>
  <c r="H385" i="200"/>
  <c r="E382" i="165"/>
  <c r="E382" i="200" s="1"/>
  <c r="E383" i="200"/>
  <c r="I382" i="200"/>
  <c r="J381" i="165"/>
  <c r="O381" i="200"/>
  <c r="K376" i="165"/>
  <c r="K376" i="200" s="1"/>
  <c r="K379" i="200"/>
  <c r="O377" i="165"/>
  <c r="O377" i="200" s="1"/>
  <c r="O378" i="200"/>
  <c r="L377" i="200"/>
  <c r="G377" i="200"/>
  <c r="O373" i="200"/>
  <c r="L372" i="200"/>
  <c r="K368" i="200"/>
  <c r="L366" i="165"/>
  <c r="L366" i="200" s="1"/>
  <c r="L367" i="200"/>
  <c r="F366" i="165"/>
  <c r="F366" i="200" s="1"/>
  <c r="F367" i="200"/>
  <c r="E364" i="200"/>
  <c r="G362" i="165"/>
  <c r="G362" i="200" s="1"/>
  <c r="G361" i="200" s="1"/>
  <c r="G360" i="200" s="1"/>
  <c r="G363" i="200"/>
  <c r="M362" i="200"/>
  <c r="K352" i="165"/>
  <c r="K353" i="200"/>
  <c r="L352" i="200"/>
  <c r="F352" i="200"/>
  <c r="M348" i="165"/>
  <c r="M348" i="200" s="1"/>
  <c r="M349" i="200"/>
  <c r="G348" i="165"/>
  <c r="G348" i="200" s="1"/>
  <c r="G349" i="200"/>
  <c r="N344" i="165"/>
  <c r="N344" i="200" s="1"/>
  <c r="N345" i="200"/>
  <c r="H344" i="165"/>
  <c r="H344" i="200" s="1"/>
  <c r="H345" i="200"/>
  <c r="E342" i="165"/>
  <c r="E342" i="200" s="1"/>
  <c r="E343" i="200"/>
  <c r="I342" i="200"/>
  <c r="K340" i="165"/>
  <c r="K340" i="200" s="1"/>
  <c r="K341" i="200"/>
  <c r="L340" i="200"/>
  <c r="F340" i="200"/>
  <c r="E338" i="200"/>
  <c r="E337" i="165"/>
  <c r="E337" i="200" s="1"/>
  <c r="F337" i="200"/>
  <c r="K336" i="200"/>
  <c r="N331" i="165"/>
  <c r="N331" i="200" s="1"/>
  <c r="N332" i="200"/>
  <c r="I331" i="165"/>
  <c r="I331" i="200" s="1"/>
  <c r="I332" i="200"/>
  <c r="F327" i="165"/>
  <c r="F329" i="200"/>
  <c r="M326" i="165"/>
  <c r="M326" i="200" s="1"/>
  <c r="M327" i="200"/>
  <c r="L322" i="165"/>
  <c r="L323" i="200"/>
  <c r="I319" i="165"/>
  <c r="I319" i="200" s="1"/>
  <c r="I322" i="200"/>
  <c r="E319" i="165"/>
  <c r="E320" i="200"/>
  <c r="E318" i="165"/>
  <c r="F318" i="200"/>
  <c r="O314" i="165"/>
  <c r="K314" i="200"/>
  <c r="J312" i="165"/>
  <c r="O312" i="200"/>
  <c r="O309" i="165"/>
  <c r="K309" i="200"/>
  <c r="K307" i="165"/>
  <c r="J305" i="165"/>
  <c r="O305" i="200"/>
  <c r="J303" i="165"/>
  <c r="J303" i="200" s="1"/>
  <c r="O303" i="200"/>
  <c r="F302" i="165"/>
  <c r="F302" i="200" s="1"/>
  <c r="F303" i="200"/>
  <c r="L302" i="200"/>
  <c r="M289" i="165"/>
  <c r="M286" i="165" s="1"/>
  <c r="M292" i="200"/>
  <c r="H289" i="165"/>
  <c r="H286" i="165" s="1"/>
  <c r="H286" i="200" s="1"/>
  <c r="H292" i="200"/>
  <c r="E291" i="200"/>
  <c r="J288" i="165"/>
  <c r="P288" i="165" s="1"/>
  <c r="O288" i="200"/>
  <c r="L287" i="200"/>
  <c r="G287" i="200"/>
  <c r="E285" i="200"/>
  <c r="E283" i="165"/>
  <c r="E283" i="200" s="1"/>
  <c r="F283" i="200"/>
  <c r="J281" i="165"/>
  <c r="O281" i="200"/>
  <c r="E280" i="200"/>
  <c r="E279" i="200"/>
  <c r="M276" i="165"/>
  <c r="M276" i="200" s="1"/>
  <c r="M277" i="200"/>
  <c r="G276" i="165"/>
  <c r="G276" i="200" s="1"/>
  <c r="G277" i="200"/>
  <c r="N274" i="200"/>
  <c r="H274" i="200"/>
  <c r="J273" i="200"/>
  <c r="O270" i="165"/>
  <c r="O270" i="200" s="1"/>
  <c r="O271" i="200"/>
  <c r="M270" i="200"/>
  <c r="H270" i="200"/>
  <c r="E263" i="200"/>
  <c r="K262" i="200"/>
  <c r="F262" i="200"/>
  <c r="E260" i="165"/>
  <c r="E261" i="200"/>
  <c r="I259" i="165"/>
  <c r="I259" i="200" s="1"/>
  <c r="I260" i="200"/>
  <c r="O256" i="165"/>
  <c r="O257" i="200"/>
  <c r="M255" i="165"/>
  <c r="M255" i="200" s="1"/>
  <c r="M256" i="200"/>
  <c r="H255" i="165"/>
  <c r="H255" i="200" s="1"/>
  <c r="H256" i="200"/>
  <c r="O251" i="200"/>
  <c r="N250" i="200"/>
  <c r="H250" i="200"/>
  <c r="K248" i="200"/>
  <c r="E247" i="165"/>
  <c r="E245" i="165" s="1"/>
  <c r="F247" i="200"/>
  <c r="G245" i="165"/>
  <c r="G245" i="200" s="1"/>
  <c r="G246" i="200"/>
  <c r="M245" i="200"/>
  <c r="E243" i="165"/>
  <c r="E243" i="200" s="1"/>
  <c r="E244" i="200"/>
  <c r="K243" i="200"/>
  <c r="F243" i="200"/>
  <c r="M239" i="165"/>
  <c r="M239" i="200" s="1"/>
  <c r="M240" i="200"/>
  <c r="H240" i="200"/>
  <c r="G236" i="165"/>
  <c r="G236" i="200" s="1"/>
  <c r="G238" i="200"/>
  <c r="K236" i="165"/>
  <c r="K236" i="200" s="1"/>
  <c r="K237" i="200"/>
  <c r="M236" i="200"/>
  <c r="H234" i="165"/>
  <c r="H234" i="200" s="1"/>
  <c r="H235" i="200"/>
  <c r="O234" i="165"/>
  <c r="O234" i="200" s="1"/>
  <c r="K234" i="200"/>
  <c r="N223" i="165"/>
  <c r="N224" i="200"/>
  <c r="I223" i="165"/>
  <c r="I224" i="200"/>
  <c r="E221" i="165"/>
  <c r="E221" i="200" s="1"/>
  <c r="F221" i="200"/>
  <c r="G219" i="165"/>
  <c r="G219" i="200" s="1"/>
  <c r="G220" i="200"/>
  <c r="M214" i="165"/>
  <c r="M214" i="200" s="1"/>
  <c r="M219" i="200"/>
  <c r="E218" i="200"/>
  <c r="E217" i="165"/>
  <c r="F217" i="200"/>
  <c r="H216" i="200"/>
  <c r="J215" i="165"/>
  <c r="J215" i="200" s="1"/>
  <c r="O215" i="200"/>
  <c r="F214" i="165"/>
  <c r="F214" i="200" s="1"/>
  <c r="F215" i="200"/>
  <c r="H212" i="165"/>
  <c r="H212" i="200" s="1"/>
  <c r="H213" i="200"/>
  <c r="N212" i="200"/>
  <c r="I212" i="200"/>
  <c r="M200" i="165"/>
  <c r="M200" i="200" s="1"/>
  <c r="M201" i="200"/>
  <c r="G200" i="165"/>
  <c r="G200" i="200" s="1"/>
  <c r="G201" i="200"/>
  <c r="J197" i="165"/>
  <c r="J197" i="200" s="1"/>
  <c r="O197" i="200"/>
  <c r="N195" i="165"/>
  <c r="N195" i="200" s="1"/>
  <c r="N196" i="200"/>
  <c r="H195" i="165"/>
  <c r="H195" i="200" s="1"/>
  <c r="H196" i="200"/>
  <c r="I195" i="200"/>
  <c r="O192" i="200"/>
  <c r="E189" i="200"/>
  <c r="J184" i="165"/>
  <c r="J184" i="200" s="1"/>
  <c r="O184" i="200"/>
  <c r="I179" i="200"/>
  <c r="O178" i="200"/>
  <c r="F176" i="200"/>
  <c r="K176" i="200"/>
  <c r="O175" i="200"/>
  <c r="J175" i="165"/>
  <c r="J173" i="200"/>
  <c r="G173" i="200"/>
  <c r="N169" i="200"/>
  <c r="O160" i="200"/>
  <c r="J159" i="200"/>
  <c r="J157" i="200"/>
  <c r="G150" i="200"/>
  <c r="J146" i="165"/>
  <c r="J147" i="200"/>
  <c r="G145" i="165"/>
  <c r="G145" i="200" s="1"/>
  <c r="G146" i="200"/>
  <c r="L139" i="200"/>
  <c r="F139" i="200"/>
  <c r="N135" i="200"/>
  <c r="J134" i="200"/>
  <c r="N132" i="200"/>
  <c r="H132" i="200"/>
  <c r="H129" i="200"/>
  <c r="E127" i="165"/>
  <c r="E127" i="200" s="1"/>
  <c r="K127" i="200"/>
  <c r="F127" i="200"/>
  <c r="M119" i="165"/>
  <c r="G119" i="165"/>
  <c r="G119" i="200" s="1"/>
  <c r="G125" i="200"/>
  <c r="E123" i="165"/>
  <c r="F123" i="200"/>
  <c r="F121" i="200"/>
  <c r="E121" i="165"/>
  <c r="L116" i="200"/>
  <c r="O107" i="165"/>
  <c r="J108" i="165"/>
  <c r="N101" i="200"/>
  <c r="H104" i="200"/>
  <c r="F102" i="200"/>
  <c r="M98" i="200"/>
  <c r="H98" i="200"/>
  <c r="F95" i="200"/>
  <c r="N91" i="200"/>
  <c r="H91" i="200"/>
  <c r="J89" i="200"/>
  <c r="J87" i="200"/>
  <c r="L86" i="200"/>
  <c r="L83" i="200"/>
  <c r="F83" i="200"/>
  <c r="L80" i="200"/>
  <c r="P78" i="165"/>
  <c r="E78" i="200"/>
  <c r="P76" i="165"/>
  <c r="P76" i="200" s="1"/>
  <c r="E76" i="200"/>
  <c r="E74" i="200"/>
  <c r="F73" i="200"/>
  <c r="E73" i="165"/>
  <c r="E73" i="200" s="1"/>
  <c r="E72" i="200"/>
  <c r="M69" i="200"/>
  <c r="J68" i="200"/>
  <c r="H66" i="165"/>
  <c r="H66" i="200" s="1"/>
  <c r="H67" i="200"/>
  <c r="M66" i="200"/>
  <c r="G63" i="165"/>
  <c r="G63" i="200" s="1"/>
  <c r="L63" i="200"/>
  <c r="N60" i="200"/>
  <c r="I60" i="200"/>
  <c r="J59" i="200"/>
  <c r="L57" i="200"/>
  <c r="J56" i="200"/>
  <c r="H55" i="200"/>
  <c r="L54" i="200"/>
  <c r="E54" i="200"/>
  <c r="H52" i="200"/>
  <c r="F48" i="200"/>
  <c r="E48" i="165"/>
  <c r="J46" i="200"/>
  <c r="L44" i="165"/>
  <c r="L44" i="200" s="1"/>
  <c r="L45" i="200"/>
  <c r="N38" i="165"/>
  <c r="N38" i="200" s="1"/>
  <c r="N42" i="200"/>
  <c r="H38" i="165"/>
  <c r="H38" i="200" s="1"/>
  <c r="H42" i="200"/>
  <c r="E41" i="165"/>
  <c r="E41" i="200" s="1"/>
  <c r="F41" i="200"/>
  <c r="M39" i="200"/>
  <c r="L35" i="165"/>
  <c r="L36" i="200"/>
  <c r="M31" i="165"/>
  <c r="M31" i="200" s="1"/>
  <c r="M35" i="200"/>
  <c r="G31" i="165"/>
  <c r="G31" i="200" s="1"/>
  <c r="G35" i="200"/>
  <c r="J30" i="200"/>
  <c r="F25" i="165"/>
  <c r="F22" i="165" s="1"/>
  <c r="E26" i="165"/>
  <c r="O23" i="200"/>
  <c r="K23" i="200"/>
  <c r="O19" i="200"/>
  <c r="J19" i="165"/>
  <c r="L17" i="200"/>
  <c r="O356" i="200"/>
  <c r="O355" i="200" s="1"/>
  <c r="J357" i="200"/>
  <c r="J24" i="200"/>
  <c r="H25" i="200"/>
  <c r="E29" i="200"/>
  <c r="K29" i="200"/>
  <c r="O43" i="200"/>
  <c r="O55" i="200"/>
  <c r="O85" i="200"/>
  <c r="O87" i="200"/>
  <c r="K94" i="200"/>
  <c r="O94" i="200"/>
  <c r="O97" i="200"/>
  <c r="M136" i="200"/>
  <c r="I142" i="200"/>
  <c r="F177" i="200"/>
  <c r="H430" i="200"/>
  <c r="K426" i="200"/>
  <c r="G426" i="200"/>
  <c r="E425" i="165"/>
  <c r="E425" i="200" s="1"/>
  <c r="F425" i="200"/>
  <c r="K423" i="165"/>
  <c r="K424" i="200"/>
  <c r="K421" i="165"/>
  <c r="K421" i="200" s="1"/>
  <c r="K422" i="200"/>
  <c r="N421" i="200"/>
  <c r="J416" i="165"/>
  <c r="O416" i="200"/>
  <c r="K414" i="165"/>
  <c r="K414" i="200" s="1"/>
  <c r="K415" i="200"/>
  <c r="F414" i="165"/>
  <c r="F414" i="200" s="1"/>
  <c r="F415" i="200"/>
  <c r="F411" i="165"/>
  <c r="F411" i="200" s="1"/>
  <c r="F412" i="200"/>
  <c r="L411" i="200"/>
  <c r="J401" i="165"/>
  <c r="J401" i="200" s="1"/>
  <c r="J402" i="200"/>
  <c r="L397" i="165"/>
  <c r="L401" i="200"/>
  <c r="G397" i="165"/>
  <c r="G401" i="200"/>
  <c r="O398" i="200"/>
  <c r="N395" i="200"/>
  <c r="H395" i="200"/>
  <c r="E393" i="165"/>
  <c r="E393" i="200" s="1"/>
  <c r="F393" i="200"/>
  <c r="N391" i="200"/>
  <c r="H391" i="200"/>
  <c r="F385" i="165"/>
  <c r="F386" i="200"/>
  <c r="L384" i="165"/>
  <c r="L384" i="200" s="1"/>
  <c r="L385" i="200"/>
  <c r="G384" i="165"/>
  <c r="G384" i="200" s="1"/>
  <c r="G385" i="200"/>
  <c r="N382" i="200"/>
  <c r="H382" i="200"/>
  <c r="E381" i="200"/>
  <c r="N379" i="200"/>
  <c r="I376" i="165"/>
  <c r="I379" i="200"/>
  <c r="E378" i="165"/>
  <c r="E378" i="200" s="1"/>
  <c r="F378" i="200"/>
  <c r="K377" i="200"/>
  <c r="O374" i="200"/>
  <c r="J372" i="165"/>
  <c r="J373" i="200"/>
  <c r="O372" i="165"/>
  <c r="O372" i="200" s="1"/>
  <c r="K372" i="200"/>
  <c r="E368" i="200"/>
  <c r="I366" i="165"/>
  <c r="I366" i="200" s="1"/>
  <c r="I367" i="200"/>
  <c r="J365" i="165"/>
  <c r="J365" i="200" s="1"/>
  <c r="O365" i="200"/>
  <c r="F362" i="165"/>
  <c r="F362" i="200" s="1"/>
  <c r="F363" i="200"/>
  <c r="L362" i="200"/>
  <c r="E352" i="165"/>
  <c r="E353" i="200"/>
  <c r="I352" i="200"/>
  <c r="K349" i="165"/>
  <c r="K350" i="200"/>
  <c r="L348" i="165"/>
  <c r="L348" i="200" s="1"/>
  <c r="L349" i="200"/>
  <c r="F348" i="165"/>
  <c r="F348" i="200" s="1"/>
  <c r="F349" i="200"/>
  <c r="M344" i="165"/>
  <c r="M344" i="200" s="1"/>
  <c r="M345" i="200"/>
  <c r="G344" i="165"/>
  <c r="G344" i="200" s="1"/>
  <c r="G345" i="200"/>
  <c r="N342" i="200"/>
  <c r="H342" i="200"/>
  <c r="E340" i="165"/>
  <c r="E340" i="200" s="1"/>
  <c r="E341" i="200"/>
  <c r="I340" i="200"/>
  <c r="J339" i="165"/>
  <c r="O339" i="200"/>
  <c r="J337" i="165"/>
  <c r="J337" i="200" s="1"/>
  <c r="O337" i="200"/>
  <c r="N336" i="200"/>
  <c r="I336" i="200"/>
  <c r="M331" i="165"/>
  <c r="M331" i="200" s="1"/>
  <c r="M332" i="200"/>
  <c r="H331" i="165"/>
  <c r="H331" i="200" s="1"/>
  <c r="H332" i="200"/>
  <c r="H330" i="200"/>
  <c r="O329" i="200"/>
  <c r="J328" i="165"/>
  <c r="J328" i="200" s="1"/>
  <c r="O328" i="200"/>
  <c r="L326" i="165"/>
  <c r="L326" i="200" s="1"/>
  <c r="L327" i="200"/>
  <c r="P325" i="165"/>
  <c r="N319" i="165"/>
  <c r="N319" i="200" s="1"/>
  <c r="N322" i="200"/>
  <c r="H322" i="200"/>
  <c r="K319" i="165"/>
  <c r="K319" i="200" s="1"/>
  <c r="K321" i="200"/>
  <c r="H319" i="165"/>
  <c r="H319" i="200" s="1"/>
  <c r="N316" i="165"/>
  <c r="N316" i="200" s="1"/>
  <c r="N317" i="200"/>
  <c r="I316" i="165"/>
  <c r="I316" i="200" s="1"/>
  <c r="I317" i="200"/>
  <c r="E314" i="200"/>
  <c r="O310" i="200"/>
  <c r="E309" i="165"/>
  <c r="E309" i="200" s="1"/>
  <c r="F309" i="200"/>
  <c r="N306" i="165"/>
  <c r="N306" i="200" s="1"/>
  <c r="N307" i="200"/>
  <c r="I306" i="165"/>
  <c r="I306" i="200" s="1"/>
  <c r="I307" i="200"/>
  <c r="E305" i="200"/>
  <c r="K303" i="200"/>
  <c r="E303" i="165"/>
  <c r="K302" i="165"/>
  <c r="E297" i="165"/>
  <c r="E297" i="200" s="1"/>
  <c r="F297" i="200"/>
  <c r="J293" i="165"/>
  <c r="J293" i="200" s="1"/>
  <c r="O293" i="200"/>
  <c r="L289" i="165"/>
  <c r="L286" i="165" s="1"/>
  <c r="L286" i="200" s="1"/>
  <c r="L292" i="200"/>
  <c r="G289" i="165"/>
  <c r="G292" i="200"/>
  <c r="O290" i="200"/>
  <c r="E288" i="200"/>
  <c r="K287" i="200"/>
  <c r="F287" i="200"/>
  <c r="O284" i="165"/>
  <c r="K284" i="200"/>
  <c r="O282" i="200"/>
  <c r="E281" i="200"/>
  <c r="K277" i="165"/>
  <c r="K278" i="200"/>
  <c r="L276" i="165"/>
  <c r="L276" i="200" s="1"/>
  <c r="L277" i="200"/>
  <c r="M274" i="200"/>
  <c r="G274" i="200"/>
  <c r="E273" i="200"/>
  <c r="G270" i="165"/>
  <c r="G270" i="200" s="1"/>
  <c r="G271" i="200"/>
  <c r="L270" i="200"/>
  <c r="O262" i="165"/>
  <c r="O264" i="200"/>
  <c r="N262" i="200"/>
  <c r="I262" i="200"/>
  <c r="N259" i="165"/>
  <c r="N260" i="200"/>
  <c r="H259" i="165"/>
  <c r="H260" i="200"/>
  <c r="J257" i="165"/>
  <c r="L255" i="165"/>
  <c r="L255" i="200" s="1"/>
  <c r="L256" i="200"/>
  <c r="G255" i="165"/>
  <c r="G255" i="200" s="1"/>
  <c r="G256" i="200"/>
  <c r="E254" i="200"/>
  <c r="E253" i="165"/>
  <c r="E253" i="200" s="1"/>
  <c r="J251" i="165"/>
  <c r="M250" i="200"/>
  <c r="O248" i="165"/>
  <c r="O248" i="200" s="1"/>
  <c r="O249" i="200"/>
  <c r="N248" i="200"/>
  <c r="I248" i="200"/>
  <c r="J246" i="165"/>
  <c r="P246" i="165" s="1"/>
  <c r="L246" i="200"/>
  <c r="F245" i="165"/>
  <c r="F245" i="200" s="1"/>
  <c r="F246" i="200"/>
  <c r="N243" i="200"/>
  <c r="I243" i="200"/>
  <c r="O240" i="165"/>
  <c r="O240" i="200" s="1"/>
  <c r="O242" i="200"/>
  <c r="F240" i="165"/>
  <c r="F241" i="200"/>
  <c r="L240" i="200"/>
  <c r="G240" i="200"/>
  <c r="E238" i="165"/>
  <c r="F238" i="200"/>
  <c r="H237" i="200"/>
  <c r="I236" i="200"/>
  <c r="G234" i="165"/>
  <c r="G235" i="200"/>
  <c r="N233" i="165"/>
  <c r="N233" i="200" s="1"/>
  <c r="N234" i="200"/>
  <c r="I233" i="165"/>
  <c r="I233" i="200" s="1"/>
  <c r="I234" i="200"/>
  <c r="M223" i="165"/>
  <c r="M224" i="200"/>
  <c r="H223" i="165"/>
  <c r="H224" i="200"/>
  <c r="O220" i="200"/>
  <c r="F219" i="165"/>
  <c r="F219" i="200" s="1"/>
  <c r="F220" i="200"/>
  <c r="L214" i="165"/>
  <c r="L214" i="200" s="1"/>
  <c r="L219" i="200"/>
  <c r="J217" i="165"/>
  <c r="J217" i="200" s="1"/>
  <c r="O217" i="200"/>
  <c r="G216" i="200"/>
  <c r="K215" i="200"/>
  <c r="E215" i="165"/>
  <c r="E215" i="200" s="1"/>
  <c r="G212" i="165"/>
  <c r="G212" i="200" s="1"/>
  <c r="G213" i="200"/>
  <c r="M212" i="200"/>
  <c r="K201" i="165"/>
  <c r="K202" i="200"/>
  <c r="L200" i="165"/>
  <c r="L200" i="200" s="1"/>
  <c r="L201" i="200"/>
  <c r="F200" i="165"/>
  <c r="F200" i="200" s="1"/>
  <c r="F201" i="200"/>
  <c r="E199" i="200"/>
  <c r="K197" i="200"/>
  <c r="M195" i="165"/>
  <c r="M195" i="200" s="1"/>
  <c r="M196" i="200"/>
  <c r="G195" i="165"/>
  <c r="G195" i="200" s="1"/>
  <c r="G196" i="200"/>
  <c r="O194" i="165"/>
  <c r="J192" i="165"/>
  <c r="J192" i="200" s="1"/>
  <c r="O186" i="200"/>
  <c r="E184" i="200"/>
  <c r="M179" i="200"/>
  <c r="H179" i="200"/>
  <c r="J178" i="165"/>
  <c r="J178" i="200" s="1"/>
  <c r="N176" i="200"/>
  <c r="E175" i="200"/>
  <c r="O173" i="200"/>
  <c r="K173" i="200"/>
  <c r="P171" i="165"/>
  <c r="J171" i="200"/>
  <c r="H169" i="165"/>
  <c r="H169" i="200" s="1"/>
  <c r="H170" i="200"/>
  <c r="M169" i="200"/>
  <c r="O167" i="165"/>
  <c r="O167" i="200" s="1"/>
  <c r="O168" i="200"/>
  <c r="L167" i="200"/>
  <c r="G167" i="200"/>
  <c r="H166" i="200"/>
  <c r="N164" i="165"/>
  <c r="N164" i="200" s="1"/>
  <c r="N165" i="200"/>
  <c r="M164" i="200"/>
  <c r="J163" i="165"/>
  <c r="J163" i="200" s="1"/>
  <c r="O163" i="200"/>
  <c r="J162" i="200"/>
  <c r="J161" i="200"/>
  <c r="E159" i="200"/>
  <c r="E157" i="200"/>
  <c r="M155" i="200"/>
  <c r="H155" i="200"/>
  <c r="J152" i="165"/>
  <c r="J152" i="200" s="1"/>
  <c r="O152" i="200"/>
  <c r="F150" i="165"/>
  <c r="F150" i="200" s="1"/>
  <c r="E151" i="165"/>
  <c r="F151" i="200"/>
  <c r="I150" i="200"/>
  <c r="J136" i="165"/>
  <c r="J136" i="200" s="1"/>
  <c r="J137" i="200"/>
  <c r="H135" i="165"/>
  <c r="H135" i="200" s="1"/>
  <c r="H136" i="200"/>
  <c r="G132" i="200"/>
  <c r="O129" i="165"/>
  <c r="O129" i="200" s="1"/>
  <c r="O130" i="200"/>
  <c r="J130" i="165"/>
  <c r="L129" i="200"/>
  <c r="G129" i="200"/>
  <c r="N127" i="200"/>
  <c r="K125" i="200"/>
  <c r="J124" i="200"/>
  <c r="K122" i="200"/>
  <c r="O120" i="200"/>
  <c r="J118" i="200"/>
  <c r="F116" i="165"/>
  <c r="F116" i="200" s="1"/>
  <c r="F117" i="200"/>
  <c r="E117" i="165"/>
  <c r="P117" i="165" s="1"/>
  <c r="E107" i="165"/>
  <c r="E108" i="200"/>
  <c r="F107" i="200"/>
  <c r="M101" i="165"/>
  <c r="M101" i="200" s="1"/>
  <c r="M104" i="200"/>
  <c r="G101" i="165"/>
  <c r="G101" i="200" s="1"/>
  <c r="E102" i="165"/>
  <c r="E102" i="200" s="1"/>
  <c r="E103" i="200"/>
  <c r="I102" i="200"/>
  <c r="P100" i="165"/>
  <c r="P100" i="200" s="1"/>
  <c r="J100" i="200"/>
  <c r="J99" i="200"/>
  <c r="L98" i="200"/>
  <c r="E97" i="165"/>
  <c r="F97" i="200"/>
  <c r="N95" i="200"/>
  <c r="I95" i="200"/>
  <c r="P94" i="165"/>
  <c r="P94" i="200" s="1"/>
  <c r="J94" i="200"/>
  <c r="O91" i="165"/>
  <c r="M91" i="200"/>
  <c r="E89" i="200"/>
  <c r="E87" i="200"/>
  <c r="F86" i="200"/>
  <c r="I83" i="200"/>
  <c r="E81" i="200"/>
  <c r="J79" i="200"/>
  <c r="J77" i="200"/>
  <c r="J75" i="200"/>
  <c r="N73" i="200"/>
  <c r="I73" i="200"/>
  <c r="J72" i="200"/>
  <c r="J71" i="200"/>
  <c r="O69" i="165"/>
  <c r="O69" i="200" s="1"/>
  <c r="L69" i="200"/>
  <c r="F68" i="200"/>
  <c r="L66" i="200"/>
  <c r="P65" i="200"/>
  <c r="I63" i="200"/>
  <c r="E62" i="200"/>
  <c r="M60" i="200"/>
  <c r="H60" i="200"/>
  <c r="F57" i="165"/>
  <c r="F57" i="200" s="1"/>
  <c r="F58" i="200"/>
  <c r="E58" i="165"/>
  <c r="E58" i="200" s="1"/>
  <c r="H56" i="200"/>
  <c r="O53" i="165"/>
  <c r="O53" i="200" s="1"/>
  <c r="M51" i="165"/>
  <c r="M53" i="200"/>
  <c r="I44" i="200"/>
  <c r="L39" i="200"/>
  <c r="K31" i="200"/>
  <c r="O32" i="200"/>
  <c r="J32" i="165"/>
  <c r="J32" i="200" s="1"/>
  <c r="N28" i="200"/>
  <c r="H28" i="200"/>
  <c r="K25" i="165"/>
  <c r="I23" i="200"/>
  <c r="P21" i="165"/>
  <c r="P21" i="200" s="1"/>
  <c r="E21" i="200"/>
  <c r="E19" i="200"/>
  <c r="E18" i="200"/>
  <c r="J205" i="200"/>
  <c r="J204" i="200" s="1"/>
  <c r="O405" i="200"/>
  <c r="J405" i="200" s="1"/>
  <c r="K404" i="200"/>
  <c r="K403" i="200" s="1"/>
  <c r="F26" i="200"/>
  <c r="G54" i="200"/>
  <c r="O54" i="200"/>
  <c r="K62" i="200"/>
  <c r="O62" i="200"/>
  <c r="G64" i="200"/>
  <c r="K67" i="200"/>
  <c r="K68" i="200"/>
  <c r="O68" i="200"/>
  <c r="G70" i="200"/>
  <c r="O88" i="200"/>
  <c r="O100" i="200"/>
  <c r="G104" i="200"/>
  <c r="K107" i="200"/>
  <c r="O176" i="165"/>
  <c r="O176" i="200" s="1"/>
  <c r="O177" i="200"/>
  <c r="L176" i="200"/>
  <c r="G176" i="200"/>
  <c r="O174" i="200"/>
  <c r="E173" i="200"/>
  <c r="O171" i="200"/>
  <c r="K170" i="200"/>
  <c r="I169" i="200"/>
  <c r="M167" i="200"/>
  <c r="H167" i="200"/>
  <c r="K166" i="200"/>
  <c r="O164" i="165"/>
  <c r="O165" i="200"/>
  <c r="E165" i="200"/>
  <c r="I164" i="200"/>
  <c r="O162" i="200"/>
  <c r="O161" i="200"/>
  <c r="I154" i="165"/>
  <c r="I154" i="200" s="1"/>
  <c r="P153" i="165"/>
  <c r="E153" i="200"/>
  <c r="N119" i="165"/>
  <c r="N119" i="200" s="1"/>
  <c r="H119" i="165"/>
  <c r="H119" i="200" s="1"/>
  <c r="P118" i="165"/>
  <c r="P118" i="200" s="1"/>
  <c r="L101" i="165"/>
  <c r="L101" i="200" s="1"/>
  <c r="O98" i="165"/>
  <c r="O98" i="200" s="1"/>
  <c r="P93" i="165"/>
  <c r="P93" i="200" s="1"/>
  <c r="P90" i="165"/>
  <c r="P90" i="200" s="1"/>
  <c r="P88" i="165"/>
  <c r="P85" i="165"/>
  <c r="P85" i="200" s="1"/>
  <c r="P82" i="165"/>
  <c r="P82" i="200" s="1"/>
  <c r="O73" i="165"/>
  <c r="O73" i="200" s="1"/>
  <c r="F69" i="165"/>
  <c r="F69" i="200" s="1"/>
  <c r="G57" i="165"/>
  <c r="G57" i="200" s="1"/>
  <c r="H53" i="165"/>
  <c r="H53" i="200" s="1"/>
  <c r="L53" i="165"/>
  <c r="K44" i="165"/>
  <c r="M38" i="165"/>
  <c r="M38" i="200" s="1"/>
  <c r="G38" i="165"/>
  <c r="G38" i="200" s="1"/>
  <c r="O31" i="165"/>
  <c r="O31" i="200" s="1"/>
  <c r="L22" i="165"/>
  <c r="L22" i="200" s="1"/>
  <c r="G22" i="165"/>
  <c r="G22" i="200" s="1"/>
  <c r="O34" i="200"/>
  <c r="H54" i="200"/>
  <c r="H64" i="200"/>
  <c r="H70" i="200"/>
  <c r="L102" i="200"/>
  <c r="N125" i="200"/>
  <c r="N136" i="200"/>
  <c r="F142" i="200"/>
  <c r="N142" i="200"/>
  <c r="E146" i="200"/>
  <c r="M146" i="200"/>
  <c r="E147" i="200"/>
  <c r="O158" i="200"/>
  <c r="N35" i="200"/>
  <c r="M42" i="200"/>
  <c r="E43" i="200"/>
  <c r="I45" i="200"/>
  <c r="M45" i="200"/>
  <c r="E46" i="200"/>
  <c r="E65" i="200"/>
  <c r="E82" i="200"/>
  <c r="E84" i="200"/>
  <c r="E85" i="200"/>
  <c r="E88" i="200"/>
  <c r="E90" i="200"/>
  <c r="E93" i="200"/>
  <c r="E96" i="200"/>
  <c r="E118" i="200"/>
  <c r="K123" i="200"/>
  <c r="O123" i="200"/>
  <c r="K124" i="200"/>
  <c r="O124" i="200"/>
  <c r="K126" i="200"/>
  <c r="K134" i="200"/>
  <c r="O134" i="200"/>
  <c r="G136" i="200"/>
  <c r="K143" i="200"/>
  <c r="F146" i="200"/>
  <c r="F171" i="200"/>
  <c r="I176" i="200"/>
  <c r="E174" i="200"/>
  <c r="L173" i="200"/>
  <c r="H173" i="200"/>
  <c r="E171" i="200"/>
  <c r="G169" i="165"/>
  <c r="G169" i="200" s="1"/>
  <c r="G170" i="200"/>
  <c r="L169" i="200"/>
  <c r="E167" i="165"/>
  <c r="E167" i="200" s="1"/>
  <c r="E168" i="200"/>
  <c r="K167" i="200"/>
  <c r="G166" i="200"/>
  <c r="H164" i="165"/>
  <c r="H164" i="200" s="1"/>
  <c r="H165" i="200"/>
  <c r="L164" i="200"/>
  <c r="E163" i="200"/>
  <c r="E162" i="200"/>
  <c r="E161" i="200"/>
  <c r="O155" i="165"/>
  <c r="O155" i="200" s="1"/>
  <c r="L154" i="165"/>
  <c r="L154" i="200" s="1"/>
  <c r="L149" i="200" s="1"/>
  <c r="L155" i="200"/>
  <c r="E152" i="200"/>
  <c r="P134" i="165"/>
  <c r="P134" i="200" s="1"/>
  <c r="L119" i="165"/>
  <c r="L119" i="200" s="1"/>
  <c r="H101" i="165"/>
  <c r="H101" i="200" s="1"/>
  <c r="E98" i="165"/>
  <c r="E98" i="200" s="1"/>
  <c r="E86" i="165"/>
  <c r="E86" i="200" s="1"/>
  <c r="P72" i="165"/>
  <c r="P72" i="200" s="1"/>
  <c r="P71" i="165"/>
  <c r="P71" i="200" s="1"/>
  <c r="F63" i="165"/>
  <c r="F63" i="200" s="1"/>
  <c r="P62" i="165"/>
  <c r="P62" i="200" s="1"/>
  <c r="J54" i="165"/>
  <c r="J54" i="200" s="1"/>
  <c r="I38" i="165"/>
  <c r="I38" i="200" s="1"/>
  <c r="H27" i="165"/>
  <c r="H27" i="200" s="1"/>
  <c r="N22" i="165"/>
  <c r="N22" i="200" s="1"/>
  <c r="I22" i="165"/>
  <c r="I22" i="200" s="1"/>
  <c r="P110" i="200"/>
  <c r="P109" i="200" s="1"/>
  <c r="F410" i="200"/>
  <c r="F409" i="200" s="1"/>
  <c r="N410" i="200"/>
  <c r="N409" i="200" s="1"/>
  <c r="O21" i="200"/>
  <c r="G25" i="200"/>
  <c r="F29" i="200"/>
  <c r="K35" i="200"/>
  <c r="F54" i="200"/>
  <c r="F55" i="200"/>
  <c r="F62" i="200"/>
  <c r="F64" i="200"/>
  <c r="F65" i="200"/>
  <c r="F70" i="200"/>
  <c r="F71" i="200"/>
  <c r="F72" i="200"/>
  <c r="F82" i="200"/>
  <c r="F104" i="200"/>
  <c r="N104" i="200"/>
  <c r="L107" i="200"/>
  <c r="H125" i="200"/>
  <c r="L125" i="200"/>
  <c r="L136" i="200"/>
  <c r="H142" i="200"/>
  <c r="L142" i="200"/>
  <c r="K146" i="200"/>
  <c r="O146" i="200"/>
  <c r="O147" i="200"/>
  <c r="G151" i="200"/>
  <c r="O157" i="200"/>
  <c r="O159" i="200"/>
  <c r="H289" i="200"/>
  <c r="M289" i="200"/>
  <c r="J291" i="200"/>
  <c r="P206" i="200"/>
  <c r="P205" i="200" s="1"/>
  <c r="P204" i="200" s="1"/>
  <c r="P299" i="200"/>
  <c r="P298" i="200" s="1"/>
  <c r="P226" i="200"/>
  <c r="J227" i="200"/>
  <c r="J267" i="200"/>
  <c r="O298" i="200"/>
  <c r="J356" i="200"/>
  <c r="J355" i="200" s="1"/>
  <c r="E229" i="200"/>
  <c r="E228" i="200" s="1"/>
  <c r="E448" i="200"/>
  <c r="P227" i="200"/>
  <c r="P359" i="200"/>
  <c r="P356" i="200" s="1"/>
  <c r="P355" i="200" s="1"/>
  <c r="P369" i="200"/>
  <c r="M361" i="200"/>
  <c r="M360" i="200" s="1"/>
  <c r="O404" i="200"/>
  <c r="O403" i="200" s="1"/>
  <c r="F404" i="200"/>
  <c r="F403" i="200" s="1"/>
  <c r="P388" i="200"/>
  <c r="P387" i="200" s="1"/>
  <c r="N27" i="165"/>
  <c r="N27" i="200" s="1"/>
  <c r="J45" i="165"/>
  <c r="P41" i="165"/>
  <c r="K27" i="165"/>
  <c r="G27" i="165"/>
  <c r="G27" i="200" s="1"/>
  <c r="I27" i="165"/>
  <c r="E17" i="165"/>
  <c r="E17" i="200" s="1"/>
  <c r="P46" i="165"/>
  <c r="O40" i="165"/>
  <c r="O40" i="200" s="1"/>
  <c r="E40" i="165"/>
  <c r="E40" i="200" s="1"/>
  <c r="E37" i="165"/>
  <c r="J36" i="165"/>
  <c r="J34" i="165"/>
  <c r="J34" i="200" s="1"/>
  <c r="O18" i="165"/>
  <c r="O18" i="200" s="1"/>
  <c r="O45" i="165"/>
  <c r="F31" i="165"/>
  <c r="E23" i="165"/>
  <c r="E23" i="200" s="1"/>
  <c r="F17" i="165"/>
  <c r="F17" i="200" s="1"/>
  <c r="O104" i="165"/>
  <c r="J105" i="165"/>
  <c r="P89" i="165"/>
  <c r="P89" i="200" s="1"/>
  <c r="J53" i="165"/>
  <c r="J53" i="200" s="1"/>
  <c r="E53" i="165"/>
  <c r="P79" i="165"/>
  <c r="P79" i="200" s="1"/>
  <c r="P77" i="165"/>
  <c r="P77" i="200" s="1"/>
  <c r="P75" i="165"/>
  <c r="P75" i="200" s="1"/>
  <c r="P68" i="165"/>
  <c r="P68" i="200" s="1"/>
  <c r="J73" i="165"/>
  <c r="P55" i="165"/>
  <c r="G51" i="165"/>
  <c r="G51" i="200" s="1"/>
  <c r="J98" i="165"/>
  <c r="J98" i="200" s="1"/>
  <c r="J86" i="165"/>
  <c r="J86" i="200" s="1"/>
  <c r="P87" i="165"/>
  <c r="J81" i="165"/>
  <c r="F80" i="165"/>
  <c r="J74" i="165"/>
  <c r="E64" i="165"/>
  <c r="E64" i="200" s="1"/>
  <c r="J58" i="165"/>
  <c r="K53" i="165"/>
  <c r="O52" i="165"/>
  <c r="O52" i="200" s="1"/>
  <c r="K104" i="165"/>
  <c r="J95" i="165"/>
  <c r="E57" i="165"/>
  <c r="J92" i="165"/>
  <c r="O86" i="165"/>
  <c r="O86" i="200" s="1"/>
  <c r="O84" i="165"/>
  <c r="O84" i="200" s="1"/>
  <c r="F53" i="165"/>
  <c r="F53" i="200" s="1"/>
  <c r="O64" i="165"/>
  <c r="O64" i="200" s="1"/>
  <c r="J135" i="165"/>
  <c r="J135" i="200" s="1"/>
  <c r="J141" i="165"/>
  <c r="J140" i="165" s="1"/>
  <c r="O132" i="165"/>
  <c r="O132" i="200" s="1"/>
  <c r="O126" i="165"/>
  <c r="O126" i="200" s="1"/>
  <c r="E126" i="165"/>
  <c r="E126" i="200" s="1"/>
  <c r="J117" i="165"/>
  <c r="P147" i="165"/>
  <c r="E140" i="165"/>
  <c r="O143" i="165"/>
  <c r="O143" i="200" s="1"/>
  <c r="P137" i="165"/>
  <c r="O122" i="165"/>
  <c r="J120" i="165"/>
  <c r="J120" i="200" s="1"/>
  <c r="P173" i="165"/>
  <c r="P159" i="165"/>
  <c r="P159" i="200" s="1"/>
  <c r="P157" i="165"/>
  <c r="P157" i="200" s="1"/>
  <c r="H154" i="165"/>
  <c r="P189" i="165"/>
  <c r="P189" i="200" s="1"/>
  <c r="P197" i="165"/>
  <c r="P196" i="165"/>
  <c r="J179" i="165"/>
  <c r="J179" i="200" s="1"/>
  <c r="E169" i="165"/>
  <c r="P166" i="165"/>
  <c r="P158" i="165"/>
  <c r="P158" i="200" s="1"/>
  <c r="K154" i="165"/>
  <c r="K154" i="200" s="1"/>
  <c r="O169" i="165"/>
  <c r="F155" i="165"/>
  <c r="F155" i="200" s="1"/>
  <c r="O202" i="165"/>
  <c r="O202" i="200" s="1"/>
  <c r="E177" i="165"/>
  <c r="E177" i="200" s="1"/>
  <c r="F169" i="165"/>
  <c r="J168" i="165"/>
  <c r="J168" i="200" s="1"/>
  <c r="F164" i="165"/>
  <c r="K150" i="165"/>
  <c r="K150" i="200" s="1"/>
  <c r="F195" i="165"/>
  <c r="O179" i="165"/>
  <c r="J165" i="165"/>
  <c r="J177" i="165"/>
  <c r="J156" i="165"/>
  <c r="G214" i="165"/>
  <c r="G214" i="200" s="1"/>
  <c r="E225" i="165"/>
  <c r="E225" i="200" s="1"/>
  <c r="J225" i="165"/>
  <c r="O221" i="165"/>
  <c r="E240" i="165"/>
  <c r="K239" i="165"/>
  <c r="K239" i="200" s="1"/>
  <c r="E250" i="165"/>
  <c r="E250" i="200" s="1"/>
  <c r="P263" i="165"/>
  <c r="P263" i="200" s="1"/>
  <c r="P247" i="165"/>
  <c r="H239" i="165"/>
  <c r="J245" i="165"/>
  <c r="J245" i="200" s="1"/>
  <c r="J264" i="165"/>
  <c r="O253" i="165"/>
  <c r="J252" i="165"/>
  <c r="L245" i="165"/>
  <c r="E237" i="165"/>
  <c r="E237" i="200" s="1"/>
  <c r="E262" i="165"/>
  <c r="J256" i="165"/>
  <c r="O243" i="165"/>
  <c r="O243" i="200" s="1"/>
  <c r="J237" i="165"/>
  <c r="P235" i="165"/>
  <c r="J249" i="165"/>
  <c r="J242" i="165"/>
  <c r="P293" i="165"/>
  <c r="J292" i="165"/>
  <c r="J292" i="200" s="1"/>
  <c r="O292" i="165"/>
  <c r="E290" i="165"/>
  <c r="E290" i="200" s="1"/>
  <c r="E287" i="165"/>
  <c r="E287" i="200" s="1"/>
  <c r="F277" i="165"/>
  <c r="O274" i="165"/>
  <c r="O274" i="200" s="1"/>
  <c r="J271" i="165"/>
  <c r="O278" i="165"/>
  <c r="O278" i="200" s="1"/>
  <c r="O287" i="165"/>
  <c r="O287" i="200" s="1"/>
  <c r="F270" i="165"/>
  <c r="F270" i="200" s="1"/>
  <c r="P328" i="165"/>
  <c r="I315" i="165"/>
  <c r="I315" i="200" s="1"/>
  <c r="I301" i="200" s="1"/>
  <c r="I300" i="200" s="1"/>
  <c r="M315" i="165"/>
  <c r="M315" i="200" s="1"/>
  <c r="O319" i="165"/>
  <c r="G315" i="165"/>
  <c r="G315" i="200" s="1"/>
  <c r="O307" i="165"/>
  <c r="F332" i="165"/>
  <c r="O327" i="165"/>
  <c r="F317" i="165"/>
  <c r="J308" i="165"/>
  <c r="J308" i="200" s="1"/>
  <c r="O302" i="165"/>
  <c r="O302" i="200" s="1"/>
  <c r="E329" i="165"/>
  <c r="E327" i="165" s="1"/>
  <c r="J323" i="165"/>
  <c r="J323" i="200" s="1"/>
  <c r="J320" i="165"/>
  <c r="J320" i="200" s="1"/>
  <c r="J333" i="165"/>
  <c r="J318" i="165"/>
  <c r="J318" i="200" s="1"/>
  <c r="J346" i="165"/>
  <c r="O345" i="165"/>
  <c r="E336" i="165"/>
  <c r="J336" i="165"/>
  <c r="K345" i="165"/>
  <c r="O343" i="165"/>
  <c r="O343" i="200" s="1"/>
  <c r="O353" i="165"/>
  <c r="O341" i="165"/>
  <c r="O341" i="200" s="1"/>
  <c r="O336" i="165"/>
  <c r="O336" i="200" s="1"/>
  <c r="O350" i="165"/>
  <c r="O350" i="200" s="1"/>
  <c r="F336" i="165"/>
  <c r="O368" i="165"/>
  <c r="O368" i="200" s="1"/>
  <c r="E377" i="165"/>
  <c r="E377" i="200" s="1"/>
  <c r="O382" i="165"/>
  <c r="E386" i="165"/>
  <c r="E386" i="200" s="1"/>
  <c r="J380" i="165"/>
  <c r="F377" i="165"/>
  <c r="J378" i="165"/>
  <c r="E395" i="165"/>
  <c r="O395" i="165"/>
  <c r="J396" i="165"/>
  <c r="J392" i="165"/>
  <c r="K395" i="165"/>
  <c r="P402" i="165"/>
  <c r="F395" i="165"/>
  <c r="F397" i="165"/>
  <c r="K391" i="165"/>
  <c r="K391" i="200" s="1"/>
  <c r="O400" i="165"/>
  <c r="J398" i="165"/>
  <c r="J415" i="165"/>
  <c r="P416" i="165"/>
  <c r="O415" i="165"/>
  <c r="O411" i="165"/>
  <c r="E424" i="165"/>
  <c r="E421" i="165"/>
  <c r="J425" i="165"/>
  <c r="O422" i="165"/>
  <c r="O422" i="200" s="1"/>
  <c r="F424" i="165"/>
  <c r="F421" i="165"/>
  <c r="F421" i="200" s="1"/>
  <c r="M436" i="165"/>
  <c r="M436" i="200" s="1"/>
  <c r="M429" i="200" s="1"/>
  <c r="M428" i="200" s="1"/>
  <c r="I436" i="165"/>
  <c r="I436" i="200" s="1"/>
  <c r="L436" i="165"/>
  <c r="L436" i="200" s="1"/>
  <c r="J444" i="165"/>
  <c r="O444" i="165"/>
  <c r="E439" i="165"/>
  <c r="E434" i="165"/>
  <c r="J442" i="165"/>
  <c r="H16" i="199"/>
  <c r="J116" i="199"/>
  <c r="L48" i="199"/>
  <c r="M15" i="199"/>
  <c r="J52" i="199"/>
  <c r="P53" i="199"/>
  <c r="P120" i="199"/>
  <c r="C33" i="198"/>
  <c r="D32" i="198"/>
  <c r="C32" i="198" s="1"/>
  <c r="C71" i="198"/>
  <c r="D67" i="198"/>
  <c r="F113" i="198"/>
  <c r="F160" i="198" s="1"/>
  <c r="J160" i="198" s="1"/>
  <c r="L16" i="199"/>
  <c r="J25" i="199"/>
  <c r="J22" i="199" s="1"/>
  <c r="P26" i="199"/>
  <c r="P25" i="199" s="1"/>
  <c r="N16" i="199"/>
  <c r="O231" i="199"/>
  <c r="O228" i="199" s="1"/>
  <c r="J232" i="199"/>
  <c r="J140" i="199"/>
  <c r="O139" i="199"/>
  <c r="O136" i="199" s="1"/>
  <c r="E120" i="198"/>
  <c r="E114" i="198" s="1"/>
  <c r="K206" i="199"/>
  <c r="K205" i="199" s="1"/>
  <c r="P215" i="199"/>
  <c r="O216" i="199"/>
  <c r="J216" i="199" s="1"/>
  <c r="K214" i="199"/>
  <c r="K209" i="199" s="1"/>
  <c r="E242" i="199"/>
  <c r="F240" i="199"/>
  <c r="P277" i="199"/>
  <c r="J271" i="199"/>
  <c r="O293" i="199"/>
  <c r="J294" i="199"/>
  <c r="D41" i="198"/>
  <c r="F23" i="199"/>
  <c r="F23" i="200" s="1"/>
  <c r="P36" i="199"/>
  <c r="E34" i="199"/>
  <c r="O38" i="199"/>
  <c r="E41" i="199"/>
  <c r="E42" i="200" s="1"/>
  <c r="E52" i="199"/>
  <c r="E56" i="199"/>
  <c r="O59" i="199"/>
  <c r="P60" i="199"/>
  <c r="P69" i="199"/>
  <c r="P70" i="200" s="1"/>
  <c r="E82" i="199"/>
  <c r="E83" i="200" s="1"/>
  <c r="O91" i="199"/>
  <c r="O92" i="200" s="1"/>
  <c r="O94" i="199"/>
  <c r="O95" i="200" s="1"/>
  <c r="O106" i="199"/>
  <c r="O105" i="199" s="1"/>
  <c r="P107" i="199"/>
  <c r="P106" i="199" s="1"/>
  <c r="P105" i="199" s="1"/>
  <c r="J135" i="199"/>
  <c r="J132" i="199" s="1"/>
  <c r="O132" i="199"/>
  <c r="K139" i="199"/>
  <c r="K136" i="199" s="1"/>
  <c r="K112" i="199" s="1"/>
  <c r="K111" i="199" s="1"/>
  <c r="E155" i="199"/>
  <c r="P155" i="199" s="1"/>
  <c r="P150" i="199" s="1"/>
  <c r="F150" i="199"/>
  <c r="F159" i="199"/>
  <c r="E161" i="199"/>
  <c r="P166" i="199"/>
  <c r="E171" i="199"/>
  <c r="L205" i="199"/>
  <c r="F209" i="199"/>
  <c r="F206" i="199" s="1"/>
  <c r="F205" i="199" s="1"/>
  <c r="O214" i="199"/>
  <c r="O209" i="199" s="1"/>
  <c r="J220" i="199"/>
  <c r="J219" i="199" s="1"/>
  <c r="J218" i="199" s="1"/>
  <c r="J217" i="199" s="1"/>
  <c r="O219" i="199"/>
  <c r="O218" i="199" s="1"/>
  <c r="O217" i="199" s="1"/>
  <c r="P233" i="199"/>
  <c r="J244" i="199"/>
  <c r="J243" i="199" s="1"/>
  <c r="O243" i="199"/>
  <c r="O271" i="199"/>
  <c r="P313" i="199"/>
  <c r="P312" i="199" s="1"/>
  <c r="P311" i="199" s="1"/>
  <c r="J312" i="199"/>
  <c r="J311" i="199" s="1"/>
  <c r="E399" i="199"/>
  <c r="E398" i="199" s="1"/>
  <c r="O25" i="199"/>
  <c r="O22" i="199" s="1"/>
  <c r="J29" i="199"/>
  <c r="O28" i="199"/>
  <c r="O27" i="199" s="1"/>
  <c r="O116" i="199"/>
  <c r="O159" i="199"/>
  <c r="J161" i="199"/>
  <c r="J159" i="199" s="1"/>
  <c r="P175" i="199"/>
  <c r="P174" i="199" s="1"/>
  <c r="E174" i="199"/>
  <c r="E206" i="199"/>
  <c r="E96" i="198"/>
  <c r="D133" i="198"/>
  <c r="P24" i="199"/>
  <c r="P23" i="199" s="1"/>
  <c r="E22" i="199"/>
  <c r="J35" i="199"/>
  <c r="J34" i="199" s="1"/>
  <c r="J31" i="199" s="1"/>
  <c r="E44" i="199"/>
  <c r="E43" i="199" s="1"/>
  <c r="F68" i="199"/>
  <c r="P81" i="199"/>
  <c r="J113" i="199"/>
  <c r="E116" i="199"/>
  <c r="E112" i="199" s="1"/>
  <c r="E111" i="199" s="1"/>
  <c r="P135" i="199"/>
  <c r="P132" i="199" s="1"/>
  <c r="F164" i="199"/>
  <c r="L228" i="199"/>
  <c r="J229" i="199"/>
  <c r="E235" i="199"/>
  <c r="M234" i="199"/>
  <c r="J245" i="199"/>
  <c r="P298" i="199"/>
  <c r="P297" i="199" s="1"/>
  <c r="J297" i="199"/>
  <c r="L149" i="199"/>
  <c r="L144" i="199" s="1"/>
  <c r="J239" i="199"/>
  <c r="O238" i="199"/>
  <c r="O256" i="199"/>
  <c r="K255" i="199"/>
  <c r="K254" i="199" s="1"/>
  <c r="K253" i="199" s="1"/>
  <c r="D17" i="198"/>
  <c r="D106" i="198"/>
  <c r="E111" i="198"/>
  <c r="C111" i="198" s="1"/>
  <c r="D102" i="198"/>
  <c r="C102" i="198" s="1"/>
  <c r="F25" i="199"/>
  <c r="F22" i="199" s="1"/>
  <c r="K27" i="199"/>
  <c r="E38" i="199"/>
  <c r="K41" i="199"/>
  <c r="O46" i="199"/>
  <c r="O47" i="200" s="1"/>
  <c r="P54" i="199"/>
  <c r="O66" i="199"/>
  <c r="K65" i="199"/>
  <c r="F79" i="199"/>
  <c r="E79" i="199" s="1"/>
  <c r="K82" i="199"/>
  <c r="K83" i="200" s="1"/>
  <c r="P93" i="199"/>
  <c r="E94" i="199"/>
  <c r="E95" i="200" s="1"/>
  <c r="E109" i="199"/>
  <c r="E108" i="199" s="1"/>
  <c r="O113" i="199"/>
  <c r="P114" i="199"/>
  <c r="P113" i="199" s="1"/>
  <c r="P121" i="199"/>
  <c r="J138" i="199"/>
  <c r="J137" i="199" s="1"/>
  <c r="O137" i="199"/>
  <c r="M144" i="199"/>
  <c r="M143" i="199" s="1"/>
  <c r="O146" i="199"/>
  <c r="K145" i="199"/>
  <c r="P148" i="199"/>
  <c r="K159" i="199"/>
  <c r="K149" i="199" s="1"/>
  <c r="P160" i="199"/>
  <c r="E164" i="199"/>
  <c r="J172" i="199"/>
  <c r="J171" i="199" s="1"/>
  <c r="O171" i="199"/>
  <c r="O174" i="199"/>
  <c r="E191" i="199"/>
  <c r="F190" i="199"/>
  <c r="J191" i="199"/>
  <c r="J190" i="199" s="1"/>
  <c r="L190" i="199"/>
  <c r="L195" i="200" s="1"/>
  <c r="I206" i="199"/>
  <c r="I205" i="199" s="1"/>
  <c r="P220" i="199"/>
  <c r="P219" i="199" s="1"/>
  <c r="P218" i="199" s="1"/>
  <c r="P217" i="199" s="1"/>
  <c r="G228" i="199"/>
  <c r="G227" i="199" s="1"/>
  <c r="G226" i="199" s="1"/>
  <c r="K231" i="199"/>
  <c r="K228" i="199" s="1"/>
  <c r="F235" i="199"/>
  <c r="F234" i="199" s="1"/>
  <c r="P237" i="199"/>
  <c r="P235" i="199" s="1"/>
  <c r="E243" i="199"/>
  <c r="O245" i="199"/>
  <c r="J266" i="199"/>
  <c r="O265" i="199"/>
  <c r="P158" i="199"/>
  <c r="H149" i="199"/>
  <c r="H144" i="199" s="1"/>
  <c r="H143" i="199" s="1"/>
  <c r="P192" i="199"/>
  <c r="G206" i="199"/>
  <c r="G205" i="199" s="1"/>
  <c r="P213" i="199"/>
  <c r="E230" i="199"/>
  <c r="E229" i="199" s="1"/>
  <c r="E228" i="199" s="1"/>
  <c r="F229" i="199"/>
  <c r="F228" i="199" s="1"/>
  <c r="F227" i="199" s="1"/>
  <c r="F226" i="199" s="1"/>
  <c r="O235" i="199"/>
  <c r="P248" i="199"/>
  <c r="P252" i="199"/>
  <c r="P251" i="199" s="1"/>
  <c r="P250" i="199" s="1"/>
  <c r="I281" i="199"/>
  <c r="I264" i="199" s="1"/>
  <c r="I263" i="199" s="1"/>
  <c r="P285" i="199"/>
  <c r="F291" i="199"/>
  <c r="F290" i="199"/>
  <c r="N291" i="199"/>
  <c r="N290" i="199" s="1"/>
  <c r="N264" i="199" s="1"/>
  <c r="N263" i="199" s="1"/>
  <c r="M296" i="199"/>
  <c r="M295" i="199" s="1"/>
  <c r="P323" i="199"/>
  <c r="J322" i="199"/>
  <c r="J321" i="199" s="1"/>
  <c r="E327" i="199"/>
  <c r="E326" i="199" s="1"/>
  <c r="E386" i="199"/>
  <c r="O388" i="199"/>
  <c r="J388" i="199" s="1"/>
  <c r="P388" i="199" s="1"/>
  <c r="K386" i="199"/>
  <c r="J395" i="199"/>
  <c r="O392" i="199"/>
  <c r="H385" i="199"/>
  <c r="H384" i="199" s="1"/>
  <c r="J269" i="199"/>
  <c r="P315" i="199"/>
  <c r="E314" i="199"/>
  <c r="E310" i="199" s="1"/>
  <c r="J318" i="199"/>
  <c r="L317" i="199"/>
  <c r="L314" i="199" s="1"/>
  <c r="L310" i="199" s="1"/>
  <c r="L296" i="199" s="1"/>
  <c r="J328" i="199"/>
  <c r="J327" i="199" s="1"/>
  <c r="J326" i="199" s="1"/>
  <c r="O327" i="199"/>
  <c r="O326" i="199" s="1"/>
  <c r="E332" i="199"/>
  <c r="F331" i="199"/>
  <c r="F330" i="199" s="1"/>
  <c r="F329" i="199" s="1"/>
  <c r="P333" i="199"/>
  <c r="J331" i="199"/>
  <c r="K340" i="199"/>
  <c r="K339" i="199" s="1"/>
  <c r="O341" i="199"/>
  <c r="E251" i="199"/>
  <c r="E250" i="199" s="1"/>
  <c r="N253" i="199"/>
  <c r="N227" i="199" s="1"/>
  <c r="N226" i="199" s="1"/>
  <c r="P273" i="199"/>
  <c r="P272" i="199" s="1"/>
  <c r="M281" i="199"/>
  <c r="M264" i="199" s="1"/>
  <c r="M263" i="199" s="1"/>
  <c r="P288" i="199"/>
  <c r="P287" i="199" s="1"/>
  <c r="E287" i="199"/>
  <c r="E284" i="199" s="1"/>
  <c r="E281" i="199" s="1"/>
  <c r="J292" i="199"/>
  <c r="O291" i="199"/>
  <c r="H296" i="199"/>
  <c r="H295" i="199" s="1"/>
  <c r="O331" i="199"/>
  <c r="J407" i="199"/>
  <c r="J406" i="199" s="1"/>
  <c r="O406" i="199"/>
  <c r="P98" i="199"/>
  <c r="P97" i="199" s="1"/>
  <c r="F112" i="199"/>
  <c r="F111" i="199" s="1"/>
  <c r="N112" i="199"/>
  <c r="N111" i="199" s="1"/>
  <c r="P119" i="199"/>
  <c r="I116" i="199"/>
  <c r="I112" i="199" s="1"/>
  <c r="I111" i="199" s="1"/>
  <c r="M116" i="199"/>
  <c r="M112" i="199" s="1"/>
  <c r="M111" i="199" s="1"/>
  <c r="P193" i="199"/>
  <c r="H234" i="199"/>
  <c r="H227" i="199" s="1"/>
  <c r="H226" i="199" s="1"/>
  <c r="K264" i="199"/>
  <c r="K263" i="199" s="1"/>
  <c r="P300" i="199"/>
  <c r="P309" i="199"/>
  <c r="K312" i="199"/>
  <c r="K311" i="199" s="1"/>
  <c r="K310" i="199" s="1"/>
  <c r="O312" i="199"/>
  <c r="O311" i="199" s="1"/>
  <c r="O310" i="199" s="1"/>
  <c r="E324" i="199"/>
  <c r="F322" i="199"/>
  <c r="F321" i="199" s="1"/>
  <c r="F296" i="199" s="1"/>
  <c r="F295" i="199" s="1"/>
  <c r="E337" i="199"/>
  <c r="P304" i="199"/>
  <c r="I346" i="199"/>
  <c r="I330" i="199" s="1"/>
  <c r="I329" i="199" s="1"/>
  <c r="M330" i="199"/>
  <c r="M329" i="199" s="1"/>
  <c r="G356" i="199"/>
  <c r="G355" i="199" s="1"/>
  <c r="J369" i="199"/>
  <c r="P369" i="199" s="1"/>
  <c r="O367" i="199"/>
  <c r="L384" i="199"/>
  <c r="F416" i="199"/>
  <c r="E417" i="199"/>
  <c r="E271" i="199"/>
  <c r="J303" i="199"/>
  <c r="O302" i="199"/>
  <c r="O301" i="199" s="1"/>
  <c r="P305" i="199"/>
  <c r="N330" i="199"/>
  <c r="N329" i="199" s="1"/>
  <c r="P345" i="199"/>
  <c r="P344" i="199" s="1"/>
  <c r="P343" i="199" s="1"/>
  <c r="E351" i="199"/>
  <c r="E350" i="199" s="1"/>
  <c r="E346" i="199" s="1"/>
  <c r="P362" i="199"/>
  <c r="P361" i="199" s="1"/>
  <c r="G366" i="199"/>
  <c r="G365" i="199" s="1"/>
  <c r="P368" i="199"/>
  <c r="E367" i="199"/>
  <c r="E371" i="199"/>
  <c r="E370" i="199" s="1"/>
  <c r="I371" i="199"/>
  <c r="I370" i="199" s="1"/>
  <c r="I366" i="199" s="1"/>
  <c r="I365" i="199" s="1"/>
  <c r="J387" i="199"/>
  <c r="O386" i="199"/>
  <c r="E390" i="199"/>
  <c r="E443" i="199"/>
  <c r="F272" i="199"/>
  <c r="F271" i="199" s="1"/>
  <c r="O287" i="199"/>
  <c r="O284" i="199" s="1"/>
  <c r="O281" i="199" s="1"/>
  <c r="K297" i="199"/>
  <c r="K296" i="199" s="1"/>
  <c r="K295" i="199" s="1"/>
  <c r="O322" i="199"/>
  <c r="O321" i="199" s="1"/>
  <c r="O348" i="199"/>
  <c r="K347" i="199"/>
  <c r="K346" i="199" s="1"/>
  <c r="K330" i="199" s="1"/>
  <c r="K329" i="199" s="1"/>
  <c r="J362" i="199"/>
  <c r="J361" i="199" s="1"/>
  <c r="H366" i="199"/>
  <c r="H365" i="199" s="1"/>
  <c r="J392" i="199"/>
  <c r="E434" i="199"/>
  <c r="F433" i="199"/>
  <c r="F431" i="199" s="1"/>
  <c r="F424" i="199" s="1"/>
  <c r="F423" i="199" s="1"/>
  <c r="H424" i="199"/>
  <c r="H423" i="199" s="1"/>
  <c r="F386" i="199"/>
  <c r="F390" i="199"/>
  <c r="I385" i="199"/>
  <c r="I384" i="199" s="1"/>
  <c r="P403" i="199"/>
  <c r="P402" i="199" s="1"/>
  <c r="P401" i="199" s="1"/>
  <c r="F406" i="199"/>
  <c r="F405" i="199" s="1"/>
  <c r="F404" i="199" s="1"/>
  <c r="N405" i="199"/>
  <c r="N404" i="199" s="1"/>
  <c r="P422" i="199"/>
  <c r="P421" i="199" s="1"/>
  <c r="I424" i="199"/>
  <c r="I423" i="199" s="1"/>
  <c r="M424" i="199"/>
  <c r="M423" i="199" s="1"/>
  <c r="K356" i="199"/>
  <c r="K355" i="199" s="1"/>
  <c r="K366" i="199"/>
  <c r="K365" i="199" s="1"/>
  <c r="J375" i="199"/>
  <c r="J374" i="199" s="1"/>
  <c r="J371" i="199" s="1"/>
  <c r="O374" i="199"/>
  <c r="O371" i="199" s="1"/>
  <c r="G385" i="199"/>
  <c r="G384" i="199" s="1"/>
  <c r="E395" i="199"/>
  <c r="F392" i="199"/>
  <c r="K399" i="199"/>
  <c r="K398" i="199" s="1"/>
  <c r="O400" i="199"/>
  <c r="J411" i="199"/>
  <c r="O410" i="199"/>
  <c r="O409" i="199" s="1"/>
  <c r="O418" i="199"/>
  <c r="J437" i="199"/>
  <c r="O436" i="199"/>
  <c r="O435" i="199" s="1"/>
  <c r="J440" i="199"/>
  <c r="O439" i="199"/>
  <c r="O438" i="199" s="1"/>
  <c r="P381" i="199"/>
  <c r="P380" i="199" s="1"/>
  <c r="P379" i="199" s="1"/>
  <c r="J391" i="199"/>
  <c r="J390" i="199" s="1"/>
  <c r="O390" i="199"/>
  <c r="K389" i="199"/>
  <c r="P394" i="199"/>
  <c r="J417" i="199"/>
  <c r="J416" i="199" s="1"/>
  <c r="O416" i="199"/>
  <c r="P420" i="199"/>
  <c r="P419" i="199" s="1"/>
  <c r="E419" i="199"/>
  <c r="E418" i="199" s="1"/>
  <c r="P426" i="199"/>
  <c r="P427" i="199"/>
  <c r="P430" i="199"/>
  <c r="P429" i="199" s="1"/>
  <c r="P428" i="199" s="1"/>
  <c r="J453" i="199"/>
  <c r="O433" i="199"/>
  <c r="O431" i="199" s="1"/>
  <c r="J327" i="165" l="1"/>
  <c r="P152" i="165"/>
  <c r="P152" i="200" s="1"/>
  <c r="J102" i="165"/>
  <c r="H429" i="200"/>
  <c r="H428" i="200" s="1"/>
  <c r="M301" i="200"/>
  <c r="M300" i="200" s="1"/>
  <c r="H436" i="165"/>
  <c r="H436" i="200" s="1"/>
  <c r="J382" i="165"/>
  <c r="P297" i="165"/>
  <c r="H233" i="165"/>
  <c r="H233" i="200" s="1"/>
  <c r="L233" i="165"/>
  <c r="L233" i="200" s="1"/>
  <c r="P180" i="165"/>
  <c r="J169" i="165"/>
  <c r="P163" i="165"/>
  <c r="P163" i="200" s="1"/>
  <c r="K119" i="165"/>
  <c r="K119" i="200" s="1"/>
  <c r="O102" i="165"/>
  <c r="N289" i="200"/>
  <c r="P96" i="165"/>
  <c r="I361" i="200"/>
  <c r="I360" i="200" s="1"/>
  <c r="E397" i="165"/>
  <c r="M410" i="200"/>
  <c r="M409" i="200" s="1"/>
  <c r="H361" i="200"/>
  <c r="H360" i="200" s="1"/>
  <c r="H410" i="200"/>
  <c r="H409" i="200" s="1"/>
  <c r="K436" i="165"/>
  <c r="K436" i="200" s="1"/>
  <c r="K429" i="200" s="1"/>
  <c r="K428" i="200" s="1"/>
  <c r="O391" i="165"/>
  <c r="O391" i="200" s="1"/>
  <c r="E219" i="165"/>
  <c r="P184" i="165"/>
  <c r="P184" i="200" s="1"/>
  <c r="E91" i="165"/>
  <c r="E91" i="200" s="1"/>
  <c r="P56" i="165"/>
  <c r="P56" i="200" s="1"/>
  <c r="E101" i="165"/>
  <c r="E101" i="200" s="1"/>
  <c r="O291" i="200"/>
  <c r="L289" i="200"/>
  <c r="M154" i="165"/>
  <c r="M154" i="200" s="1"/>
  <c r="M149" i="200" s="1"/>
  <c r="M148" i="200" s="1"/>
  <c r="J438" i="165"/>
  <c r="J438" i="200" s="1"/>
  <c r="N361" i="200"/>
  <c r="N360" i="200" s="1"/>
  <c r="K371" i="200"/>
  <c r="K370" i="200" s="1"/>
  <c r="P372" i="165"/>
  <c r="P373" i="200"/>
  <c r="L419" i="200"/>
  <c r="H149" i="200"/>
  <c r="H148" i="200" s="1"/>
  <c r="P401" i="165"/>
  <c r="P401" i="200" s="1"/>
  <c r="P402" i="200"/>
  <c r="K27" i="200"/>
  <c r="O262" i="200"/>
  <c r="K302" i="200"/>
  <c r="P20" i="165"/>
  <c r="P20" i="200" s="1"/>
  <c r="J20" i="200"/>
  <c r="J42" i="165"/>
  <c r="E248" i="165"/>
  <c r="E248" i="200" s="1"/>
  <c r="E249" i="200"/>
  <c r="E270" i="165"/>
  <c r="E270" i="200" s="1"/>
  <c r="E271" i="200"/>
  <c r="P304" i="165"/>
  <c r="P304" i="200" s="1"/>
  <c r="J304" i="200"/>
  <c r="O103" i="199"/>
  <c r="O105" i="200"/>
  <c r="J104" i="199"/>
  <c r="O260" i="165"/>
  <c r="O261" i="200"/>
  <c r="J261" i="165"/>
  <c r="F440" i="165"/>
  <c r="F441" i="200"/>
  <c r="J213" i="165"/>
  <c r="O213" i="200"/>
  <c r="L375" i="165"/>
  <c r="L375" i="200" s="1"/>
  <c r="L371" i="200" s="1"/>
  <c r="L370" i="200" s="1"/>
  <c r="L376" i="200"/>
  <c r="P285" i="165"/>
  <c r="P285" i="200" s="1"/>
  <c r="J285" i="200"/>
  <c r="E379" i="165"/>
  <c r="E380" i="200"/>
  <c r="F22" i="200"/>
  <c r="I289" i="200"/>
  <c r="E44" i="165"/>
  <c r="E44" i="200" s="1"/>
  <c r="E45" i="200"/>
  <c r="P153" i="200"/>
  <c r="O164" i="200"/>
  <c r="K22" i="165"/>
  <c r="K22" i="200" s="1"/>
  <c r="K25" i="200"/>
  <c r="E107" i="200"/>
  <c r="J129" i="165"/>
  <c r="J129" i="200" s="1"/>
  <c r="J130" i="200"/>
  <c r="H258" i="165"/>
  <c r="H258" i="200" s="1"/>
  <c r="H259" i="200"/>
  <c r="I258" i="165"/>
  <c r="I258" i="200" s="1"/>
  <c r="I232" i="200" s="1"/>
  <c r="I231" i="200" s="1"/>
  <c r="G286" i="165"/>
  <c r="G286" i="200" s="1"/>
  <c r="G289" i="200"/>
  <c r="E302" i="165"/>
  <c r="E302" i="200" s="1"/>
  <c r="E303" i="200"/>
  <c r="F361" i="200"/>
  <c r="F360" i="200" s="1"/>
  <c r="I375" i="165"/>
  <c r="I375" i="200" s="1"/>
  <c r="I371" i="200" s="1"/>
  <c r="I370" i="200" s="1"/>
  <c r="I376" i="200"/>
  <c r="G394" i="165"/>
  <c r="G394" i="200" s="1"/>
  <c r="G390" i="200" s="1"/>
  <c r="G389" i="200" s="1"/>
  <c r="G397" i="200"/>
  <c r="P48" i="165"/>
  <c r="P48" i="200" s="1"/>
  <c r="E48" i="200"/>
  <c r="O107" i="200"/>
  <c r="M119" i="200"/>
  <c r="M115" i="200" s="1"/>
  <c r="M114" i="200" s="1"/>
  <c r="P217" i="165"/>
  <c r="P217" i="200" s="1"/>
  <c r="E217" i="200"/>
  <c r="N222" i="165"/>
  <c r="N222" i="200" s="1"/>
  <c r="N211" i="200" s="1"/>
  <c r="N210" i="200" s="1"/>
  <c r="N223" i="200"/>
  <c r="J309" i="165"/>
  <c r="O309" i="200"/>
  <c r="J314" i="165"/>
  <c r="O314" i="200"/>
  <c r="E319" i="200"/>
  <c r="L319" i="165"/>
  <c r="L322" i="200"/>
  <c r="F326" i="165"/>
  <c r="F326" i="200" s="1"/>
  <c r="F327" i="200"/>
  <c r="H394" i="165"/>
  <c r="H394" i="200" s="1"/>
  <c r="H390" i="200" s="1"/>
  <c r="H389" i="200" s="1"/>
  <c r="H397" i="200"/>
  <c r="I429" i="200"/>
  <c r="I428" i="200" s="1"/>
  <c r="O26" i="200"/>
  <c r="J26" i="165"/>
  <c r="O25" i="165"/>
  <c r="F44" i="165"/>
  <c r="F44" i="200" s="1"/>
  <c r="F45" i="200"/>
  <c r="K66" i="200"/>
  <c r="P95" i="165"/>
  <c r="P95" i="200" s="1"/>
  <c r="P96" i="200"/>
  <c r="O80" i="200"/>
  <c r="F38" i="200"/>
  <c r="P61" i="165"/>
  <c r="P61" i="200" s="1"/>
  <c r="J61" i="200"/>
  <c r="P130" i="165"/>
  <c r="J133" i="165"/>
  <c r="O133" i="200"/>
  <c r="N149" i="200"/>
  <c r="N148" i="200" s="1"/>
  <c r="E196" i="200"/>
  <c r="G222" i="165"/>
  <c r="G222" i="200" s="1"/>
  <c r="G223" i="200"/>
  <c r="O224" i="200"/>
  <c r="F234" i="200"/>
  <c r="J138" i="200"/>
  <c r="L258" i="165"/>
  <c r="L258" i="200" s="1"/>
  <c r="L259" i="200"/>
  <c r="J275" i="165"/>
  <c r="O275" i="200"/>
  <c r="H375" i="165"/>
  <c r="H375" i="200" s="1"/>
  <c r="H371" i="200" s="1"/>
  <c r="H370" i="200" s="1"/>
  <c r="H376" i="200"/>
  <c r="P399" i="165"/>
  <c r="P399" i="200" s="1"/>
  <c r="J399" i="200"/>
  <c r="J412" i="165"/>
  <c r="O412" i="200"/>
  <c r="K100" i="199"/>
  <c r="P83" i="199"/>
  <c r="P82" i="199" s="1"/>
  <c r="K316" i="165"/>
  <c r="K317" i="200"/>
  <c r="P99" i="200"/>
  <c r="J103" i="200"/>
  <c r="O116" i="200"/>
  <c r="F306" i="165"/>
  <c r="F306" i="200" s="1"/>
  <c r="F307" i="200"/>
  <c r="P311" i="165"/>
  <c r="P311" i="200" s="1"/>
  <c r="J311" i="200"/>
  <c r="H315" i="165"/>
  <c r="H315" i="200" s="1"/>
  <c r="H316" i="200"/>
  <c r="G16" i="199"/>
  <c r="G15" i="199" s="1"/>
  <c r="G17" i="200"/>
  <c r="G16" i="200" s="1"/>
  <c r="O337" i="199"/>
  <c r="J338" i="199"/>
  <c r="P338" i="165"/>
  <c r="P338" i="200" s="1"/>
  <c r="J338" i="200"/>
  <c r="P365" i="165"/>
  <c r="P365" i="200" s="1"/>
  <c r="P413" i="165"/>
  <c r="P413" i="200" s="1"/>
  <c r="J413" i="200"/>
  <c r="I49" i="199"/>
  <c r="I48" i="199" s="1"/>
  <c r="E348" i="165"/>
  <c r="E348" i="200" s="1"/>
  <c r="E349" i="200"/>
  <c r="E433" i="165"/>
  <c r="E433" i="200" s="1"/>
  <c r="E434" i="200"/>
  <c r="E394" i="165"/>
  <c r="E394" i="200" s="1"/>
  <c r="F376" i="165"/>
  <c r="F377" i="200"/>
  <c r="F331" i="165"/>
  <c r="F331" i="200" s="1"/>
  <c r="F332" i="200"/>
  <c r="E326" i="165"/>
  <c r="J240" i="165"/>
  <c r="J242" i="200"/>
  <c r="P197" i="200"/>
  <c r="P116" i="165"/>
  <c r="P116" i="200" s="1"/>
  <c r="P117" i="200"/>
  <c r="K101" i="165"/>
  <c r="K101" i="200" s="1"/>
  <c r="K104" i="200"/>
  <c r="P46" i="200"/>
  <c r="M222" i="165"/>
  <c r="M222" i="200" s="1"/>
  <c r="M223" i="200"/>
  <c r="P251" i="165"/>
  <c r="P251" i="200" s="1"/>
  <c r="J251" i="200"/>
  <c r="E259" i="165"/>
  <c r="E259" i="200" s="1"/>
  <c r="E260" i="200"/>
  <c r="P172" i="165"/>
  <c r="P172" i="200" s="1"/>
  <c r="J172" i="200"/>
  <c r="J127" i="165"/>
  <c r="J127" i="200" s="1"/>
  <c r="J128" i="200"/>
  <c r="O199" i="200"/>
  <c r="J199" i="165"/>
  <c r="K222" i="165"/>
  <c r="K222" i="200" s="1"/>
  <c r="K223" i="200"/>
  <c r="P374" i="200"/>
  <c r="E440" i="165"/>
  <c r="E440" i="200" s="1"/>
  <c r="E441" i="200"/>
  <c r="J363" i="165"/>
  <c r="O363" i="200"/>
  <c r="P364" i="165"/>
  <c r="P364" i="200" s="1"/>
  <c r="J364" i="200"/>
  <c r="O433" i="165"/>
  <c r="O433" i="200" s="1"/>
  <c r="O434" i="200"/>
  <c r="P282" i="200"/>
  <c r="J358" i="199"/>
  <c r="O357" i="199"/>
  <c r="O356" i="199" s="1"/>
  <c r="P425" i="199"/>
  <c r="J367" i="199"/>
  <c r="F415" i="199"/>
  <c r="F414" i="199" s="1"/>
  <c r="P79" i="199"/>
  <c r="P138" i="199"/>
  <c r="P137" i="199" s="1"/>
  <c r="P95" i="199"/>
  <c r="P94" i="199" s="1"/>
  <c r="E439" i="200"/>
  <c r="E423" i="165"/>
  <c r="E423" i="200" s="1"/>
  <c r="E424" i="200"/>
  <c r="P415" i="165"/>
  <c r="K394" i="165"/>
  <c r="K394" i="200" s="1"/>
  <c r="K390" i="200" s="1"/>
  <c r="K389" i="200" s="1"/>
  <c r="K395" i="200"/>
  <c r="K375" i="165"/>
  <c r="K375" i="200" s="1"/>
  <c r="O344" i="165"/>
  <c r="O345" i="200"/>
  <c r="P333" i="165"/>
  <c r="N315" i="165"/>
  <c r="N315" i="200" s="1"/>
  <c r="N301" i="200" s="1"/>
  <c r="N300" i="200" s="1"/>
  <c r="J289" i="165"/>
  <c r="J248" i="165"/>
  <c r="J248" i="200" s="1"/>
  <c r="J249" i="200"/>
  <c r="J255" i="165"/>
  <c r="J255" i="200" s="1"/>
  <c r="J256" i="200"/>
  <c r="P243" i="165"/>
  <c r="P245" i="165"/>
  <c r="J164" i="165"/>
  <c r="J164" i="200" s="1"/>
  <c r="J165" i="200"/>
  <c r="O154" i="165"/>
  <c r="O169" i="200"/>
  <c r="P156" i="165"/>
  <c r="P60" i="165"/>
  <c r="P60" i="200" s="1"/>
  <c r="J60" i="200"/>
  <c r="P86" i="165"/>
  <c r="P86" i="200" s="1"/>
  <c r="P87" i="200"/>
  <c r="O296" i="199"/>
  <c r="O295" i="199" s="1"/>
  <c r="P283" i="199"/>
  <c r="P282" i="199" s="1"/>
  <c r="P281" i="199" s="1"/>
  <c r="P328" i="199"/>
  <c r="P327" i="199" s="1"/>
  <c r="P326" i="199" s="1"/>
  <c r="P284" i="199"/>
  <c r="P116" i="199"/>
  <c r="E150" i="199"/>
  <c r="J17" i="199"/>
  <c r="P431" i="200"/>
  <c r="O443" i="165"/>
  <c r="O443" i="200" s="1"/>
  <c r="O444" i="200"/>
  <c r="P444" i="165"/>
  <c r="J414" i="165"/>
  <c r="J414" i="200" s="1"/>
  <c r="F394" i="165"/>
  <c r="F397" i="200"/>
  <c r="O395" i="200"/>
  <c r="J380" i="200"/>
  <c r="P303" i="165"/>
  <c r="J326" i="165"/>
  <c r="J326" i="200" s="1"/>
  <c r="J327" i="200"/>
  <c r="F276" i="165"/>
  <c r="F276" i="200" s="1"/>
  <c r="F277" i="200"/>
  <c r="P247" i="200"/>
  <c r="J416" i="200"/>
  <c r="P19" i="165"/>
  <c r="P19" i="200" s="1"/>
  <c r="J19" i="200"/>
  <c r="E25" i="165"/>
  <c r="E26" i="200"/>
  <c r="L31" i="165"/>
  <c r="L35" i="200"/>
  <c r="J145" i="165"/>
  <c r="J145" i="200" s="1"/>
  <c r="J146" i="200"/>
  <c r="K352" i="200"/>
  <c r="P381" i="165"/>
  <c r="P381" i="200" s="1"/>
  <c r="J381" i="200"/>
  <c r="O423" i="165"/>
  <c r="O423" i="200" s="1"/>
  <c r="O424" i="200"/>
  <c r="P272" i="165"/>
  <c r="P272" i="200" s="1"/>
  <c r="J272" i="200"/>
  <c r="O317" i="165"/>
  <c r="O318" i="200"/>
  <c r="H326" i="165"/>
  <c r="H326" i="200" s="1"/>
  <c r="H327" i="200"/>
  <c r="F391" i="200"/>
  <c r="K410" i="200"/>
  <c r="K409" i="200" s="1"/>
  <c r="J433" i="165"/>
  <c r="J433" i="200" s="1"/>
  <c r="J434" i="200"/>
  <c r="J445" i="200"/>
  <c r="J40" i="199"/>
  <c r="O41" i="200"/>
  <c r="E301" i="199"/>
  <c r="E235" i="200"/>
  <c r="N394" i="165"/>
  <c r="N394" i="200" s="1"/>
  <c r="N390" i="200" s="1"/>
  <c r="N389" i="200" s="1"/>
  <c r="N397" i="200"/>
  <c r="H115" i="200"/>
  <c r="H114" i="200" s="1"/>
  <c r="I119" i="200"/>
  <c r="I115" i="200" s="1"/>
  <c r="I114" i="200" s="1"/>
  <c r="P254" i="165"/>
  <c r="P254" i="200" s="1"/>
  <c r="J254" i="200"/>
  <c r="K259" i="165"/>
  <c r="K260" i="200"/>
  <c r="J427" i="200"/>
  <c r="J426" i="165"/>
  <c r="J426" i="200" s="1"/>
  <c r="P432" i="165"/>
  <c r="P432" i="200" s="1"/>
  <c r="J432" i="200"/>
  <c r="P241" i="165"/>
  <c r="P241" i="200" s="1"/>
  <c r="J241" i="200"/>
  <c r="P280" i="165"/>
  <c r="P280" i="200" s="1"/>
  <c r="J280" i="200"/>
  <c r="K286" i="165"/>
  <c r="K286" i="200" s="1"/>
  <c r="K289" i="200"/>
  <c r="H420" i="200"/>
  <c r="H419" i="200" s="1"/>
  <c r="J430" i="165"/>
  <c r="J430" i="200" s="1"/>
  <c r="J431" i="200"/>
  <c r="P434" i="165"/>
  <c r="P435" i="200"/>
  <c r="J102" i="199"/>
  <c r="O101" i="199"/>
  <c r="O100" i="199" s="1"/>
  <c r="J400" i="165"/>
  <c r="O400" i="200"/>
  <c r="O397" i="165"/>
  <c r="O382" i="200"/>
  <c r="J332" i="165"/>
  <c r="J333" i="200"/>
  <c r="O319" i="200"/>
  <c r="J271" i="200"/>
  <c r="J253" i="165"/>
  <c r="O253" i="200"/>
  <c r="E240" i="200"/>
  <c r="J224" i="165"/>
  <c r="J225" i="200"/>
  <c r="J176" i="165"/>
  <c r="J176" i="200" s="1"/>
  <c r="J177" i="200"/>
  <c r="F169" i="200"/>
  <c r="E57" i="200"/>
  <c r="P81" i="165"/>
  <c r="P81" i="200" s="1"/>
  <c r="J81" i="200"/>
  <c r="P55" i="200"/>
  <c r="P53" i="165"/>
  <c r="E53" i="200"/>
  <c r="P171" i="200"/>
  <c r="M211" i="200"/>
  <c r="M210" i="200" s="1"/>
  <c r="J107" i="165"/>
  <c r="J108" i="200"/>
  <c r="P127" i="165"/>
  <c r="P127" i="200" s="1"/>
  <c r="P128" i="200"/>
  <c r="O255" i="165"/>
  <c r="O255" i="200" s="1"/>
  <c r="O256" i="200"/>
  <c r="E422" i="200"/>
  <c r="N51" i="165"/>
  <c r="N51" i="200" s="1"/>
  <c r="N53" i="200"/>
  <c r="O66" i="165"/>
  <c r="J67" i="165"/>
  <c r="O67" i="200"/>
  <c r="O28" i="165"/>
  <c r="O29" i="200"/>
  <c r="P321" i="165"/>
  <c r="P321" i="200" s="1"/>
  <c r="J321" i="200"/>
  <c r="E391" i="165"/>
  <c r="E391" i="200" s="1"/>
  <c r="E392" i="200"/>
  <c r="P427" i="200"/>
  <c r="P426" i="165"/>
  <c r="P426" i="200" s="1"/>
  <c r="K43" i="199"/>
  <c r="K45" i="200"/>
  <c r="O164" i="199"/>
  <c r="J165" i="199"/>
  <c r="C107" i="198"/>
  <c r="I286" i="200"/>
  <c r="O331" i="165"/>
  <c r="O331" i="200" s="1"/>
  <c r="O332" i="200"/>
  <c r="E372" i="165"/>
  <c r="E372" i="200" s="1"/>
  <c r="E373" i="200"/>
  <c r="J279" i="200"/>
  <c r="P279" i="165"/>
  <c r="P279" i="200" s="1"/>
  <c r="I394" i="165"/>
  <c r="I394" i="200" s="1"/>
  <c r="I390" i="200" s="1"/>
  <c r="I389" i="200" s="1"/>
  <c r="I397" i="200"/>
  <c r="L414" i="165"/>
  <c r="L414" i="200" s="1"/>
  <c r="L410" i="200" s="1"/>
  <c r="L409" i="200" s="1"/>
  <c r="L415" i="200"/>
  <c r="O424" i="199"/>
  <c r="O423" i="199" s="1"/>
  <c r="J443" i="165"/>
  <c r="F423" i="165"/>
  <c r="F423" i="200" s="1"/>
  <c r="F420" i="200" s="1"/>
  <c r="F419" i="200" s="1"/>
  <c r="F424" i="200"/>
  <c r="J395" i="165"/>
  <c r="J395" i="200" s="1"/>
  <c r="J396" i="200"/>
  <c r="O376" i="165"/>
  <c r="O376" i="200" s="1"/>
  <c r="K344" i="165"/>
  <c r="K344" i="200" s="1"/>
  <c r="K345" i="200"/>
  <c r="O306" i="165"/>
  <c r="O306" i="200" s="1"/>
  <c r="O307" i="200"/>
  <c r="O289" i="165"/>
  <c r="O292" i="200"/>
  <c r="P292" i="165"/>
  <c r="P292" i="200" s="1"/>
  <c r="P293" i="200"/>
  <c r="J262" i="165"/>
  <c r="J262" i="200" s="1"/>
  <c r="J264" i="200"/>
  <c r="H239" i="200"/>
  <c r="H232" i="200" s="1"/>
  <c r="H231" i="200" s="1"/>
  <c r="E245" i="200"/>
  <c r="O212" i="165"/>
  <c r="O212" i="200" s="1"/>
  <c r="E169" i="200"/>
  <c r="J122" i="165"/>
  <c r="O122" i="200"/>
  <c r="P146" i="165"/>
  <c r="P147" i="200"/>
  <c r="P102" i="165"/>
  <c r="J105" i="200"/>
  <c r="J29" i="165"/>
  <c r="J29" i="200" s="1"/>
  <c r="P413" i="199"/>
  <c r="P412" i="199" s="1"/>
  <c r="K227" i="199"/>
  <c r="K226" i="199" s="1"/>
  <c r="K50" i="199"/>
  <c r="K49" i="199" s="1"/>
  <c r="K48" i="199" s="1"/>
  <c r="K37" i="199"/>
  <c r="K42" i="200"/>
  <c r="L227" i="199"/>
  <c r="O206" i="199"/>
  <c r="O411" i="200"/>
  <c r="E395" i="200"/>
  <c r="J336" i="200"/>
  <c r="F316" i="165"/>
  <c r="F317" i="200"/>
  <c r="E332" i="165"/>
  <c r="P234" i="165"/>
  <c r="L239" i="165"/>
  <c r="L239" i="200" s="1"/>
  <c r="L245" i="200"/>
  <c r="G239" i="165"/>
  <c r="G239" i="200" s="1"/>
  <c r="K233" i="165"/>
  <c r="K233" i="200" s="1"/>
  <c r="F233" i="165"/>
  <c r="F233" i="200" s="1"/>
  <c r="P264" i="165"/>
  <c r="P264" i="200" s="1"/>
  <c r="E214" i="165"/>
  <c r="E214" i="200" s="1"/>
  <c r="E219" i="200"/>
  <c r="O179" i="200"/>
  <c r="F164" i="200"/>
  <c r="P180" i="200"/>
  <c r="O150" i="165"/>
  <c r="E155" i="165"/>
  <c r="E155" i="200" s="1"/>
  <c r="H154" i="200"/>
  <c r="P173" i="200"/>
  <c r="P136" i="165"/>
  <c r="P137" i="200"/>
  <c r="J116" i="165"/>
  <c r="J116" i="200" s="1"/>
  <c r="J117" i="200"/>
  <c r="P138" i="200"/>
  <c r="F51" i="165"/>
  <c r="J91" i="165"/>
  <c r="J92" i="200"/>
  <c r="K51" i="165"/>
  <c r="K53" i="200"/>
  <c r="P74" i="165"/>
  <c r="P74" i="200" s="1"/>
  <c r="J74" i="200"/>
  <c r="P73" i="165"/>
  <c r="P73" i="200" s="1"/>
  <c r="J73" i="200"/>
  <c r="O104" i="200"/>
  <c r="I27" i="200"/>
  <c r="I16" i="200" s="1"/>
  <c r="J44" i="165"/>
  <c r="K44" i="200"/>
  <c r="P88" i="200"/>
  <c r="P97" i="165"/>
  <c r="P97" i="200" s="1"/>
  <c r="E97" i="200"/>
  <c r="E116" i="165"/>
  <c r="E116" i="200" s="1"/>
  <c r="E117" i="200"/>
  <c r="G211" i="200"/>
  <c r="G210" i="200" s="1"/>
  <c r="H222" i="165"/>
  <c r="H222" i="200" s="1"/>
  <c r="H223" i="200"/>
  <c r="G233" i="165"/>
  <c r="G233" i="200" s="1"/>
  <c r="G234" i="200"/>
  <c r="P238" i="165"/>
  <c r="P238" i="200" s="1"/>
  <c r="E238" i="200"/>
  <c r="F240" i="200"/>
  <c r="J246" i="200"/>
  <c r="K276" i="165"/>
  <c r="K276" i="200" s="1"/>
  <c r="K277" i="200"/>
  <c r="J284" i="165"/>
  <c r="O284" i="200"/>
  <c r="P287" i="165"/>
  <c r="P288" i="200"/>
  <c r="K348" i="165"/>
  <c r="K348" i="200" s="1"/>
  <c r="K349" i="200"/>
  <c r="E352" i="200"/>
  <c r="L115" i="200"/>
  <c r="L114" i="200" s="1"/>
  <c r="P123" i="165"/>
  <c r="P123" i="200" s="1"/>
  <c r="E123" i="200"/>
  <c r="K139" i="200"/>
  <c r="K115" i="200" s="1"/>
  <c r="K114" i="200" s="1"/>
  <c r="P175" i="165"/>
  <c r="P175" i="200" s="1"/>
  <c r="J175" i="200"/>
  <c r="E247" i="200"/>
  <c r="J287" i="165"/>
  <c r="J287" i="200" s="1"/>
  <c r="J288" i="200"/>
  <c r="P305" i="165"/>
  <c r="P305" i="200" s="1"/>
  <c r="J305" i="200"/>
  <c r="H16" i="200"/>
  <c r="H15" i="200" s="1"/>
  <c r="P23" i="165"/>
  <c r="P23" i="200" s="1"/>
  <c r="P24" i="200"/>
  <c r="P32" i="165"/>
  <c r="P32" i="200" s="1"/>
  <c r="P59" i="165"/>
  <c r="P59" i="200" s="1"/>
  <c r="E59" i="200"/>
  <c r="E66" i="165"/>
  <c r="E67" i="200"/>
  <c r="N115" i="200"/>
  <c r="N114" i="200" s="1"/>
  <c r="P192" i="165"/>
  <c r="P192" i="200" s="1"/>
  <c r="J198" i="165"/>
  <c r="J195" i="165" s="1"/>
  <c r="J195" i="200" s="1"/>
  <c r="O198" i="200"/>
  <c r="O236" i="200"/>
  <c r="E160" i="200"/>
  <c r="E166" i="200"/>
  <c r="O170" i="200"/>
  <c r="K214" i="165"/>
  <c r="K214" i="200" s="1"/>
  <c r="K219" i="200"/>
  <c r="F223" i="165"/>
  <c r="F224" i="200"/>
  <c r="P418" i="199"/>
  <c r="P407" i="199"/>
  <c r="P406" i="199" s="1"/>
  <c r="P395" i="199"/>
  <c r="P392" i="199" s="1"/>
  <c r="E264" i="199"/>
  <c r="P271" i="199"/>
  <c r="P244" i="199"/>
  <c r="P243" i="199" s="1"/>
  <c r="M227" i="199"/>
  <c r="F50" i="199"/>
  <c r="F49" i="199" s="1"/>
  <c r="F48" i="199" s="1"/>
  <c r="F149" i="199"/>
  <c r="F144" i="199" s="1"/>
  <c r="F143" i="199" s="1"/>
  <c r="O17" i="199"/>
  <c r="P22" i="199"/>
  <c r="J442" i="200"/>
  <c r="G436" i="165"/>
  <c r="G436" i="200" s="1"/>
  <c r="G429" i="200" s="1"/>
  <c r="G428" i="200" s="1"/>
  <c r="J424" i="165"/>
  <c r="J425" i="200"/>
  <c r="O414" i="165"/>
  <c r="O414" i="200" s="1"/>
  <c r="O415" i="200"/>
  <c r="J397" i="165"/>
  <c r="J397" i="200" s="1"/>
  <c r="J398" i="200"/>
  <c r="F395" i="200"/>
  <c r="J392" i="200"/>
  <c r="P393" i="165"/>
  <c r="P393" i="200" s="1"/>
  <c r="J377" i="165"/>
  <c r="J377" i="200" s="1"/>
  <c r="J378" i="200"/>
  <c r="P382" i="165"/>
  <c r="O362" i="165"/>
  <c r="F336" i="200"/>
  <c r="O353" i="200"/>
  <c r="P337" i="165"/>
  <c r="P329" i="165"/>
  <c r="P327" i="165" s="1"/>
  <c r="E329" i="200"/>
  <c r="O326" i="165"/>
  <c r="O326" i="200" s="1"/>
  <c r="O327" i="200"/>
  <c r="J302" i="165"/>
  <c r="J302" i="200" s="1"/>
  <c r="P328" i="200"/>
  <c r="J236" i="165"/>
  <c r="J237" i="200"/>
  <c r="E262" i="200"/>
  <c r="P252" i="165"/>
  <c r="P252" i="200" s="1"/>
  <c r="J252" i="200"/>
  <c r="F239" i="165"/>
  <c r="F239" i="200" s="1"/>
  <c r="O233" i="165"/>
  <c r="O233" i="200" s="1"/>
  <c r="O221" i="200"/>
  <c r="P215" i="165"/>
  <c r="P215" i="200" s="1"/>
  <c r="J155" i="165"/>
  <c r="J155" i="200" s="1"/>
  <c r="J156" i="200"/>
  <c r="F195" i="200"/>
  <c r="J151" i="165"/>
  <c r="P169" i="165"/>
  <c r="G154" i="165"/>
  <c r="G154" i="200" s="1"/>
  <c r="G149" i="200" s="1"/>
  <c r="G148" i="200" s="1"/>
  <c r="F119" i="165"/>
  <c r="F119" i="200" s="1"/>
  <c r="F115" i="200" s="1"/>
  <c r="F114" i="200" s="1"/>
  <c r="P108" i="165"/>
  <c r="J95" i="200"/>
  <c r="J57" i="165"/>
  <c r="J57" i="200" s="1"/>
  <c r="J58" i="200"/>
  <c r="E80" i="165"/>
  <c r="F80" i="200"/>
  <c r="P69" i="165"/>
  <c r="P69" i="200" s="1"/>
  <c r="H51" i="165"/>
  <c r="H51" i="200" s="1"/>
  <c r="P98" i="165"/>
  <c r="P98" i="200" s="1"/>
  <c r="P54" i="165"/>
  <c r="P54" i="200" s="1"/>
  <c r="O44" i="165"/>
  <c r="J36" i="200"/>
  <c r="P43" i="165"/>
  <c r="M27" i="165"/>
  <c r="M27" i="200" s="1"/>
  <c r="M16" i="200" s="1"/>
  <c r="F289" i="200"/>
  <c r="K142" i="200"/>
  <c r="L51" i="165"/>
  <c r="L51" i="200" s="1"/>
  <c r="L53" i="200"/>
  <c r="N154" i="165"/>
  <c r="N154" i="200" s="1"/>
  <c r="P113" i="200"/>
  <c r="P112" i="200" s="1"/>
  <c r="P111" i="200" s="1"/>
  <c r="M51" i="200"/>
  <c r="E150" i="165"/>
  <c r="E150" i="200" s="1"/>
  <c r="E151" i="200"/>
  <c r="J194" i="165"/>
  <c r="O194" i="200"/>
  <c r="K200" i="165"/>
  <c r="K200" i="200" s="1"/>
  <c r="K201" i="200"/>
  <c r="P257" i="165"/>
  <c r="J257" i="200"/>
  <c r="N258" i="165"/>
  <c r="N258" i="200" s="1"/>
  <c r="N232" i="200" s="1"/>
  <c r="N231" i="200" s="1"/>
  <c r="N259" i="200"/>
  <c r="E312" i="200"/>
  <c r="P339" i="165"/>
  <c r="P339" i="200" s="1"/>
  <c r="J339" i="200"/>
  <c r="L361" i="200"/>
  <c r="L360" i="200" s="1"/>
  <c r="J372" i="200"/>
  <c r="F384" i="165"/>
  <c r="F384" i="200" s="1"/>
  <c r="F385" i="200"/>
  <c r="E400" i="200"/>
  <c r="L394" i="165"/>
  <c r="L394" i="200" s="1"/>
  <c r="L390" i="200" s="1"/>
  <c r="L389" i="200" s="1"/>
  <c r="L397" i="200"/>
  <c r="N420" i="200"/>
  <c r="N419" i="200" s="1"/>
  <c r="K423" i="200"/>
  <c r="K420" i="200" s="1"/>
  <c r="K419" i="200" s="1"/>
  <c r="F25" i="200"/>
  <c r="P78" i="200"/>
  <c r="P121" i="165"/>
  <c r="P121" i="200" s="1"/>
  <c r="E121" i="200"/>
  <c r="P131" i="165"/>
  <c r="P131" i="200" s="1"/>
  <c r="P218" i="165"/>
  <c r="P218" i="200" s="1"/>
  <c r="I222" i="165"/>
  <c r="I222" i="200" s="1"/>
  <c r="I211" i="200" s="1"/>
  <c r="I210" i="200" s="1"/>
  <c r="I223" i="200"/>
  <c r="P281" i="165"/>
  <c r="P281" i="200" s="1"/>
  <c r="J281" i="200"/>
  <c r="M286" i="200"/>
  <c r="K306" i="165"/>
  <c r="K306" i="200" s="1"/>
  <c r="K307" i="200"/>
  <c r="P312" i="165"/>
  <c r="P312" i="200" s="1"/>
  <c r="J312" i="200"/>
  <c r="E317" i="165"/>
  <c r="E318" i="200"/>
  <c r="M394" i="165"/>
  <c r="M394" i="200" s="1"/>
  <c r="M390" i="200" s="1"/>
  <c r="M389" i="200" s="1"/>
  <c r="M397" i="200"/>
  <c r="P47" i="165"/>
  <c r="E47" i="200"/>
  <c r="N16" i="200"/>
  <c r="N15" i="200" s="1"/>
  <c r="F39" i="200"/>
  <c r="P124" i="165"/>
  <c r="P124" i="200" s="1"/>
  <c r="E124" i="200"/>
  <c r="P178" i="165"/>
  <c r="P178" i="200" s="1"/>
  <c r="J196" i="200"/>
  <c r="L211" i="200"/>
  <c r="L210" i="200" s="1"/>
  <c r="H214" i="165"/>
  <c r="H214" i="200" s="1"/>
  <c r="H211" i="200" s="1"/>
  <c r="H210" i="200" s="1"/>
  <c r="P220" i="200"/>
  <c r="L222" i="165"/>
  <c r="L222" i="200" s="1"/>
  <c r="L223" i="200"/>
  <c r="M233" i="200"/>
  <c r="M232" i="200" s="1"/>
  <c r="M231" i="200" s="1"/>
  <c r="O135" i="200"/>
  <c r="P160" i="200"/>
  <c r="F258" i="165"/>
  <c r="F258" i="200" s="1"/>
  <c r="F259" i="200"/>
  <c r="G326" i="165"/>
  <c r="G326" i="200" s="1"/>
  <c r="G301" i="200" s="1"/>
  <c r="G300" i="200" s="1"/>
  <c r="G327" i="200"/>
  <c r="J374" i="200"/>
  <c r="N375" i="165"/>
  <c r="N375" i="200" s="1"/>
  <c r="N371" i="200" s="1"/>
  <c r="N370" i="200" s="1"/>
  <c r="N376" i="200"/>
  <c r="M375" i="165"/>
  <c r="M375" i="200" s="1"/>
  <c r="M371" i="200" s="1"/>
  <c r="M370" i="200" s="1"/>
  <c r="M376" i="200"/>
  <c r="O393" i="200"/>
  <c r="O396" i="200"/>
  <c r="E430" i="200"/>
  <c r="E179" i="200"/>
  <c r="E234" i="200"/>
  <c r="E277" i="165"/>
  <c r="E278" i="200"/>
  <c r="G375" i="165"/>
  <c r="G375" i="200" s="1"/>
  <c r="G371" i="200" s="1"/>
  <c r="G370" i="200" s="1"/>
  <c r="G376" i="200"/>
  <c r="G115" i="200"/>
  <c r="G114" i="200" s="1"/>
  <c r="I101" i="200"/>
  <c r="J283" i="165"/>
  <c r="O283" i="200"/>
  <c r="J297" i="200"/>
  <c r="E307" i="165"/>
  <c r="E308" i="200"/>
  <c r="P310" i="200"/>
  <c r="P313" i="165"/>
  <c r="P313" i="200" s="1"/>
  <c r="J313" i="200"/>
  <c r="J385" i="165"/>
  <c r="J386" i="200"/>
  <c r="L429" i="200"/>
  <c r="L428" i="200" s="1"/>
  <c r="J378" i="199"/>
  <c r="J383" i="200" s="1"/>
  <c r="O377" i="199"/>
  <c r="O370" i="199" s="1"/>
  <c r="O366" i="199" s="1"/>
  <c r="O365" i="199" s="1"/>
  <c r="O440" i="165"/>
  <c r="O441" i="200"/>
  <c r="P330" i="165"/>
  <c r="P330" i="200" s="1"/>
  <c r="E330" i="200"/>
  <c r="O346" i="200"/>
  <c r="E443" i="165"/>
  <c r="E443" i="200" s="1"/>
  <c r="E444" i="200"/>
  <c r="O41" i="199"/>
  <c r="J42" i="199"/>
  <c r="J43" i="200" s="1"/>
  <c r="J243" i="165"/>
  <c r="J244" i="200"/>
  <c r="O245" i="165"/>
  <c r="O245" i="200" s="1"/>
  <c r="O246" i="200"/>
  <c r="E255" i="165"/>
  <c r="E255" i="200" s="1"/>
  <c r="E256" i="200"/>
  <c r="E344" i="165"/>
  <c r="E344" i="200" s="1"/>
  <c r="E345" i="200"/>
  <c r="F438" i="200"/>
  <c r="O438" i="200"/>
  <c r="P241" i="199"/>
  <c r="P246" i="200" s="1"/>
  <c r="P37" i="165"/>
  <c r="P37" i="200" s="1"/>
  <c r="E37" i="200"/>
  <c r="F27" i="165"/>
  <c r="F27" i="200" s="1"/>
  <c r="F31" i="200"/>
  <c r="O286" i="165"/>
  <c r="O286" i="200" s="1"/>
  <c r="O289" i="200"/>
  <c r="J286" i="165"/>
  <c r="J286" i="200" s="1"/>
  <c r="J289" i="200"/>
  <c r="L148" i="200"/>
  <c r="P267" i="200"/>
  <c r="P266" i="200" s="1"/>
  <c r="P265" i="200" s="1"/>
  <c r="J266" i="200"/>
  <c r="J265" i="200" s="1"/>
  <c r="G15" i="200"/>
  <c r="J404" i="200"/>
  <c r="J403" i="200" s="1"/>
  <c r="P405" i="200"/>
  <c r="P404" i="200" s="1"/>
  <c r="P403" i="200" s="1"/>
  <c r="K149" i="200"/>
  <c r="K148" i="200" s="1"/>
  <c r="P36" i="165"/>
  <c r="J35" i="165"/>
  <c r="J35" i="200" s="1"/>
  <c r="J18" i="165"/>
  <c r="J18" i="200" s="1"/>
  <c r="O17" i="165"/>
  <c r="J28" i="165"/>
  <c r="P29" i="165"/>
  <c r="E39" i="165"/>
  <c r="P34" i="165"/>
  <c r="P34" i="200" s="1"/>
  <c r="O39" i="165"/>
  <c r="J40" i="165"/>
  <c r="E35" i="165"/>
  <c r="E35" i="200" s="1"/>
  <c r="O63" i="165"/>
  <c r="O63" i="200" s="1"/>
  <c r="J64" i="165"/>
  <c r="J52" i="165"/>
  <c r="J52" i="200" s="1"/>
  <c r="P105" i="165"/>
  <c r="J104" i="165"/>
  <c r="O101" i="165"/>
  <c r="O101" i="200" s="1"/>
  <c r="P92" i="165"/>
  <c r="O83" i="165"/>
  <c r="O83" i="200" s="1"/>
  <c r="J84" i="165"/>
  <c r="J84" i="200" s="1"/>
  <c r="P64" i="165"/>
  <c r="P64" i="200" s="1"/>
  <c r="E63" i="165"/>
  <c r="P58" i="165"/>
  <c r="O125" i="165"/>
  <c r="O125" i="200" s="1"/>
  <c r="J126" i="165"/>
  <c r="P141" i="165"/>
  <c r="P140" i="165" s="1"/>
  <c r="O142" i="165"/>
  <c r="J143" i="165"/>
  <c r="J143" i="200" s="1"/>
  <c r="P120" i="165"/>
  <c r="P120" i="200" s="1"/>
  <c r="E125" i="165"/>
  <c r="P168" i="165"/>
  <c r="J167" i="165"/>
  <c r="J167" i="200" s="1"/>
  <c r="J202" i="165"/>
  <c r="J202" i="200" s="1"/>
  <c r="P165" i="165"/>
  <c r="E176" i="165"/>
  <c r="E176" i="200" s="1"/>
  <c r="P177" i="165"/>
  <c r="F154" i="165"/>
  <c r="F154" i="200" s="1"/>
  <c r="F149" i="200" s="1"/>
  <c r="F148" i="200" s="1"/>
  <c r="E224" i="165"/>
  <c r="P225" i="165"/>
  <c r="O219" i="165"/>
  <c r="J221" i="165"/>
  <c r="J221" i="200" s="1"/>
  <c r="E239" i="165"/>
  <c r="P262" i="165"/>
  <c r="P253" i="165"/>
  <c r="P242" i="165"/>
  <c r="P237" i="165"/>
  <c r="E236" i="165"/>
  <c r="P249" i="165"/>
  <c r="O250" i="165"/>
  <c r="O277" i="165"/>
  <c r="J278" i="165"/>
  <c r="J278" i="200" s="1"/>
  <c r="J270" i="165"/>
  <c r="J270" i="200" s="1"/>
  <c r="P271" i="165"/>
  <c r="E289" i="165"/>
  <c r="P290" i="165"/>
  <c r="P308" i="165"/>
  <c r="J307" i="165"/>
  <c r="P323" i="165"/>
  <c r="J322" i="165"/>
  <c r="J317" i="165"/>
  <c r="P318" i="165"/>
  <c r="P320" i="165"/>
  <c r="J353" i="165"/>
  <c r="J353" i="200" s="1"/>
  <c r="O352" i="165"/>
  <c r="O349" i="165"/>
  <c r="J350" i="165"/>
  <c r="J350" i="200" s="1"/>
  <c r="J343" i="165"/>
  <c r="J343" i="200" s="1"/>
  <c r="O342" i="165"/>
  <c r="O342" i="200" s="1"/>
  <c r="J341" i="165"/>
  <c r="J341" i="200" s="1"/>
  <c r="O340" i="165"/>
  <c r="O340" i="200" s="1"/>
  <c r="P346" i="165"/>
  <c r="J345" i="165"/>
  <c r="J368" i="165"/>
  <c r="J368" i="200" s="1"/>
  <c r="P378" i="165"/>
  <c r="J379" i="165"/>
  <c r="P380" i="165"/>
  <c r="E385" i="165"/>
  <c r="P386" i="165"/>
  <c r="P398" i="165"/>
  <c r="P396" i="165"/>
  <c r="J391" i="165"/>
  <c r="J391" i="200" s="1"/>
  <c r="P392" i="165"/>
  <c r="J422" i="165"/>
  <c r="J422" i="200" s="1"/>
  <c r="O421" i="165"/>
  <c r="O421" i="200" s="1"/>
  <c r="P425" i="165"/>
  <c r="J441" i="165"/>
  <c r="P442" i="165"/>
  <c r="E438" i="165"/>
  <c r="P439" i="165"/>
  <c r="O205" i="199"/>
  <c r="J206" i="199"/>
  <c r="J205" i="199" s="1"/>
  <c r="J296" i="199"/>
  <c r="J295" i="199" s="1"/>
  <c r="L295" i="199"/>
  <c r="M226" i="199"/>
  <c r="M441" i="199"/>
  <c r="M452" i="199" s="1"/>
  <c r="J389" i="199"/>
  <c r="E263" i="199"/>
  <c r="P332" i="199"/>
  <c r="P331" i="199" s="1"/>
  <c r="E331" i="199"/>
  <c r="E330" i="199" s="1"/>
  <c r="P318" i="199"/>
  <c r="P317" i="199" s="1"/>
  <c r="P314" i="199" s="1"/>
  <c r="P310" i="199" s="1"/>
  <c r="J317" i="199"/>
  <c r="J314" i="199" s="1"/>
  <c r="O145" i="199"/>
  <c r="J146" i="199"/>
  <c r="D16" i="198"/>
  <c r="C17" i="198"/>
  <c r="L143" i="199"/>
  <c r="L226" i="199"/>
  <c r="E95" i="198"/>
  <c r="C96" i="198"/>
  <c r="P52" i="199"/>
  <c r="E50" i="199"/>
  <c r="E49" i="199" s="1"/>
  <c r="P34" i="199"/>
  <c r="P31" i="199" s="1"/>
  <c r="E31" i="199"/>
  <c r="E27" i="199" s="1"/>
  <c r="O290" i="199"/>
  <c r="O264" i="199" s="1"/>
  <c r="P242" i="199"/>
  <c r="E240" i="199"/>
  <c r="J139" i="199"/>
  <c r="J136" i="199" s="1"/>
  <c r="J112" i="199" s="1"/>
  <c r="J111" i="199" s="1"/>
  <c r="P140" i="199"/>
  <c r="P139" i="199" s="1"/>
  <c r="P136" i="199" s="1"/>
  <c r="P112" i="199" s="1"/>
  <c r="N441" i="199"/>
  <c r="N452" i="199" s="1"/>
  <c r="N15" i="199"/>
  <c r="H441" i="199"/>
  <c r="H15" i="199"/>
  <c r="J439" i="199"/>
  <c r="J438" i="199" s="1"/>
  <c r="P440" i="199"/>
  <c r="P439" i="199" s="1"/>
  <c r="P438" i="199" s="1"/>
  <c r="J400" i="199"/>
  <c r="O399" i="199"/>
  <c r="O398" i="199" s="1"/>
  <c r="P266" i="199"/>
  <c r="P265" i="199" s="1"/>
  <c r="J265" i="199"/>
  <c r="O65" i="199"/>
  <c r="J66" i="199"/>
  <c r="J91" i="199"/>
  <c r="O90" i="199"/>
  <c r="O91" i="200" s="1"/>
  <c r="O415" i="199"/>
  <c r="K385" i="199"/>
  <c r="K384" i="199" s="1"/>
  <c r="O347" i="199"/>
  <c r="O346" i="199" s="1"/>
  <c r="J348" i="199"/>
  <c r="F264" i="199"/>
  <c r="F263" i="199" s="1"/>
  <c r="Q443" i="199"/>
  <c r="J386" i="199"/>
  <c r="P367" i="199"/>
  <c r="P417" i="199"/>
  <c r="P416" i="199" s="1"/>
  <c r="E416" i="199"/>
  <c r="E415" i="199" s="1"/>
  <c r="O405" i="199"/>
  <c r="O404" i="199" s="1"/>
  <c r="O389" i="199"/>
  <c r="O234" i="199"/>
  <c r="E190" i="199"/>
  <c r="E195" i="200" s="1"/>
  <c r="P191" i="199"/>
  <c r="P190" i="199" s="1"/>
  <c r="O112" i="199"/>
  <c r="O111" i="199" s="1"/>
  <c r="J238" i="199"/>
  <c r="J234" i="199" s="1"/>
  <c r="P239" i="199"/>
  <c r="P238" i="199" s="1"/>
  <c r="P230" i="199"/>
  <c r="P229" i="199" s="1"/>
  <c r="E205" i="199"/>
  <c r="O149" i="199"/>
  <c r="E159" i="199"/>
  <c r="E149" i="199" s="1"/>
  <c r="E144" i="199" s="1"/>
  <c r="P161" i="199"/>
  <c r="P166" i="200" s="1"/>
  <c r="E37" i="199"/>
  <c r="P35" i="199"/>
  <c r="D40" i="198"/>
  <c r="C40" i="198" s="1"/>
  <c r="C41" i="198"/>
  <c r="J231" i="199"/>
  <c r="J228" i="199" s="1"/>
  <c r="P232" i="199"/>
  <c r="P231" i="199" s="1"/>
  <c r="I441" i="199"/>
  <c r="I452" i="199" s="1"/>
  <c r="E392" i="199"/>
  <c r="E389" i="199" s="1"/>
  <c r="E385" i="199" s="1"/>
  <c r="D66" i="198"/>
  <c r="C67" i="198"/>
  <c r="F15" i="199"/>
  <c r="P375" i="199"/>
  <c r="P374" i="199" s="1"/>
  <c r="P371" i="199" s="1"/>
  <c r="E366" i="199"/>
  <c r="E234" i="199"/>
  <c r="E227" i="199" s="1"/>
  <c r="L441" i="199"/>
  <c r="L452" i="199" s="1"/>
  <c r="L15" i="199"/>
  <c r="J436" i="199"/>
  <c r="J435" i="199" s="1"/>
  <c r="J431" i="199" s="1"/>
  <c r="J424" i="199" s="1"/>
  <c r="J423" i="199" s="1"/>
  <c r="P437" i="199"/>
  <c r="P436" i="199" s="1"/>
  <c r="P435" i="199" s="1"/>
  <c r="J410" i="199"/>
  <c r="J409" i="199" s="1"/>
  <c r="Q411" i="199"/>
  <c r="P411" i="199"/>
  <c r="P410" i="199" s="1"/>
  <c r="P409" i="199" s="1"/>
  <c r="F389" i="199"/>
  <c r="F385" i="199" s="1"/>
  <c r="F384" i="199" s="1"/>
  <c r="O355" i="199"/>
  <c r="J356" i="199"/>
  <c r="P434" i="199"/>
  <c r="P433" i="199" s="1"/>
  <c r="E433" i="199"/>
  <c r="E431" i="199" s="1"/>
  <c r="E424" i="199" s="1"/>
  <c r="E423" i="199" s="1"/>
  <c r="P391" i="199"/>
  <c r="P390" i="199" s="1"/>
  <c r="P389" i="199" s="1"/>
  <c r="P303" i="199"/>
  <c r="P302" i="199" s="1"/>
  <c r="P301" i="199" s="1"/>
  <c r="J302" i="199"/>
  <c r="J301" i="199" s="1"/>
  <c r="E322" i="199"/>
  <c r="E321" i="199" s="1"/>
  <c r="E296" i="199" s="1"/>
  <c r="P324" i="199"/>
  <c r="J405" i="199"/>
  <c r="J404" i="199" s="1"/>
  <c r="J341" i="199"/>
  <c r="J346" i="200" s="1"/>
  <c r="O340" i="199"/>
  <c r="O339" i="199" s="1"/>
  <c r="P387" i="199"/>
  <c r="P386" i="199" s="1"/>
  <c r="P322" i="199"/>
  <c r="P321" i="199" s="1"/>
  <c r="P292" i="199"/>
  <c r="P159" i="199"/>
  <c r="K144" i="199"/>
  <c r="K143" i="199" s="1"/>
  <c r="J46" i="199"/>
  <c r="J47" i="200" s="1"/>
  <c r="O44" i="199"/>
  <c r="O43" i="199" s="1"/>
  <c r="C106" i="198"/>
  <c r="D101" i="198"/>
  <c r="J256" i="199"/>
  <c r="O255" i="199"/>
  <c r="O254" i="199" s="1"/>
  <c r="O253" i="199" s="1"/>
  <c r="O227" i="199" s="1"/>
  <c r="D120" i="198"/>
  <c r="C133" i="198"/>
  <c r="J28" i="199"/>
  <c r="J27" i="199" s="1"/>
  <c r="P29" i="199"/>
  <c r="P28" i="199" s="1"/>
  <c r="J310" i="199"/>
  <c r="P172" i="199"/>
  <c r="P171" i="199" s="1"/>
  <c r="P294" i="199"/>
  <c r="P293" i="199" s="1"/>
  <c r="J293" i="199"/>
  <c r="P216" i="199"/>
  <c r="P214" i="199" s="1"/>
  <c r="P209" i="199" s="1"/>
  <c r="J214" i="199"/>
  <c r="J209" i="199" s="1"/>
  <c r="G441" i="199"/>
  <c r="K211" i="200" l="1"/>
  <c r="K210" i="200" s="1"/>
  <c r="O420" i="200"/>
  <c r="O419" i="200" s="1"/>
  <c r="F232" i="200"/>
  <c r="F231" i="200" s="1"/>
  <c r="L232" i="200"/>
  <c r="L231" i="200" s="1"/>
  <c r="O410" i="200"/>
  <c r="O409" i="200" s="1"/>
  <c r="M15" i="200"/>
  <c r="I15" i="200"/>
  <c r="J107" i="200"/>
  <c r="P433" i="165"/>
  <c r="P433" i="200" s="1"/>
  <c r="P434" i="200"/>
  <c r="P155" i="165"/>
  <c r="P155" i="200" s="1"/>
  <c r="P156" i="200"/>
  <c r="J240" i="200"/>
  <c r="J411" i="165"/>
  <c r="J411" i="200" s="1"/>
  <c r="J410" i="200" s="1"/>
  <c r="J409" i="200" s="1"/>
  <c r="J412" i="200"/>
  <c r="P412" i="165"/>
  <c r="E384" i="165"/>
  <c r="E384" i="200" s="1"/>
  <c r="E385" i="200"/>
  <c r="P345" i="165"/>
  <c r="O42" i="200"/>
  <c r="O37" i="199"/>
  <c r="O16" i="199" s="1"/>
  <c r="P194" i="165"/>
  <c r="P194" i="200" s="1"/>
  <c r="J194" i="200"/>
  <c r="P287" i="200"/>
  <c r="J91" i="200"/>
  <c r="O150" i="200"/>
  <c r="P235" i="200"/>
  <c r="E331" i="165"/>
  <c r="E331" i="200" s="1"/>
  <c r="E332" i="200"/>
  <c r="E164" i="200"/>
  <c r="J444" i="200"/>
  <c r="P165" i="199"/>
  <c r="J164" i="199"/>
  <c r="J250" i="165"/>
  <c r="J250" i="200" s="1"/>
  <c r="J253" i="200"/>
  <c r="O394" i="165"/>
  <c r="O394" i="200" s="1"/>
  <c r="O390" i="200" s="1"/>
  <c r="O397" i="200"/>
  <c r="J38" i="199"/>
  <c r="J41" i="200"/>
  <c r="P40" i="199"/>
  <c r="P302" i="165"/>
  <c r="P302" i="200" s="1"/>
  <c r="P303" i="200"/>
  <c r="P445" i="200"/>
  <c r="O344" i="200"/>
  <c r="P416" i="200"/>
  <c r="J363" i="200"/>
  <c r="J362" i="165"/>
  <c r="P363" i="165"/>
  <c r="E327" i="200"/>
  <c r="J337" i="199"/>
  <c r="P338" i="199"/>
  <c r="P337" i="199" s="1"/>
  <c r="O22" i="165"/>
  <c r="O22" i="200" s="1"/>
  <c r="O25" i="200"/>
  <c r="E379" i="200"/>
  <c r="E376" i="165"/>
  <c r="F440" i="200"/>
  <c r="F436" i="165"/>
  <c r="F436" i="200" s="1"/>
  <c r="F429" i="200" s="1"/>
  <c r="F428" i="200" s="1"/>
  <c r="J103" i="199"/>
  <c r="P104" i="199"/>
  <c r="P103" i="199" s="1"/>
  <c r="J420" i="200"/>
  <c r="J419" i="200" s="1"/>
  <c r="P372" i="200"/>
  <c r="P291" i="199"/>
  <c r="P234" i="199"/>
  <c r="P424" i="165"/>
  <c r="P425" i="200"/>
  <c r="P385" i="165"/>
  <c r="P386" i="200"/>
  <c r="J376" i="165"/>
  <c r="J379" i="200"/>
  <c r="J344" i="165"/>
  <c r="O352" i="200"/>
  <c r="P317" i="165"/>
  <c r="P318" i="200"/>
  <c r="J306" i="165"/>
  <c r="J306" i="200" s="1"/>
  <c r="J307" i="200"/>
  <c r="P270" i="165"/>
  <c r="P270" i="200" s="1"/>
  <c r="P271" i="200"/>
  <c r="O239" i="165"/>
  <c r="O239" i="200" s="1"/>
  <c r="O250" i="200"/>
  <c r="P240" i="165"/>
  <c r="P240" i="200" s="1"/>
  <c r="P242" i="200"/>
  <c r="E239" i="200"/>
  <c r="E224" i="200"/>
  <c r="E119" i="165"/>
  <c r="E119" i="200" s="1"/>
  <c r="E115" i="200" s="1"/>
  <c r="E114" i="200" s="1"/>
  <c r="E125" i="200"/>
  <c r="O139" i="165"/>
  <c r="O139" i="200" s="1"/>
  <c r="O142" i="200"/>
  <c r="J125" i="165"/>
  <c r="J126" i="200"/>
  <c r="J39" i="165"/>
  <c r="J40" i="200"/>
  <c r="E38" i="165"/>
  <c r="E38" i="200" s="1"/>
  <c r="E39" i="200"/>
  <c r="E316" i="165"/>
  <c r="E317" i="200"/>
  <c r="O44" i="200"/>
  <c r="J150" i="165"/>
  <c r="J151" i="200"/>
  <c r="P151" i="165"/>
  <c r="P336" i="165"/>
  <c r="P336" i="200" s="1"/>
  <c r="P337" i="200"/>
  <c r="E66" i="200"/>
  <c r="O27" i="165"/>
  <c r="O27" i="200" s="1"/>
  <c r="O28" i="200"/>
  <c r="P53" i="200"/>
  <c r="P243" i="200"/>
  <c r="P45" i="165"/>
  <c r="K315" i="165"/>
  <c r="K315" i="200" s="1"/>
  <c r="K301" i="200" s="1"/>
  <c r="K300" i="200" s="1"/>
  <c r="K316" i="200"/>
  <c r="O259" i="165"/>
  <c r="O260" i="200"/>
  <c r="P405" i="199"/>
  <c r="P377" i="165"/>
  <c r="P377" i="200" s="1"/>
  <c r="P378" i="200"/>
  <c r="J316" i="165"/>
  <c r="J316" i="200" s="1"/>
  <c r="J317" i="200"/>
  <c r="P308" i="200"/>
  <c r="P248" i="165"/>
  <c r="P248" i="200" s="1"/>
  <c r="P249" i="200"/>
  <c r="P250" i="165"/>
  <c r="P250" i="200" s="1"/>
  <c r="P253" i="200"/>
  <c r="P164" i="165"/>
  <c r="P165" i="200"/>
  <c r="P126" i="165"/>
  <c r="J101" i="165"/>
  <c r="J104" i="200"/>
  <c r="O38" i="165"/>
  <c r="O39" i="200"/>
  <c r="P28" i="165"/>
  <c r="P28" i="200" s="1"/>
  <c r="P29" i="200"/>
  <c r="P42" i="165"/>
  <c r="P43" i="200"/>
  <c r="P441" i="165"/>
  <c r="P442" i="200"/>
  <c r="J319" i="165"/>
  <c r="J319" i="200" s="1"/>
  <c r="J322" i="200"/>
  <c r="P289" i="165"/>
  <c r="P286" i="165" s="1"/>
  <c r="P286" i="200" s="1"/>
  <c r="P290" i="200"/>
  <c r="E233" i="165"/>
  <c r="E233" i="200" s="1"/>
  <c r="E236" i="200"/>
  <c r="O214" i="165"/>
  <c r="O214" i="200" s="1"/>
  <c r="O219" i="200"/>
  <c r="J154" i="165"/>
  <c r="E154" i="165"/>
  <c r="E154" i="200" s="1"/>
  <c r="P57" i="165"/>
  <c r="P57" i="200" s="1"/>
  <c r="P58" i="200"/>
  <c r="P104" i="165"/>
  <c r="J31" i="165"/>
  <c r="J31" i="200" s="1"/>
  <c r="J28" i="200"/>
  <c r="P36" i="200"/>
  <c r="F16" i="200"/>
  <c r="F15" i="200" s="1"/>
  <c r="J377" i="199"/>
  <c r="P378" i="199"/>
  <c r="E306" i="165"/>
  <c r="E306" i="200" s="1"/>
  <c r="E307" i="200"/>
  <c r="J283" i="200"/>
  <c r="P283" i="165"/>
  <c r="P283" i="200" s="1"/>
  <c r="P80" i="165"/>
  <c r="P80" i="200" s="1"/>
  <c r="E80" i="200"/>
  <c r="P107" i="165"/>
  <c r="P108" i="200"/>
  <c r="F51" i="200"/>
  <c r="P234" i="200"/>
  <c r="P145" i="165"/>
  <c r="P145" i="200" s="1"/>
  <c r="P146" i="200"/>
  <c r="J443" i="200"/>
  <c r="J67" i="200"/>
  <c r="J66" i="165"/>
  <c r="P67" i="165"/>
  <c r="J224" i="200"/>
  <c r="J331" i="165"/>
  <c r="J331" i="200" s="1"/>
  <c r="J332" i="200"/>
  <c r="J101" i="199"/>
  <c r="J102" i="200" s="1"/>
  <c r="P102" i="199"/>
  <c r="K259" i="200"/>
  <c r="K258" i="165"/>
  <c r="K258" i="200" s="1"/>
  <c r="K232" i="200" s="1"/>
  <c r="K231" i="200" s="1"/>
  <c r="O316" i="165"/>
  <c r="O317" i="200"/>
  <c r="L31" i="200"/>
  <c r="L27" i="165"/>
  <c r="L27" i="200" s="1"/>
  <c r="L16" i="200" s="1"/>
  <c r="L15" i="200" s="1"/>
  <c r="F394" i="200"/>
  <c r="F390" i="200" s="1"/>
  <c r="F389" i="200" s="1"/>
  <c r="P443" i="165"/>
  <c r="P443" i="200" s="1"/>
  <c r="P444" i="200"/>
  <c r="P430" i="165"/>
  <c r="P430" i="200" s="1"/>
  <c r="O154" i="200"/>
  <c r="P245" i="200"/>
  <c r="P414" i="165"/>
  <c r="P414" i="200" s="1"/>
  <c r="P415" i="200"/>
  <c r="P358" i="199"/>
  <c r="P357" i="199" s="1"/>
  <c r="J357" i="199"/>
  <c r="E326" i="200"/>
  <c r="F375" i="165"/>
  <c r="F375" i="200" s="1"/>
  <c r="F371" i="200" s="1"/>
  <c r="F370" i="200" s="1"/>
  <c r="F376" i="200"/>
  <c r="J275" i="200"/>
  <c r="P275" i="165"/>
  <c r="J274" i="165"/>
  <c r="J274" i="200" s="1"/>
  <c r="J133" i="200"/>
  <c r="J132" i="165"/>
  <c r="J132" i="200" s="1"/>
  <c r="P133" i="165"/>
  <c r="J25" i="165"/>
  <c r="J26" i="200"/>
  <c r="P26" i="165"/>
  <c r="P314" i="165"/>
  <c r="P314" i="200" s="1"/>
  <c r="J314" i="200"/>
  <c r="P261" i="165"/>
  <c r="J261" i="200"/>
  <c r="J260" i="165"/>
  <c r="J41" i="199"/>
  <c r="J37" i="199" s="1"/>
  <c r="P42" i="199"/>
  <c r="P41" i="199" s="1"/>
  <c r="O440" i="200"/>
  <c r="O436" i="165"/>
  <c r="O436" i="200" s="1"/>
  <c r="O429" i="200" s="1"/>
  <c r="O428" i="200" s="1"/>
  <c r="E277" i="200"/>
  <c r="E276" i="165"/>
  <c r="E276" i="200" s="1"/>
  <c r="J423" i="165"/>
  <c r="J423" i="200" s="1"/>
  <c r="J424" i="200"/>
  <c r="P198" i="165"/>
  <c r="J198" i="200"/>
  <c r="K16" i="199"/>
  <c r="K15" i="199" s="1"/>
  <c r="K38" i="200"/>
  <c r="K16" i="200" s="1"/>
  <c r="P122" i="165"/>
  <c r="P122" i="200" s="1"/>
  <c r="J122" i="200"/>
  <c r="E421" i="200"/>
  <c r="E420" i="200" s="1"/>
  <c r="E25" i="200"/>
  <c r="E22" i="165"/>
  <c r="E22" i="200" s="1"/>
  <c r="P199" i="165"/>
  <c r="P199" i="200" s="1"/>
  <c r="J199" i="200"/>
  <c r="E390" i="200"/>
  <c r="E389" i="200" s="1"/>
  <c r="P309" i="165"/>
  <c r="P309" i="200" s="1"/>
  <c r="J309" i="200"/>
  <c r="P395" i="165"/>
  <c r="P395" i="200" s="1"/>
  <c r="P396" i="200"/>
  <c r="P167" i="165"/>
  <c r="P167" i="200" s="1"/>
  <c r="P168" i="200"/>
  <c r="J63" i="165"/>
  <c r="J63" i="200" s="1"/>
  <c r="J64" i="200"/>
  <c r="J384" i="165"/>
  <c r="J384" i="200" s="1"/>
  <c r="J385" i="200"/>
  <c r="P256" i="165"/>
  <c r="P257" i="200"/>
  <c r="J233" i="165"/>
  <c r="J233" i="200" s="1"/>
  <c r="J236" i="200"/>
  <c r="O385" i="199"/>
  <c r="P398" i="200"/>
  <c r="O375" i="165"/>
  <c r="O375" i="200" s="1"/>
  <c r="O371" i="200" s="1"/>
  <c r="O370" i="200" s="1"/>
  <c r="P326" i="165"/>
  <c r="P326" i="200" s="1"/>
  <c r="P327" i="200"/>
  <c r="P228" i="199"/>
  <c r="O330" i="199"/>
  <c r="O329" i="199" s="1"/>
  <c r="P240" i="199"/>
  <c r="J440" i="165"/>
  <c r="J441" i="200"/>
  <c r="P391" i="165"/>
  <c r="P391" i="200" s="1"/>
  <c r="P392" i="200"/>
  <c r="J394" i="165"/>
  <c r="J394" i="200" s="1"/>
  <c r="P379" i="165"/>
  <c r="P380" i="200"/>
  <c r="O348" i="165"/>
  <c r="O348" i="200" s="1"/>
  <c r="O349" i="200"/>
  <c r="P320" i="200"/>
  <c r="P322" i="165"/>
  <c r="P322" i="200" s="1"/>
  <c r="P323" i="200"/>
  <c r="O276" i="165"/>
  <c r="O276" i="200" s="1"/>
  <c r="O277" i="200"/>
  <c r="P236" i="165"/>
  <c r="P237" i="200"/>
  <c r="P262" i="200"/>
  <c r="P224" i="165"/>
  <c r="P225" i="200"/>
  <c r="P176" i="165"/>
  <c r="P176" i="200" s="1"/>
  <c r="P177" i="200"/>
  <c r="P179" i="165"/>
  <c r="P179" i="200" s="1"/>
  <c r="O119" i="165"/>
  <c r="O119" i="200" s="1"/>
  <c r="O115" i="200" s="1"/>
  <c r="O114" i="200" s="1"/>
  <c r="P63" i="165"/>
  <c r="P63" i="200" s="1"/>
  <c r="E63" i="200"/>
  <c r="P91" i="165"/>
  <c r="O51" i="165"/>
  <c r="O17" i="200"/>
  <c r="J243" i="200"/>
  <c r="J170" i="200"/>
  <c r="O45" i="200"/>
  <c r="E258" i="165"/>
  <c r="E258" i="200" s="1"/>
  <c r="E232" i="200" s="1"/>
  <c r="P329" i="200"/>
  <c r="O362" i="200"/>
  <c r="F222" i="165"/>
  <c r="F222" i="200" s="1"/>
  <c r="F211" i="200" s="1"/>
  <c r="F210" i="200" s="1"/>
  <c r="F223" i="200"/>
  <c r="J284" i="200"/>
  <c r="P284" i="165"/>
  <c r="P284" i="200" s="1"/>
  <c r="G232" i="200"/>
  <c r="G231" i="200" s="1"/>
  <c r="O102" i="200"/>
  <c r="K51" i="200"/>
  <c r="P135" i="165"/>
  <c r="P135" i="200" s="1"/>
  <c r="P136" i="200"/>
  <c r="P297" i="200"/>
  <c r="F315" i="165"/>
  <c r="F315" i="200" s="1"/>
  <c r="F301" i="200" s="1"/>
  <c r="F300" i="200" s="1"/>
  <c r="F316" i="200"/>
  <c r="O66" i="200"/>
  <c r="E336" i="200"/>
  <c r="J400" i="200"/>
  <c r="P400" i="165"/>
  <c r="P400" i="200" s="1"/>
  <c r="J415" i="200"/>
  <c r="P196" i="200"/>
  <c r="P244" i="200"/>
  <c r="P332" i="165"/>
  <c r="P333" i="200"/>
  <c r="E397" i="200"/>
  <c r="H301" i="200"/>
  <c r="H300" i="200" s="1"/>
  <c r="P129" i="165"/>
  <c r="P129" i="200" s="1"/>
  <c r="P130" i="200"/>
  <c r="L319" i="200"/>
  <c r="L315" i="165"/>
  <c r="L315" i="200" s="1"/>
  <c r="L301" i="200" s="1"/>
  <c r="L300" i="200" s="1"/>
  <c r="J212" i="165"/>
  <c r="J212" i="200" s="1"/>
  <c r="J213" i="200"/>
  <c r="P213" i="165"/>
  <c r="J42" i="200"/>
  <c r="P438" i="165"/>
  <c r="P439" i="200"/>
  <c r="E436" i="165"/>
  <c r="E436" i="200" s="1"/>
  <c r="E429" i="200" s="1"/>
  <c r="E428" i="200" s="1"/>
  <c r="E438" i="200"/>
  <c r="P289" i="200"/>
  <c r="E286" i="165"/>
  <c r="E286" i="200" s="1"/>
  <c r="E289" i="200"/>
  <c r="P18" i="165"/>
  <c r="J17" i="165"/>
  <c r="J17" i="200" s="1"/>
  <c r="P35" i="165"/>
  <c r="E31" i="165"/>
  <c r="J27" i="165"/>
  <c r="J27" i="200" s="1"/>
  <c r="P40" i="165"/>
  <c r="P52" i="165"/>
  <c r="P52" i="200" s="1"/>
  <c r="J83" i="165"/>
  <c r="P84" i="165"/>
  <c r="E51" i="165"/>
  <c r="E51" i="200" s="1"/>
  <c r="P143" i="165"/>
  <c r="J142" i="165"/>
  <c r="P202" i="165"/>
  <c r="P221" i="165"/>
  <c r="J219" i="165"/>
  <c r="J277" i="165"/>
  <c r="P278" i="165"/>
  <c r="P350" i="165"/>
  <c r="J349" i="165"/>
  <c r="J340" i="165"/>
  <c r="J340" i="200" s="1"/>
  <c r="P341" i="165"/>
  <c r="P343" i="165"/>
  <c r="J342" i="165"/>
  <c r="J342" i="200" s="1"/>
  <c r="J352" i="165"/>
  <c r="P353" i="165"/>
  <c r="P368" i="165"/>
  <c r="J421" i="165"/>
  <c r="J421" i="200" s="1"/>
  <c r="P422" i="165"/>
  <c r="O226" i="199"/>
  <c r="J227" i="199"/>
  <c r="J226" i="199" s="1"/>
  <c r="E226" i="199"/>
  <c r="P227" i="199"/>
  <c r="E143" i="199"/>
  <c r="P111" i="199"/>
  <c r="Q112" i="199"/>
  <c r="O263" i="199"/>
  <c r="J264" i="199"/>
  <c r="Q405" i="199"/>
  <c r="P404" i="199"/>
  <c r="E295" i="199"/>
  <c r="P296" i="199"/>
  <c r="G452" i="199"/>
  <c r="G454" i="199"/>
  <c r="P27" i="199"/>
  <c r="C101" i="198"/>
  <c r="J355" i="199"/>
  <c r="P356" i="199"/>
  <c r="F441" i="199"/>
  <c r="F452" i="199" s="1"/>
  <c r="E384" i="199"/>
  <c r="E414" i="199"/>
  <c r="P415" i="199"/>
  <c r="J90" i="199"/>
  <c r="P91" i="199"/>
  <c r="P90" i="199" s="1"/>
  <c r="J291" i="199"/>
  <c r="J290" i="199" s="1"/>
  <c r="J340" i="199"/>
  <c r="J339" i="199" s="1"/>
  <c r="P341" i="199"/>
  <c r="P340" i="199" s="1"/>
  <c r="P339" i="199" s="1"/>
  <c r="O384" i="199"/>
  <c r="J385" i="199"/>
  <c r="J384" i="199" s="1"/>
  <c r="O414" i="199"/>
  <c r="J415" i="199"/>
  <c r="J414" i="199" s="1"/>
  <c r="J65" i="199"/>
  <c r="P66" i="199"/>
  <c r="J145" i="199"/>
  <c r="P146" i="199"/>
  <c r="P145" i="199" s="1"/>
  <c r="D114" i="198"/>
  <c r="C114" i="198" s="1"/>
  <c r="C120" i="198"/>
  <c r="P256" i="199"/>
  <c r="P255" i="199" s="1"/>
  <c r="P254" i="199" s="1"/>
  <c r="P253" i="199" s="1"/>
  <c r="J255" i="199"/>
  <c r="J254" i="199" s="1"/>
  <c r="J253" i="199" s="1"/>
  <c r="P46" i="199"/>
  <c r="P44" i="199" s="1"/>
  <c r="P43" i="199" s="1"/>
  <c r="J44" i="199"/>
  <c r="P431" i="199"/>
  <c r="P424" i="199" s="1"/>
  <c r="J347" i="199"/>
  <c r="J346" i="199" s="1"/>
  <c r="P348" i="199"/>
  <c r="P347" i="199" s="1"/>
  <c r="P346" i="199" s="1"/>
  <c r="O50" i="199"/>
  <c r="O49" i="199" s="1"/>
  <c r="J399" i="199"/>
  <c r="J398" i="199" s="1"/>
  <c r="P400" i="199"/>
  <c r="P399" i="199" s="1"/>
  <c r="P398" i="199" s="1"/>
  <c r="H454" i="199"/>
  <c r="H452" i="199"/>
  <c r="E48" i="199"/>
  <c r="C95" i="198"/>
  <c r="E66" i="198"/>
  <c r="E113" i="198" s="1"/>
  <c r="E160" i="198" s="1"/>
  <c r="I160" i="198" s="1"/>
  <c r="O144" i="199"/>
  <c r="P290" i="199"/>
  <c r="E365" i="199"/>
  <c r="P206" i="199"/>
  <c r="E16" i="199"/>
  <c r="D15" i="198"/>
  <c r="C15" i="198" s="1"/>
  <c r="C16" i="198"/>
  <c r="E329" i="199"/>
  <c r="K441" i="199"/>
  <c r="P319" i="165" l="1"/>
  <c r="P319" i="200" s="1"/>
  <c r="P307" i="165"/>
  <c r="K15" i="200"/>
  <c r="O15" i="199"/>
  <c r="J16" i="199"/>
  <c r="J15" i="199" s="1"/>
  <c r="P421" i="165"/>
  <c r="P421" i="200" s="1"/>
  <c r="P422" i="200"/>
  <c r="P349" i="165"/>
  <c r="P350" i="200"/>
  <c r="J276" i="165"/>
  <c r="J276" i="200" s="1"/>
  <c r="J277" i="200"/>
  <c r="J125" i="200"/>
  <c r="J119" i="165"/>
  <c r="J119" i="200" s="1"/>
  <c r="P170" i="200"/>
  <c r="P164" i="199"/>
  <c r="P25" i="165"/>
  <c r="P26" i="200"/>
  <c r="P101" i="199"/>
  <c r="P102" i="200" s="1"/>
  <c r="P103" i="200"/>
  <c r="J345" i="200"/>
  <c r="J362" i="200"/>
  <c r="J43" i="199"/>
  <c r="J44" i="200" s="1"/>
  <c r="J45" i="200"/>
  <c r="P352" i="165"/>
  <c r="P353" i="200"/>
  <c r="P239" i="165"/>
  <c r="P239" i="200" s="1"/>
  <c r="O51" i="200"/>
  <c r="P376" i="165"/>
  <c r="P379" i="200"/>
  <c r="P255" i="165"/>
  <c r="P255" i="200" s="1"/>
  <c r="P256" i="200"/>
  <c r="E419" i="200"/>
  <c r="P420" i="200"/>
  <c r="P260" i="165"/>
  <c r="P261" i="200"/>
  <c r="O316" i="200"/>
  <c r="O315" i="165"/>
  <c r="O315" i="200" s="1"/>
  <c r="O301" i="200" s="1"/>
  <c r="P107" i="200"/>
  <c r="J370" i="199"/>
  <c r="J366" i="199" s="1"/>
  <c r="J382" i="200"/>
  <c r="P440" i="165"/>
  <c r="P440" i="200" s="1"/>
  <c r="P441" i="200"/>
  <c r="O259" i="200"/>
  <c r="O258" i="165"/>
  <c r="O258" i="200" s="1"/>
  <c r="O232" i="200" s="1"/>
  <c r="J150" i="200"/>
  <c r="E316" i="200"/>
  <c r="E315" i="165"/>
  <c r="E315" i="200" s="1"/>
  <c r="P316" i="165"/>
  <c r="P317" i="200"/>
  <c r="J344" i="200"/>
  <c r="P384" i="165"/>
  <c r="P384" i="200" s="1"/>
  <c r="P385" i="200"/>
  <c r="J100" i="199"/>
  <c r="J101" i="200" s="1"/>
  <c r="P342" i="165"/>
  <c r="P342" i="200" s="1"/>
  <c r="P343" i="200"/>
  <c r="P331" i="165"/>
  <c r="P331" i="200" s="1"/>
  <c r="P332" i="200"/>
  <c r="P100" i="199"/>
  <c r="E375" i="165"/>
  <c r="E375" i="200" s="1"/>
  <c r="E371" i="200" s="1"/>
  <c r="E376" i="200"/>
  <c r="P39" i="165"/>
  <c r="P40" i="200"/>
  <c r="P212" i="165"/>
  <c r="P212" i="200" s="1"/>
  <c r="P213" i="200"/>
  <c r="J139" i="165"/>
  <c r="J139" i="200" s="1"/>
  <c r="J142" i="200"/>
  <c r="P83" i="165"/>
  <c r="P83" i="200" s="1"/>
  <c r="P84" i="200"/>
  <c r="P92" i="200"/>
  <c r="P397" i="165"/>
  <c r="J22" i="165"/>
  <c r="J22" i="200" s="1"/>
  <c r="J25" i="200"/>
  <c r="P67" i="200"/>
  <c r="P105" i="200"/>
  <c r="P125" i="165"/>
  <c r="P126" i="200"/>
  <c r="P306" i="165"/>
  <c r="P306" i="200" s="1"/>
  <c r="P307" i="200"/>
  <c r="P47" i="200"/>
  <c r="J38" i="165"/>
  <c r="J38" i="200" s="1"/>
  <c r="J39" i="200"/>
  <c r="P346" i="200"/>
  <c r="P368" i="200"/>
  <c r="P202" i="200"/>
  <c r="P377" i="199"/>
  <c r="P383" i="200"/>
  <c r="P164" i="200"/>
  <c r="P44" i="165"/>
  <c r="P44" i="200" s="1"/>
  <c r="P45" i="200"/>
  <c r="P340" i="165"/>
  <c r="P340" i="200" s="1"/>
  <c r="P341" i="200"/>
  <c r="J315" i="165"/>
  <c r="J315" i="200" s="1"/>
  <c r="P385" i="199"/>
  <c r="P384" i="199" s="1"/>
  <c r="J352" i="200"/>
  <c r="J214" i="165"/>
  <c r="J214" i="200" s="1"/>
  <c r="J219" i="200"/>
  <c r="J436" i="165"/>
  <c r="J436" i="200" s="1"/>
  <c r="J429" i="200" s="1"/>
  <c r="J428" i="200" s="1"/>
  <c r="J440" i="200"/>
  <c r="D113" i="198"/>
  <c r="J348" i="165"/>
  <c r="J348" i="200" s="1"/>
  <c r="J349" i="200"/>
  <c r="P277" i="165"/>
  <c r="P278" i="200"/>
  <c r="P219" i="165"/>
  <c r="P221" i="200"/>
  <c r="P142" i="165"/>
  <c r="P143" i="200"/>
  <c r="J51" i="165"/>
  <c r="J83" i="200"/>
  <c r="P91" i="200"/>
  <c r="P224" i="200"/>
  <c r="P233" i="165"/>
  <c r="P233" i="200" s="1"/>
  <c r="P236" i="200"/>
  <c r="P198" i="200"/>
  <c r="P195" i="165"/>
  <c r="P195" i="200" s="1"/>
  <c r="J259" i="165"/>
  <c r="J260" i="200"/>
  <c r="P132" i="165"/>
  <c r="P132" i="200" s="1"/>
  <c r="P133" i="200"/>
  <c r="P274" i="165"/>
  <c r="P274" i="200" s="1"/>
  <c r="P275" i="200"/>
  <c r="J66" i="200"/>
  <c r="E301" i="200"/>
  <c r="P101" i="165"/>
  <c r="P101" i="200" s="1"/>
  <c r="P104" i="200"/>
  <c r="P42" i="200"/>
  <c r="O38" i="200"/>
  <c r="O16" i="200" s="1"/>
  <c r="P66" i="165"/>
  <c r="P150" i="165"/>
  <c r="P150" i="200" s="1"/>
  <c r="P151" i="200"/>
  <c r="J375" i="165"/>
  <c r="J375" i="200" s="1"/>
  <c r="J371" i="200" s="1"/>
  <c r="J370" i="200" s="1"/>
  <c r="J376" i="200"/>
  <c r="P423" i="165"/>
  <c r="P423" i="200" s="1"/>
  <c r="P424" i="200"/>
  <c r="P362" i="165"/>
  <c r="P362" i="200" s="1"/>
  <c r="P363" i="200"/>
  <c r="P41" i="200"/>
  <c r="P38" i="199"/>
  <c r="P37" i="199" s="1"/>
  <c r="J169" i="200"/>
  <c r="J149" i="199"/>
  <c r="J154" i="200" s="1"/>
  <c r="P344" i="165"/>
  <c r="P344" i="200" s="1"/>
  <c r="P345" i="200"/>
  <c r="P411" i="165"/>
  <c r="P411" i="200" s="1"/>
  <c r="P410" i="200" s="1"/>
  <c r="P412" i="200"/>
  <c r="J239" i="165"/>
  <c r="J239" i="200" s="1"/>
  <c r="P17" i="165"/>
  <c r="P17" i="200" s="1"/>
  <c r="P18" i="200"/>
  <c r="E27" i="165"/>
  <c r="E27" i="200" s="1"/>
  <c r="E16" i="200" s="1"/>
  <c r="E31" i="200"/>
  <c r="P31" i="165"/>
  <c r="P35" i="200"/>
  <c r="P436" i="165"/>
  <c r="P436" i="200" s="1"/>
  <c r="P429" i="200" s="1"/>
  <c r="Q429" i="200" s="1"/>
  <c r="P438" i="200"/>
  <c r="E15" i="200"/>
  <c r="O389" i="200"/>
  <c r="J390" i="200"/>
  <c r="E231" i="200"/>
  <c r="P51" i="165"/>
  <c r="P51" i="200" s="1"/>
  <c r="Q206" i="199"/>
  <c r="P205" i="199"/>
  <c r="O143" i="199"/>
  <c r="J144" i="199"/>
  <c r="Q385" i="199"/>
  <c r="O48" i="199"/>
  <c r="J49" i="199"/>
  <c r="P226" i="199"/>
  <c r="Q227" i="199"/>
  <c r="K455" i="199"/>
  <c r="K452" i="199"/>
  <c r="P65" i="199"/>
  <c r="P50" i="199" s="1"/>
  <c r="J50" i="199"/>
  <c r="Q415" i="199"/>
  <c r="P414" i="199"/>
  <c r="Q424" i="199"/>
  <c r="P423" i="199"/>
  <c r="D160" i="198"/>
  <c r="C113" i="198"/>
  <c r="O441" i="199"/>
  <c r="E441" i="199"/>
  <c r="P16" i="199"/>
  <c r="E15" i="199"/>
  <c r="J330" i="199"/>
  <c r="C66" i="198"/>
  <c r="P355" i="199"/>
  <c r="Q356" i="199"/>
  <c r="Q296" i="199"/>
  <c r="P295" i="199"/>
  <c r="J263" i="199"/>
  <c r="P264" i="199"/>
  <c r="P154" i="165" l="1"/>
  <c r="J115" i="200"/>
  <c r="J114" i="200" s="1"/>
  <c r="O15" i="200"/>
  <c r="J16" i="200"/>
  <c r="J15" i="200" s="1"/>
  <c r="J51" i="200"/>
  <c r="P214" i="165"/>
  <c r="P214" i="200" s="1"/>
  <c r="P219" i="200"/>
  <c r="P154" i="200"/>
  <c r="P375" i="165"/>
  <c r="P376" i="200"/>
  <c r="E300" i="200"/>
  <c r="P397" i="200"/>
  <c r="P394" i="165"/>
  <c r="P394" i="200" s="1"/>
  <c r="P371" i="200"/>
  <c r="E370" i="200"/>
  <c r="P316" i="200"/>
  <c r="P315" i="165"/>
  <c r="P315" i="200" s="1"/>
  <c r="O231" i="200"/>
  <c r="J232" i="200"/>
  <c r="P352" i="200"/>
  <c r="P22" i="165"/>
  <c r="P22" i="200" s="1"/>
  <c r="P25" i="200"/>
  <c r="P348" i="165"/>
  <c r="P348" i="200" s="1"/>
  <c r="P349" i="200"/>
  <c r="P409" i="200"/>
  <c r="Q410" i="200"/>
  <c r="J259" i="200"/>
  <c r="J258" i="165"/>
  <c r="J258" i="200" s="1"/>
  <c r="P428" i="200"/>
  <c r="P139" i="165"/>
  <c r="P139" i="200" s="1"/>
  <c r="P142" i="200"/>
  <c r="P276" i="165"/>
  <c r="P276" i="200" s="1"/>
  <c r="P277" i="200"/>
  <c r="P370" i="199"/>
  <c r="P382" i="200"/>
  <c r="P38" i="165"/>
  <c r="P38" i="200" s="1"/>
  <c r="P39" i="200"/>
  <c r="P259" i="165"/>
  <c r="P260" i="200"/>
  <c r="P149" i="199"/>
  <c r="P169" i="200"/>
  <c r="P66" i="200"/>
  <c r="P125" i="200"/>
  <c r="P119" i="165"/>
  <c r="P119" i="200" s="1"/>
  <c r="P115" i="200" s="1"/>
  <c r="J365" i="199"/>
  <c r="P366" i="199"/>
  <c r="O300" i="200"/>
  <c r="J301" i="200"/>
  <c r="J300" i="200" s="1"/>
  <c r="Q420" i="200"/>
  <c r="P419" i="200"/>
  <c r="P27" i="165"/>
  <c r="P27" i="200" s="1"/>
  <c r="P31" i="200"/>
  <c r="J389" i="200"/>
  <c r="P390" i="200"/>
  <c r="J48" i="199"/>
  <c r="P49" i="199"/>
  <c r="E457" i="199"/>
  <c r="E453" i="199"/>
  <c r="F455" i="199"/>
  <c r="E455" i="199"/>
  <c r="F453" i="199"/>
  <c r="E452" i="199"/>
  <c r="J143" i="199"/>
  <c r="P144" i="199"/>
  <c r="J441" i="199"/>
  <c r="J329" i="199"/>
  <c r="P330" i="199"/>
  <c r="O455" i="199"/>
  <c r="O452" i="199"/>
  <c r="P263" i="199"/>
  <c r="Q264" i="199"/>
  <c r="Q16" i="199"/>
  <c r="P15" i="199"/>
  <c r="H160" i="198"/>
  <c r="C160" i="198"/>
  <c r="P16" i="200" l="1"/>
  <c r="P15" i="200" s="1"/>
  <c r="P365" i="199"/>
  <c r="Q366" i="199"/>
  <c r="P441" i="199"/>
  <c r="P452" i="199" s="1"/>
  <c r="Q16" i="200"/>
  <c r="P259" i="200"/>
  <c r="P258" i="165"/>
  <c r="P258" i="200" s="1"/>
  <c r="Q371" i="200"/>
  <c r="P370" i="200"/>
  <c r="Q115" i="200"/>
  <c r="P114" i="200"/>
  <c r="J231" i="200"/>
  <c r="P232" i="200"/>
  <c r="P301" i="200"/>
  <c r="P375" i="200"/>
  <c r="P389" i="200"/>
  <c r="Q390" i="200"/>
  <c r="J455" i="199"/>
  <c r="J452" i="199"/>
  <c r="P455" i="199"/>
  <c r="Q441" i="199"/>
  <c r="G161" i="198"/>
  <c r="G160" i="198"/>
  <c r="Q144" i="199"/>
  <c r="P143" i="199"/>
  <c r="P329" i="199"/>
  <c r="Q330" i="199"/>
  <c r="P453" i="199"/>
  <c r="Q49" i="199"/>
  <c r="P48" i="199"/>
  <c r="P231" i="200" l="1"/>
  <c r="Q232" i="200"/>
  <c r="P300" i="200"/>
  <c r="Q301" i="200"/>
  <c r="H50" i="167" l="1"/>
  <c r="J52" i="167"/>
  <c r="I52" i="167"/>
  <c r="H52" i="167"/>
  <c r="H53" i="167"/>
  <c r="J54" i="167"/>
  <c r="I54" i="167"/>
  <c r="H54" i="167"/>
  <c r="H59" i="167"/>
  <c r="J51" i="167" l="1"/>
  <c r="I51" i="167"/>
  <c r="H51" i="167"/>
  <c r="D93" i="170"/>
  <c r="D109" i="170"/>
  <c r="H361" i="167"/>
  <c r="H359" i="167"/>
  <c r="H358" i="167"/>
  <c r="G448" i="165"/>
  <c r="E114" i="170"/>
  <c r="F115" i="165"/>
  <c r="G115" i="165"/>
  <c r="H115" i="165"/>
  <c r="I115" i="165"/>
  <c r="J115" i="165"/>
  <c r="K115" i="165"/>
  <c r="L115" i="165"/>
  <c r="M115" i="165"/>
  <c r="N115" i="165"/>
  <c r="O115" i="165"/>
  <c r="P115" i="165"/>
  <c r="Q115" i="165" s="1"/>
  <c r="E115" i="165"/>
  <c r="J40" i="184"/>
  <c r="J113" i="167"/>
  <c r="H113" i="167"/>
  <c r="N448" i="165"/>
  <c r="J106" i="167"/>
  <c r="I106" i="167"/>
  <c r="J32" i="184"/>
  <c r="J34" i="184"/>
  <c r="J29" i="184"/>
  <c r="H448" i="165"/>
  <c r="E99" i="188"/>
  <c r="E99" i="201" s="1"/>
  <c r="E97" i="188"/>
  <c r="E97" i="201" s="1"/>
  <c r="E112" i="188"/>
  <c r="E112" i="201" s="1"/>
  <c r="E111" i="201" s="1"/>
  <c r="F94" i="188"/>
  <c r="F94" i="201" s="1"/>
  <c r="E94" i="188"/>
  <c r="E94" i="201" s="1"/>
  <c r="D91" i="188"/>
  <c r="D91" i="201" s="1"/>
  <c r="D87" i="188"/>
  <c r="D87" i="201" s="1"/>
  <c r="D85" i="188"/>
  <c r="D85" i="201" s="1"/>
  <c r="D78" i="188"/>
  <c r="D78" i="201" s="1"/>
  <c r="D72" i="188"/>
  <c r="D72" i="201" s="1"/>
  <c r="D59" i="188"/>
  <c r="D59" i="201" s="1"/>
  <c r="D58" i="188"/>
  <c r="D58" i="201" s="1"/>
  <c r="D47" i="188"/>
  <c r="D47" i="201" s="1"/>
  <c r="D48" i="188"/>
  <c r="D48" i="201" s="1"/>
  <c r="D45" i="188"/>
  <c r="D45" i="201" s="1"/>
  <c r="D44" i="188"/>
  <c r="D44" i="201" s="1"/>
  <c r="D38" i="188"/>
  <c r="D38" i="201" s="1"/>
  <c r="D36" i="188"/>
  <c r="D36" i="201" s="1"/>
  <c r="D21" i="188"/>
  <c r="D21" i="201" s="1"/>
  <c r="D20" i="188"/>
  <c r="D20" i="201" s="1"/>
  <c r="D18" i="188"/>
  <c r="D18" i="201" s="1"/>
  <c r="J45" i="167"/>
  <c r="I45" i="167"/>
  <c r="H45" i="167"/>
  <c r="H44" i="167"/>
  <c r="H41" i="167"/>
  <c r="J35" i="167"/>
  <c r="I35" i="167"/>
  <c r="H35" i="167"/>
  <c r="D35" i="108"/>
  <c r="D27" i="108"/>
  <c r="D30" i="108"/>
  <c r="I52" i="184"/>
  <c r="K52" i="184" s="1"/>
  <c r="C111" i="201" l="1"/>
  <c r="I113" i="167"/>
  <c r="G113" i="167" s="1"/>
  <c r="G35" i="167"/>
  <c r="H172" i="167"/>
  <c r="H173" i="167"/>
  <c r="H181" i="167"/>
  <c r="H178" i="167"/>
  <c r="J53" i="184"/>
  <c r="J51" i="184" l="1"/>
  <c r="I51" i="184"/>
  <c r="H51" i="184"/>
  <c r="H46" i="184" s="1"/>
  <c r="J327" i="167"/>
  <c r="I327" i="167"/>
  <c r="J141" i="184"/>
  <c r="J125" i="184"/>
  <c r="J318" i="167"/>
  <c r="I318" i="167"/>
  <c r="J317" i="167"/>
  <c r="I317" i="167"/>
  <c r="J124" i="184"/>
  <c r="J123" i="184"/>
  <c r="J122" i="184"/>
  <c r="D16" i="108"/>
  <c r="D32" i="108"/>
  <c r="J296" i="167"/>
  <c r="I296" i="167"/>
  <c r="J295" i="167"/>
  <c r="I295" i="167"/>
  <c r="J294" i="167"/>
  <c r="I294" i="167"/>
  <c r="J101" i="184"/>
  <c r="J80" i="184"/>
  <c r="H71" i="184"/>
  <c r="J75" i="184"/>
  <c r="J79" i="184"/>
  <c r="G284" i="167"/>
  <c r="G283" i="167"/>
  <c r="D92" i="170"/>
  <c r="H275" i="167"/>
  <c r="H277" i="167"/>
  <c r="H276" i="167"/>
  <c r="H273" i="167"/>
  <c r="J240" i="167"/>
  <c r="I240" i="167"/>
  <c r="J67" i="184"/>
  <c r="H259" i="167"/>
  <c r="H248" i="167"/>
  <c r="H240" i="167"/>
  <c r="J68" i="184" l="1"/>
  <c r="J349" i="167"/>
  <c r="I349" i="167"/>
  <c r="J145" i="184"/>
  <c r="F26" i="197"/>
  <c r="F24" i="197"/>
  <c r="F18" i="197"/>
  <c r="F14" i="197"/>
  <c r="I40" i="184"/>
  <c r="D56" i="170" l="1"/>
  <c r="D49" i="170"/>
  <c r="D45" i="170"/>
  <c r="D27" i="170"/>
  <c r="D35" i="170"/>
  <c r="D21" i="170"/>
  <c r="D131" i="188"/>
  <c r="D131" i="201" s="1"/>
  <c r="D134" i="188" l="1"/>
  <c r="D134" i="201" s="1"/>
  <c r="D125" i="188"/>
  <c r="D125" i="201" s="1"/>
  <c r="D158" i="188"/>
  <c r="D158" i="201" s="1"/>
  <c r="D153" i="188"/>
  <c r="D153" i="201" s="1"/>
  <c r="D140" i="188"/>
  <c r="D140" i="201" s="1"/>
  <c r="J25" i="172" l="1"/>
  <c r="J112" i="184" l="1"/>
  <c r="J71" i="184" s="1"/>
  <c r="J103" i="167" l="1"/>
  <c r="K51" i="184"/>
  <c r="D62" i="170"/>
  <c r="D32" i="170"/>
  <c r="D119" i="188" l="1"/>
  <c r="D119" i="201" s="1"/>
  <c r="C134" i="188"/>
  <c r="C134" i="201" s="1"/>
  <c r="L28" i="107"/>
  <c r="K28" i="107"/>
  <c r="H26" i="107"/>
  <c r="G26" i="107"/>
  <c r="J68" i="167"/>
  <c r="I68" i="167"/>
  <c r="H68" i="167"/>
  <c r="H65" i="167"/>
  <c r="H357" i="167"/>
  <c r="G32" i="167"/>
  <c r="J31" i="167"/>
  <c r="M279" i="167"/>
  <c r="G281" i="167"/>
  <c r="J53" i="167" l="1"/>
  <c r="I53" i="167"/>
  <c r="J227" i="167"/>
  <c r="H378" i="167"/>
  <c r="K369" i="165"/>
  <c r="K367" i="165" s="1"/>
  <c r="J138" i="184"/>
  <c r="J66" i="184"/>
  <c r="H66" i="184"/>
  <c r="I67" i="184"/>
  <c r="K67" i="184" s="1"/>
  <c r="J126" i="184"/>
  <c r="J178" i="167"/>
  <c r="I178" i="167"/>
  <c r="J183" i="167"/>
  <c r="I183" i="167"/>
  <c r="H183" i="167"/>
  <c r="I112" i="184"/>
  <c r="K112" i="184" s="1"/>
  <c r="I111" i="184"/>
  <c r="D101" i="170"/>
  <c r="K366" i="165" l="1"/>
  <c r="K366" i="200" s="1"/>
  <c r="K361" i="200" s="1"/>
  <c r="K360" i="200" s="1"/>
  <c r="K367" i="200"/>
  <c r="I138" i="184"/>
  <c r="K138" i="184" s="1"/>
  <c r="H227" i="167"/>
  <c r="H278" i="167"/>
  <c r="G275" i="167"/>
  <c r="J277" i="167"/>
  <c r="J256" i="167"/>
  <c r="I256" i="167"/>
  <c r="J238" i="167"/>
  <c r="H239" i="167"/>
  <c r="M448" i="165"/>
  <c r="I47" i="184"/>
  <c r="K47" i="184" s="1"/>
  <c r="J102" i="167"/>
  <c r="J136" i="167"/>
  <c r="J377" i="167"/>
  <c r="I377" i="167"/>
  <c r="J370" i="167"/>
  <c r="I370" i="167"/>
  <c r="J334" i="167"/>
  <c r="I334" i="167"/>
  <c r="H103" i="167" l="1"/>
  <c r="I103" i="167"/>
  <c r="I136" i="167"/>
  <c r="H238" i="167"/>
  <c r="I227" i="167"/>
  <c r="G227" i="167" s="1"/>
  <c r="H102" i="167"/>
  <c r="H136" i="167"/>
  <c r="G103" i="167" l="1"/>
  <c r="G136" i="167"/>
  <c r="I238" i="167"/>
  <c r="G238" i="167" s="1"/>
  <c r="I102" i="167"/>
  <c r="G102" i="167" s="1"/>
  <c r="D88" i="170" l="1"/>
  <c r="H25" i="167"/>
  <c r="G25" i="167" s="1"/>
  <c r="J22" i="167"/>
  <c r="I22" i="167"/>
  <c r="D22" i="188"/>
  <c r="D22" i="201" s="1"/>
  <c r="C135" i="188" l="1"/>
  <c r="C135" i="201" s="1"/>
  <c r="D74" i="188"/>
  <c r="D74" i="201" s="1"/>
  <c r="D56" i="188"/>
  <c r="D56" i="201" s="1"/>
  <c r="D55" i="188"/>
  <c r="D55" i="201" s="1"/>
  <c r="D46" i="188"/>
  <c r="D46" i="201" s="1"/>
  <c r="D34" i="188"/>
  <c r="D34" i="201" s="1"/>
  <c r="C159" i="188" l="1"/>
  <c r="C130" i="188"/>
  <c r="C130" i="201" s="1"/>
  <c r="F108" i="188"/>
  <c r="F108" i="201" s="1"/>
  <c r="E108" i="188"/>
  <c r="E108" i="201" s="1"/>
  <c r="E65" i="188"/>
  <c r="E65" i="201" s="1"/>
  <c r="E369" i="165" l="1"/>
  <c r="E367" i="165" s="1"/>
  <c r="G404" i="165"/>
  <c r="H404" i="165"/>
  <c r="I404" i="165"/>
  <c r="L404" i="165"/>
  <c r="M404" i="165"/>
  <c r="N404" i="165"/>
  <c r="F405" i="165"/>
  <c r="K405" i="165"/>
  <c r="E366" i="165" l="1"/>
  <c r="E366" i="200" s="1"/>
  <c r="E361" i="200" s="1"/>
  <c r="E367" i="200"/>
  <c r="K276" i="167"/>
  <c r="K41" i="167"/>
  <c r="O405" i="165"/>
  <c r="J405" i="165" s="1"/>
  <c r="E405" i="165"/>
  <c r="E404" i="165" s="1"/>
  <c r="O369" i="165"/>
  <c r="O367" i="165" s="1"/>
  <c r="N403" i="165"/>
  <c r="H403" i="165"/>
  <c r="M403" i="165"/>
  <c r="G403" i="165"/>
  <c r="L403" i="165"/>
  <c r="I403" i="165"/>
  <c r="K404" i="165"/>
  <c r="F404" i="165"/>
  <c r="O366" i="165" l="1"/>
  <c r="O366" i="200" s="1"/>
  <c r="O361" i="200" s="1"/>
  <c r="O367" i="200"/>
  <c r="E360" i="200"/>
  <c r="O404" i="165"/>
  <c r="O403" i="165" s="1"/>
  <c r="I31" i="167"/>
  <c r="K279" i="167"/>
  <c r="H67" i="167"/>
  <c r="H31" i="167"/>
  <c r="L279" i="167"/>
  <c r="I277" i="167"/>
  <c r="G277" i="167" s="1"/>
  <c r="L290" i="167"/>
  <c r="J369" i="165"/>
  <c r="J367" i="165" s="1"/>
  <c r="F403" i="165"/>
  <c r="J404" i="165"/>
  <c r="E403" i="165"/>
  <c r="K403" i="165"/>
  <c r="P405" i="165"/>
  <c r="J366" i="165" l="1"/>
  <c r="J366" i="200" s="1"/>
  <c r="J367" i="200"/>
  <c r="O360" i="200"/>
  <c r="J361" i="200"/>
  <c r="P369" i="165"/>
  <c r="P367" i="165" s="1"/>
  <c r="J403" i="165"/>
  <c r="P404" i="165"/>
  <c r="J360" i="200" l="1"/>
  <c r="P361" i="200"/>
  <c r="P366" i="165"/>
  <c r="P366" i="200" s="1"/>
  <c r="P367" i="200"/>
  <c r="P403" i="165"/>
  <c r="Q361" i="200" l="1"/>
  <c r="P360" i="200"/>
  <c r="K40" i="184"/>
  <c r="H38" i="184" l="1"/>
  <c r="J44" i="184"/>
  <c r="J38" i="184" s="1"/>
  <c r="I124" i="184"/>
  <c r="H124" i="184"/>
  <c r="H121" i="184" s="1"/>
  <c r="K124" i="184" l="1"/>
  <c r="E27" i="172"/>
  <c r="J143" i="184"/>
  <c r="J142" i="184" s="1"/>
  <c r="H143" i="184"/>
  <c r="H142" i="184" s="1"/>
  <c r="I145" i="184"/>
  <c r="K145" i="184" s="1"/>
  <c r="H344" i="167"/>
  <c r="F22" i="197"/>
  <c r="F16" i="197"/>
  <c r="I373" i="167"/>
  <c r="I372" i="167"/>
  <c r="J121" i="184"/>
  <c r="I126" i="184"/>
  <c r="I117" i="184"/>
  <c r="I123" i="184" l="1"/>
  <c r="I143" i="184"/>
  <c r="I142" i="184" s="1"/>
  <c r="F27" i="197"/>
  <c r="Q416" i="200" s="1"/>
  <c r="J254" i="167" l="1"/>
  <c r="I254" i="167"/>
  <c r="J239" i="167"/>
  <c r="I239" i="167"/>
  <c r="J257" i="167"/>
  <c r="I257" i="167"/>
  <c r="H257" i="167"/>
  <c r="G241" i="167"/>
  <c r="G257" i="167" l="1"/>
  <c r="J163" i="167"/>
  <c r="I163" i="167"/>
  <c r="H163" i="167"/>
  <c r="J50" i="184"/>
  <c r="J46" i="184" s="1"/>
  <c r="I49" i="184"/>
  <c r="G163" i="167" l="1"/>
  <c r="I44" i="184"/>
  <c r="J135" i="167"/>
  <c r="I135" i="167"/>
  <c r="H135" i="167"/>
  <c r="J111" i="167"/>
  <c r="I24" i="184"/>
  <c r="K44" i="184" l="1"/>
  <c r="I38" i="184"/>
  <c r="H111" i="167"/>
  <c r="G135" i="167"/>
  <c r="H20" i="184"/>
  <c r="I23" i="184"/>
  <c r="I22" i="184"/>
  <c r="I111" i="167" l="1"/>
  <c r="G111" i="167" s="1"/>
  <c r="H24" i="167" l="1"/>
  <c r="D26" i="108"/>
  <c r="D15" i="108"/>
  <c r="J20" i="184" l="1"/>
  <c r="J17" i="167" l="1"/>
  <c r="I17" i="167"/>
  <c r="F57" i="172"/>
  <c r="E57" i="172"/>
  <c r="E26" i="172"/>
  <c r="I25" i="172" s="1"/>
  <c r="D27" i="172" l="1"/>
  <c r="D57" i="172" s="1"/>
  <c r="C57" i="172" s="1"/>
  <c r="D26" i="172" l="1"/>
  <c r="H25" i="172" s="1"/>
  <c r="C27" i="172"/>
  <c r="M27" i="184"/>
  <c r="M25" i="184"/>
  <c r="I27" i="184"/>
  <c r="K27" i="184" s="1"/>
  <c r="I26" i="184"/>
  <c r="K26" i="184" s="1"/>
  <c r="I25" i="184"/>
  <c r="K25" i="184" s="1"/>
  <c r="I28" i="184"/>
  <c r="K28" i="184" s="1"/>
  <c r="J30" i="167" l="1"/>
  <c r="C158" i="188"/>
  <c r="C158" i="201" s="1"/>
  <c r="I50" i="184"/>
  <c r="H30" i="167" l="1"/>
  <c r="I30" i="167"/>
  <c r="G30" i="167" l="1"/>
  <c r="I141" i="184"/>
  <c r="I125" i="184"/>
  <c r="I122" i="184"/>
  <c r="I121" i="184" s="1"/>
  <c r="I80" i="184"/>
  <c r="I79" i="184"/>
  <c r="I74" i="184"/>
  <c r="I68" i="184"/>
  <c r="I53" i="184"/>
  <c r="I46" i="184" s="1"/>
  <c r="I32" i="184"/>
  <c r="I34" i="184"/>
  <c r="I29" i="184"/>
  <c r="K68" i="184" l="1"/>
  <c r="I66" i="184"/>
  <c r="K74" i="184"/>
  <c r="I20" i="184"/>
  <c r="J92" i="167"/>
  <c r="J93" i="167"/>
  <c r="L25" i="184"/>
  <c r="L27" i="184"/>
  <c r="H93" i="167"/>
  <c r="J108" i="167"/>
  <c r="I108" i="167"/>
  <c r="D17" i="170"/>
  <c r="D29" i="170" s="1"/>
  <c r="C131" i="188"/>
  <c r="C131" i="201" s="1"/>
  <c r="C127" i="188"/>
  <c r="C127" i="201" s="1"/>
  <c r="I92" i="167" l="1"/>
  <c r="H92" i="167"/>
  <c r="H108" i="167"/>
  <c r="G108" i="167" s="1"/>
  <c r="G173" i="167"/>
  <c r="G92" i="167" l="1"/>
  <c r="I93" i="167"/>
  <c r="G93" i="167" s="1"/>
  <c r="E47" i="172"/>
  <c r="J184" i="167" l="1"/>
  <c r="H184" i="167"/>
  <c r="G133" i="167"/>
  <c r="H132" i="167"/>
  <c r="M132" i="167"/>
  <c r="G106" i="167"/>
  <c r="J338" i="167"/>
  <c r="I338" i="167"/>
  <c r="H338" i="167"/>
  <c r="D96" i="170"/>
  <c r="H27" i="167"/>
  <c r="G17" i="167"/>
  <c r="G338" i="167" l="1"/>
  <c r="I184" i="167" l="1"/>
  <c r="G184" i="167" s="1"/>
  <c r="K125" i="184"/>
  <c r="J320" i="167"/>
  <c r="K123" i="184"/>
  <c r="H320" i="167" l="1"/>
  <c r="I320" i="167"/>
  <c r="G320" i="167" l="1"/>
  <c r="G318" i="167"/>
  <c r="M317" i="167"/>
  <c r="G317" i="167"/>
  <c r="G295" i="167"/>
  <c r="K317" i="167" l="1"/>
  <c r="L317" i="167"/>
  <c r="I75" i="184"/>
  <c r="J285" i="167"/>
  <c r="I285" i="167"/>
  <c r="H285" i="167"/>
  <c r="M255" i="167"/>
  <c r="G256" i="167"/>
  <c r="G255" i="167"/>
  <c r="L255" i="167"/>
  <c r="K255" i="167"/>
  <c r="K75" i="184" l="1"/>
  <c r="G285" i="167"/>
  <c r="J31" i="184" l="1"/>
  <c r="J33" i="184"/>
  <c r="K53" i="184"/>
  <c r="J140" i="184" l="1"/>
  <c r="J131" i="184"/>
  <c r="J251" i="167"/>
  <c r="G252" i="167"/>
  <c r="G344" i="167" l="1"/>
  <c r="J311" i="167" l="1"/>
  <c r="C123" i="188"/>
  <c r="C123" i="201" s="1"/>
  <c r="J107" i="167"/>
  <c r="D89" i="170"/>
  <c r="H107" i="167" l="1"/>
  <c r="J119" i="184"/>
  <c r="J100" i="184"/>
  <c r="J91" i="184"/>
  <c r="J81" i="184"/>
  <c r="D107" i="170"/>
  <c r="J243" i="167"/>
  <c r="I243" i="167"/>
  <c r="H243" i="167"/>
  <c r="I107" i="167" l="1"/>
  <c r="G107" i="167" s="1"/>
  <c r="G243" i="167"/>
  <c r="J41" i="184" l="1"/>
  <c r="F47" i="172" l="1"/>
  <c r="F42" i="172"/>
  <c r="F41" i="172" s="1"/>
  <c r="E42" i="172"/>
  <c r="H29" i="167" l="1"/>
  <c r="J166" i="167" l="1"/>
  <c r="G160" i="167" l="1"/>
  <c r="J159" i="167" l="1"/>
  <c r="M159" i="167" s="1"/>
  <c r="H166" i="167"/>
  <c r="G287" i="167"/>
  <c r="I166" i="167" l="1"/>
  <c r="J357" i="167" l="1"/>
  <c r="I357" i="167"/>
  <c r="J286" i="167" l="1"/>
  <c r="M286" i="167" s="1"/>
  <c r="G81" i="167"/>
  <c r="G78" i="167"/>
  <c r="I35" i="184"/>
  <c r="J77" i="167" l="1"/>
  <c r="M77" i="167" s="1"/>
  <c r="J80" i="167"/>
  <c r="M80" i="167" s="1"/>
  <c r="C83" i="188" l="1"/>
  <c r="C83" i="201" s="1"/>
  <c r="D82" i="188"/>
  <c r="D82" i="201" s="1"/>
  <c r="C82" i="188" l="1"/>
  <c r="C82" i="201" s="1"/>
  <c r="J57" i="167" l="1"/>
  <c r="I57" i="167"/>
  <c r="J54" i="184"/>
  <c r="G42" i="167"/>
  <c r="G31" i="167" l="1"/>
  <c r="G357" i="167" l="1"/>
  <c r="M356" i="167"/>
  <c r="D71" i="170"/>
  <c r="J355" i="167" l="1"/>
  <c r="H355" i="167"/>
  <c r="I54" i="184" l="1"/>
  <c r="K54" i="184" s="1"/>
  <c r="J132" i="184"/>
  <c r="M239" i="167"/>
  <c r="G248" i="167"/>
  <c r="K79" i="184"/>
  <c r="I119" i="184"/>
  <c r="K119" i="184" s="1"/>
  <c r="I113" i="184"/>
  <c r="J134" i="167"/>
  <c r="J67" i="167"/>
  <c r="G58" i="167"/>
  <c r="C141" i="188"/>
  <c r="C141" i="201" s="1"/>
  <c r="M41" i="167" l="1"/>
  <c r="I355" i="167"/>
  <c r="G355" i="167" s="1"/>
  <c r="H134" i="167"/>
  <c r="J21" i="184"/>
  <c r="I134" i="167" l="1"/>
  <c r="G134" i="167" s="1"/>
  <c r="C18" i="188"/>
  <c r="C18" i="201" s="1"/>
  <c r="J27" i="107" l="1"/>
  <c r="I27" i="107"/>
  <c r="H27" i="107"/>
  <c r="G27" i="107"/>
  <c r="F27" i="107"/>
  <c r="F25" i="107"/>
  <c r="N28" i="107"/>
  <c r="N27" i="107" s="1"/>
  <c r="P28" i="107"/>
  <c r="P27" i="107" s="1"/>
  <c r="M28" i="107"/>
  <c r="Q28" i="107" s="1"/>
  <c r="Q27" i="107" s="1"/>
  <c r="P26" i="107"/>
  <c r="M49" i="167"/>
  <c r="I101" i="184"/>
  <c r="I71" i="184" s="1"/>
  <c r="I100" i="184"/>
  <c r="I99" i="184"/>
  <c r="I98" i="184"/>
  <c r="I91" i="184"/>
  <c r="K27" i="107" l="1"/>
  <c r="L27" i="107"/>
  <c r="M27" i="107"/>
  <c r="F24" i="107"/>
  <c r="O28" i="107"/>
  <c r="O27" i="107" s="1"/>
  <c r="I62" i="184"/>
  <c r="K62" i="184" s="1"/>
  <c r="I81" i="184" l="1"/>
  <c r="I33" i="184"/>
  <c r="I31" i="184" l="1"/>
  <c r="I21" i="184"/>
  <c r="K21" i="184" s="1"/>
  <c r="J105" i="167" l="1"/>
  <c r="J104" i="167"/>
  <c r="H105" i="167" l="1"/>
  <c r="H104" i="167"/>
  <c r="I41" i="184"/>
  <c r="I105" i="167" l="1"/>
  <c r="G105" i="167" s="1"/>
  <c r="I104" i="167"/>
  <c r="G104" i="167" s="1"/>
  <c r="K49" i="184" l="1"/>
  <c r="I132" i="184"/>
  <c r="I131" i="184" l="1"/>
  <c r="M359" i="167"/>
  <c r="G358" i="167"/>
  <c r="H26" i="167"/>
  <c r="K24" i="167" s="1"/>
  <c r="G29" i="167" l="1"/>
  <c r="D33" i="170" l="1"/>
  <c r="D14" i="170"/>
  <c r="D71" i="188"/>
  <c r="D71" i="201" s="1"/>
  <c r="C89" i="188"/>
  <c r="C89" i="201" s="1"/>
  <c r="C76" i="188"/>
  <c r="C76" i="201" s="1"/>
  <c r="C75" i="188"/>
  <c r="C75" i="201" s="1"/>
  <c r="C28" i="188"/>
  <c r="C28" i="201" s="1"/>
  <c r="D27" i="188"/>
  <c r="D27" i="201" s="1"/>
  <c r="D17" i="188"/>
  <c r="D17" i="201" s="1"/>
  <c r="C23" i="188"/>
  <c r="C23" i="201" s="1"/>
  <c r="C22" i="188"/>
  <c r="C22" i="201" s="1"/>
  <c r="C71" i="188" l="1"/>
  <c r="C71" i="201" s="1"/>
  <c r="J60" i="184"/>
  <c r="H60" i="184"/>
  <c r="I60" i="184"/>
  <c r="D118" i="170"/>
  <c r="D21" i="172" l="1"/>
  <c r="J385" i="167"/>
  <c r="I26" i="107"/>
  <c r="I25" i="107" s="1"/>
  <c r="I24" i="107" s="1"/>
  <c r="G148" i="167"/>
  <c r="I140" i="184" l="1"/>
  <c r="K140" i="184" l="1"/>
  <c r="J309" i="167"/>
  <c r="J260" i="167" l="1"/>
  <c r="J264" i="167"/>
  <c r="M259" i="167"/>
  <c r="G253" i="167"/>
  <c r="H264" i="167" l="1"/>
  <c r="I264" i="167" l="1"/>
  <c r="G264" i="167" s="1"/>
  <c r="K80" i="184" l="1"/>
  <c r="G119" i="167" l="1"/>
  <c r="K33" i="184" l="1"/>
  <c r="K132" i="184" l="1"/>
  <c r="K131" i="184"/>
  <c r="J72" i="184"/>
  <c r="G258" i="167"/>
  <c r="J102" i="184" l="1"/>
  <c r="F111" i="188" l="1"/>
  <c r="D111" i="188"/>
  <c r="D107" i="188"/>
  <c r="D107" i="201" s="1"/>
  <c r="H311" i="167" l="1"/>
  <c r="D106" i="188"/>
  <c r="D106" i="201" s="1"/>
  <c r="I311" i="167" l="1"/>
  <c r="G311" i="167" s="1"/>
  <c r="E116" i="170"/>
  <c r="C54" i="172"/>
  <c r="C53" i="172" s="1"/>
  <c r="C52" i="172"/>
  <c r="C51" i="172" s="1"/>
  <c r="F53" i="172"/>
  <c r="E53" i="172"/>
  <c r="F51" i="172"/>
  <c r="E51" i="172"/>
  <c r="D51" i="172"/>
  <c r="D23" i="172"/>
  <c r="F21" i="172"/>
  <c r="E21" i="172"/>
  <c r="F23" i="172"/>
  <c r="E23" i="172"/>
  <c r="F20" i="172" l="1"/>
  <c r="E50" i="172"/>
  <c r="D20" i="172"/>
  <c r="C22" i="172"/>
  <c r="F50" i="172"/>
  <c r="D53" i="172"/>
  <c r="D50" i="172" s="1"/>
  <c r="C50" i="172"/>
  <c r="E20" i="172"/>
  <c r="C24" i="172"/>
  <c r="C23" i="172" s="1"/>
  <c r="J134" i="184"/>
  <c r="J136" i="184"/>
  <c r="H128" i="184"/>
  <c r="J128" i="184"/>
  <c r="I128" i="184" s="1"/>
  <c r="G326" i="167"/>
  <c r="J101" i="167"/>
  <c r="I30" i="184"/>
  <c r="C21" i="172" l="1"/>
  <c r="C20" i="172" s="1"/>
  <c r="K30" i="184"/>
  <c r="H101" i="167"/>
  <c r="H100" i="167"/>
  <c r="J100" i="167"/>
  <c r="I101" i="167" l="1"/>
  <c r="G101" i="167" s="1"/>
  <c r="I100" i="167"/>
  <c r="G100" i="167" s="1"/>
  <c r="K50" i="184"/>
  <c r="G242" i="167"/>
  <c r="J114" i="184"/>
  <c r="J110" i="184"/>
  <c r="J109" i="184"/>
  <c r="H92" i="184"/>
  <c r="J92" i="184"/>
  <c r="J90" i="184"/>
  <c r="J86" i="184"/>
  <c r="G292" i="167" l="1"/>
  <c r="G291" i="167"/>
  <c r="G278" i="167" l="1"/>
  <c r="J342" i="167" l="1"/>
  <c r="G314" i="167"/>
  <c r="G61" i="167"/>
  <c r="G41" i="167" l="1"/>
  <c r="J245" i="167" l="1"/>
  <c r="I245" i="167"/>
  <c r="H245" i="167"/>
  <c r="G254" i="167" l="1"/>
  <c r="E56" i="172"/>
  <c r="J42" i="184"/>
  <c r="J164" i="167" l="1"/>
  <c r="G165" i="167"/>
  <c r="H386" i="167"/>
  <c r="J386" i="167"/>
  <c r="J382" i="167" s="1"/>
  <c r="I386" i="167"/>
  <c r="K114" i="184"/>
  <c r="K113" i="184"/>
  <c r="K111" i="184"/>
  <c r="K110" i="184"/>
  <c r="K109" i="184"/>
  <c r="J108" i="184"/>
  <c r="J95" i="184"/>
  <c r="J94" i="184"/>
  <c r="J93" i="184"/>
  <c r="I72" i="184"/>
  <c r="K72" i="184" s="1"/>
  <c r="G301" i="167"/>
  <c r="G261" i="167"/>
  <c r="G249" i="167"/>
  <c r="J246" i="167"/>
  <c r="G245" i="167"/>
  <c r="I86" i="184"/>
  <c r="K86" i="184" s="1"/>
  <c r="G56" i="167"/>
  <c r="D102" i="170"/>
  <c r="G28" i="167"/>
  <c r="M36" i="167"/>
  <c r="G36" i="167"/>
  <c r="H274" i="167" l="1"/>
  <c r="G274" i="167" s="1"/>
  <c r="K36" i="167"/>
  <c r="G386" i="167"/>
  <c r="L36" i="167" l="1"/>
  <c r="G21" i="167"/>
  <c r="J99" i="167" l="1"/>
  <c r="J98" i="167"/>
  <c r="C157" i="188" l="1"/>
  <c r="C157" i="201" s="1"/>
  <c r="D117" i="188"/>
  <c r="D117" i="201" s="1"/>
  <c r="C110" i="188"/>
  <c r="F107" i="188"/>
  <c r="F107" i="201" s="1"/>
  <c r="E107" i="188"/>
  <c r="E107" i="201" s="1"/>
  <c r="C117" i="188" l="1"/>
  <c r="C117" i="201" s="1"/>
  <c r="G325" i="167" l="1"/>
  <c r="J139" i="184"/>
  <c r="H130" i="184"/>
  <c r="H129" i="184"/>
  <c r="J135" i="184"/>
  <c r="J127" i="184"/>
  <c r="J130" i="184"/>
  <c r="I130" i="184" s="1"/>
  <c r="J129" i="184"/>
  <c r="I129" i="184" s="1"/>
  <c r="G322" i="167" l="1"/>
  <c r="H99" i="167" l="1"/>
  <c r="H98" i="167"/>
  <c r="I98" i="167" l="1"/>
  <c r="G98" i="167" s="1"/>
  <c r="I99" i="167"/>
  <c r="G99" i="167" s="1"/>
  <c r="J350" i="167"/>
  <c r="J197" i="167"/>
  <c r="G215" i="167"/>
  <c r="G198" i="167"/>
  <c r="G193" i="167"/>
  <c r="J192" i="167"/>
  <c r="G162" i="167"/>
  <c r="G179" i="167"/>
  <c r="J125" i="167"/>
  <c r="G126" i="167"/>
  <c r="G122" i="167"/>
  <c r="J161" i="167" l="1"/>
  <c r="J214" i="167"/>
  <c r="D103" i="170" l="1"/>
  <c r="G69" i="167"/>
  <c r="J121" i="167" l="1"/>
  <c r="J223" i="167"/>
  <c r="H223" i="167" l="1"/>
  <c r="J141" i="197"/>
  <c r="I141" i="197"/>
  <c r="H141" i="197"/>
  <c r="G143" i="108"/>
  <c r="G141" i="197"/>
  <c r="C156" i="188"/>
  <c r="C156" i="201" s="1"/>
  <c r="D122" i="108"/>
  <c r="D120" i="197"/>
  <c r="J104" i="184"/>
  <c r="I104" i="184" s="1"/>
  <c r="I223" i="167" l="1"/>
  <c r="G223" i="167" s="1"/>
  <c r="O26" i="107" l="1"/>
  <c r="N26" i="107"/>
  <c r="M26" i="107"/>
  <c r="Q26" i="107" s="1"/>
  <c r="L25" i="107"/>
  <c r="K25" i="107"/>
  <c r="J25" i="107"/>
  <c r="I23" i="107"/>
  <c r="I22" i="107" s="1"/>
  <c r="I21" i="107" s="1"/>
  <c r="H25" i="107"/>
  <c r="G25" i="107"/>
  <c r="P25" i="107"/>
  <c r="P24" i="107" s="1"/>
  <c r="F23" i="107"/>
  <c r="F22" i="107" s="1"/>
  <c r="F21" i="107" s="1"/>
  <c r="F20" i="107" s="1"/>
  <c r="L24" i="107" l="1"/>
  <c r="L23" i="107" s="1"/>
  <c r="L22" i="107" s="1"/>
  <c r="L21" i="107" s="1"/>
  <c r="L20" i="107" s="1"/>
  <c r="J24" i="107"/>
  <c r="J23" i="107" s="1"/>
  <c r="J22" i="107" s="1"/>
  <c r="J21" i="107" s="1"/>
  <c r="J20" i="107" s="1"/>
  <c r="G24" i="107"/>
  <c r="G23" i="107" s="1"/>
  <c r="G22" i="107" s="1"/>
  <c r="G21" i="107" s="1"/>
  <c r="G20" i="107" s="1"/>
  <c r="H24" i="107"/>
  <c r="H23" i="107" s="1"/>
  <c r="H22" i="107" s="1"/>
  <c r="H21" i="107" s="1"/>
  <c r="H20" i="107" s="1"/>
  <c r="K24" i="107"/>
  <c r="K23" i="107" s="1"/>
  <c r="K22" i="107" s="1"/>
  <c r="K21" i="107" s="1"/>
  <c r="K20" i="107" s="1"/>
  <c r="M25" i="107"/>
  <c r="Q25" i="107" s="1"/>
  <c r="N25" i="107"/>
  <c r="P23" i="107"/>
  <c r="P22" i="107" s="1"/>
  <c r="P21" i="107" s="1"/>
  <c r="P20" i="107" s="1"/>
  <c r="O25" i="107"/>
  <c r="M290" i="167"/>
  <c r="O24" i="107" l="1"/>
  <c r="O23" i="107" s="1"/>
  <c r="O22" i="107" s="1"/>
  <c r="O21" i="107" s="1"/>
  <c r="O20" i="107" s="1"/>
  <c r="Q24" i="107"/>
  <c r="Q23" i="107" s="1"/>
  <c r="Q22" i="107" s="1"/>
  <c r="Q21" i="107" s="1"/>
  <c r="Q20" i="107" s="1"/>
  <c r="N24" i="107"/>
  <c r="N23" i="107" s="1"/>
  <c r="N22" i="107" s="1"/>
  <c r="N21" i="107" s="1"/>
  <c r="N20" i="107" s="1"/>
  <c r="M24" i="107"/>
  <c r="M23" i="107" s="1"/>
  <c r="M22" i="107" s="1"/>
  <c r="M21" i="107" s="1"/>
  <c r="M20" i="107" s="1"/>
  <c r="I20" i="107"/>
  <c r="G290" i="167"/>
  <c r="J169" i="167" l="1"/>
  <c r="M169" i="167" s="1"/>
  <c r="G171" i="167"/>
  <c r="G183" i="167" l="1"/>
  <c r="I139" i="184" l="1"/>
  <c r="I137" i="184"/>
  <c r="I135" i="184"/>
  <c r="L139" i="184"/>
  <c r="L137" i="184"/>
  <c r="L135" i="184"/>
  <c r="L130" i="184"/>
  <c r="L129" i="184"/>
  <c r="K130" i="184" l="1"/>
  <c r="K129" i="184"/>
  <c r="L128" i="184" l="1"/>
  <c r="L134" i="184"/>
  <c r="I134" i="184"/>
  <c r="D16" i="170" l="1"/>
  <c r="D115" i="188"/>
  <c r="C116" i="188"/>
  <c r="C115" i="188" l="1"/>
  <c r="I108" i="184"/>
  <c r="K108" i="184" s="1"/>
  <c r="I107" i="184"/>
  <c r="G182" i="167"/>
  <c r="J230" i="167" l="1"/>
  <c r="G351" i="167"/>
  <c r="O388" i="165"/>
  <c r="E388" i="165"/>
  <c r="N387" i="165"/>
  <c r="M387" i="165"/>
  <c r="L387" i="165"/>
  <c r="K387" i="165"/>
  <c r="I387" i="165"/>
  <c r="H387" i="165"/>
  <c r="G387" i="165"/>
  <c r="F387" i="165"/>
  <c r="H230" i="167" l="1"/>
  <c r="E94" i="170"/>
  <c r="E387" i="165"/>
  <c r="O387" i="165"/>
  <c r="J388" i="165"/>
  <c r="G59" i="167"/>
  <c r="J387" i="165" l="1"/>
  <c r="I230" i="167"/>
  <c r="G230" i="167" s="1"/>
  <c r="P388" i="165"/>
  <c r="P387" i="165" l="1"/>
  <c r="G293" i="167" l="1"/>
  <c r="G303" i="167"/>
  <c r="G302" i="167"/>
  <c r="G300" i="167"/>
  <c r="G299" i="167"/>
  <c r="G298" i="167"/>
  <c r="G273" i="167"/>
  <c r="G297" i="167"/>
  <c r="G296" i="167"/>
  <c r="G294" i="167"/>
  <c r="I84" i="184"/>
  <c r="K84" i="184" s="1"/>
  <c r="I88" i="184"/>
  <c r="K104" i="184"/>
  <c r="I103" i="184"/>
  <c r="K103" i="184" s="1"/>
  <c r="I102" i="184"/>
  <c r="K102" i="184" s="1"/>
  <c r="J97" i="184"/>
  <c r="J96" i="184"/>
  <c r="G57" i="167"/>
  <c r="I90" i="184" l="1"/>
  <c r="K88" i="184"/>
  <c r="J187" i="167" l="1"/>
  <c r="E206" i="165"/>
  <c r="H187" i="167" l="1"/>
  <c r="M178" i="167"/>
  <c r="O206" i="165"/>
  <c r="J206" i="165" l="1"/>
  <c r="M348" i="167"/>
  <c r="I187" i="167" l="1"/>
  <c r="G187" i="167" s="1"/>
  <c r="P206" i="165"/>
  <c r="J201" i="167"/>
  <c r="J374" i="167" l="1"/>
  <c r="K169" i="197" l="1"/>
  <c r="D112" i="170" l="1"/>
  <c r="O418" i="165"/>
  <c r="J354" i="167"/>
  <c r="J366" i="167"/>
  <c r="J362" i="167"/>
  <c r="H354" i="167" l="1"/>
  <c r="H362" i="167"/>
  <c r="H366" i="167"/>
  <c r="I366" i="167" l="1"/>
  <c r="G366" i="167" s="1"/>
  <c r="I354" i="167"/>
  <c r="G354" i="167" s="1"/>
  <c r="I362" i="167"/>
  <c r="G362" i="167" s="1"/>
  <c r="K139" i="184" l="1"/>
  <c r="L138" i="184"/>
  <c r="K137" i="184"/>
  <c r="K135" i="184"/>
  <c r="K134" i="184"/>
  <c r="J133" i="184"/>
  <c r="L136" i="184" l="1"/>
  <c r="I136" i="184"/>
  <c r="K136" i="184" s="1"/>
  <c r="I133" i="184"/>
  <c r="K133" i="184" s="1"/>
  <c r="L133" i="184"/>
  <c r="K141" i="184"/>
  <c r="L141" i="184"/>
  <c r="L127" i="184"/>
  <c r="I127" i="184"/>
  <c r="K128" i="184"/>
  <c r="K127" i="184" l="1"/>
  <c r="I97" i="184"/>
  <c r="K97" i="184" s="1"/>
  <c r="I96" i="184"/>
  <c r="K96" i="184" s="1"/>
  <c r="I95" i="184"/>
  <c r="I94" i="184"/>
  <c r="I93" i="184"/>
  <c r="I92" i="184"/>
  <c r="L62" i="184"/>
  <c r="I61" i="184"/>
  <c r="K61" i="184" s="1"/>
  <c r="I42" i="184"/>
  <c r="D97" i="170" l="1"/>
  <c r="D120" i="170"/>
  <c r="C142" i="188" l="1"/>
  <c r="C142" i="201" s="1"/>
  <c r="D149" i="188" l="1"/>
  <c r="D149" i="201" s="1"/>
  <c r="G118" i="167" l="1"/>
  <c r="J208" i="167" l="1"/>
  <c r="O226" i="165"/>
  <c r="E226" i="165"/>
  <c r="K239" i="167"/>
  <c r="J336" i="167"/>
  <c r="J226" i="165" l="1"/>
  <c r="I251" i="167"/>
  <c r="H208" i="167"/>
  <c r="H336" i="167"/>
  <c r="G251" i="167" l="1"/>
  <c r="P226" i="165"/>
  <c r="I336" i="167"/>
  <c r="I208" i="167"/>
  <c r="G208" i="167" s="1"/>
  <c r="J120" i="167"/>
  <c r="J139" i="167"/>
  <c r="G336" i="167" l="1"/>
  <c r="H120" i="167"/>
  <c r="H139" i="167"/>
  <c r="I120" i="167" l="1"/>
  <c r="G120" i="167" s="1"/>
  <c r="I139" i="167"/>
  <c r="G139" i="167" s="1"/>
  <c r="G82" i="167"/>
  <c r="G79" i="167"/>
  <c r="G70" i="167"/>
  <c r="G66" i="167"/>
  <c r="G22" i="167" l="1"/>
  <c r="G373" i="167" l="1"/>
  <c r="O417" i="165" l="1"/>
  <c r="N417" i="165"/>
  <c r="M417" i="165"/>
  <c r="L417" i="165"/>
  <c r="K417" i="165"/>
  <c r="I417" i="165"/>
  <c r="H417" i="165"/>
  <c r="G417" i="165"/>
  <c r="F417" i="165"/>
  <c r="E418" i="165"/>
  <c r="E95" i="170" l="1"/>
  <c r="E417" i="165"/>
  <c r="H374" i="167"/>
  <c r="J418" i="165"/>
  <c r="I374" i="167" s="1"/>
  <c r="I369" i="167" l="1"/>
  <c r="E111" i="170"/>
  <c r="J417" i="165"/>
  <c r="D122" i="170" s="1"/>
  <c r="E122" i="170" s="1"/>
  <c r="P418" i="165"/>
  <c r="D21" i="108"/>
  <c r="D24" i="108" s="1"/>
  <c r="G374" i="167" l="1"/>
  <c r="P417" i="165"/>
  <c r="E110" i="170"/>
  <c r="J319" i="167"/>
  <c r="G349" i="167"/>
  <c r="H319" i="167" l="1"/>
  <c r="I319" i="167" l="1"/>
  <c r="G319" i="167" s="1"/>
  <c r="J110" i="167" l="1"/>
  <c r="H110" i="167" l="1"/>
  <c r="I110" i="167" l="1"/>
  <c r="G110" i="167" s="1"/>
  <c r="J265" i="167"/>
  <c r="O299" i="165"/>
  <c r="J299" i="165" s="1"/>
  <c r="J298" i="165" s="1"/>
  <c r="J296" i="165" s="1"/>
  <c r="E299" i="165"/>
  <c r="H265" i="167" s="1"/>
  <c r="N298" i="165"/>
  <c r="N296" i="165" s="1"/>
  <c r="M298" i="165"/>
  <c r="M296" i="165" s="1"/>
  <c r="L298" i="165"/>
  <c r="L296" i="165" s="1"/>
  <c r="K298" i="165"/>
  <c r="K296" i="165" s="1"/>
  <c r="I298" i="165"/>
  <c r="I296" i="165" s="1"/>
  <c r="H298" i="165"/>
  <c r="H296" i="165" s="1"/>
  <c r="G298" i="165"/>
  <c r="G296" i="165" s="1"/>
  <c r="F298" i="165"/>
  <c r="F296" i="165" s="1"/>
  <c r="D33" i="108"/>
  <c r="G295" i="165" l="1"/>
  <c r="G295" i="200" s="1"/>
  <c r="G269" i="200" s="1"/>
  <c r="G268" i="200" s="1"/>
  <c r="G296" i="200"/>
  <c r="J295" i="165"/>
  <c r="J295" i="200" s="1"/>
  <c r="J296" i="200"/>
  <c r="H295" i="165"/>
  <c r="H295" i="200" s="1"/>
  <c r="H269" i="200" s="1"/>
  <c r="H268" i="200" s="1"/>
  <c r="H296" i="200"/>
  <c r="M295" i="165"/>
  <c r="M295" i="200" s="1"/>
  <c r="M269" i="200" s="1"/>
  <c r="M268" i="200" s="1"/>
  <c r="M296" i="200"/>
  <c r="F295" i="165"/>
  <c r="F295" i="200" s="1"/>
  <c r="F269" i="200" s="1"/>
  <c r="F268" i="200" s="1"/>
  <c r="F296" i="200"/>
  <c r="K295" i="165"/>
  <c r="K295" i="200" s="1"/>
  <c r="K269" i="200" s="1"/>
  <c r="K268" i="200" s="1"/>
  <c r="K296" i="200"/>
  <c r="L295" i="165"/>
  <c r="L295" i="200" s="1"/>
  <c r="L269" i="200" s="1"/>
  <c r="L296" i="200"/>
  <c r="I295" i="165"/>
  <c r="I295" i="200" s="1"/>
  <c r="I269" i="200" s="1"/>
  <c r="I268" i="200" s="1"/>
  <c r="I296" i="200"/>
  <c r="N295" i="165"/>
  <c r="N295" i="200" s="1"/>
  <c r="N269" i="200" s="1"/>
  <c r="N268" i="200" s="1"/>
  <c r="N296" i="200"/>
  <c r="I265" i="167"/>
  <c r="G265" i="167" s="1"/>
  <c r="P299" i="165"/>
  <c r="P298" i="165" s="1"/>
  <c r="P296" i="165" s="1"/>
  <c r="E298" i="165"/>
  <c r="E296" i="165" s="1"/>
  <c r="O298" i="165"/>
  <c r="O296" i="165" s="1"/>
  <c r="O295" i="165" l="1"/>
  <c r="O295" i="200" s="1"/>
  <c r="O269" i="200" s="1"/>
  <c r="O268" i="200" s="1"/>
  <c r="O296" i="200"/>
  <c r="P295" i="165"/>
  <c r="P295" i="200" s="1"/>
  <c r="P296" i="200"/>
  <c r="E295" i="165"/>
  <c r="E295" i="200" s="1"/>
  <c r="E269" i="200" s="1"/>
  <c r="E296" i="200"/>
  <c r="L268" i="200"/>
  <c r="J269" i="200"/>
  <c r="J268" i="200" s="1"/>
  <c r="I269" i="165"/>
  <c r="H269" i="165"/>
  <c r="K269" i="165"/>
  <c r="L269" i="165"/>
  <c r="F269" i="165"/>
  <c r="G269" i="165"/>
  <c r="N269" i="165"/>
  <c r="M269" i="165"/>
  <c r="G26" i="167"/>
  <c r="P269" i="200" l="1"/>
  <c r="E268" i="200"/>
  <c r="O269" i="165"/>
  <c r="J269" i="165" s="1"/>
  <c r="E269" i="165"/>
  <c r="M45" i="167"/>
  <c r="P268" i="200" l="1"/>
  <c r="Q269" i="200"/>
  <c r="G45" i="167"/>
  <c r="J36" i="184"/>
  <c r="J57" i="184" l="1"/>
  <c r="J114" i="167" l="1"/>
  <c r="N109" i="165"/>
  <c r="N106" i="165" s="1"/>
  <c r="N106" i="200" s="1"/>
  <c r="N50" i="200" s="1"/>
  <c r="M109" i="165"/>
  <c r="M106" i="165" s="1"/>
  <c r="M106" i="200" s="1"/>
  <c r="M50" i="200" s="1"/>
  <c r="L109" i="165"/>
  <c r="L106" i="165" s="1"/>
  <c r="L106" i="200" s="1"/>
  <c r="L50" i="200" s="1"/>
  <c r="K109" i="165"/>
  <c r="K106" i="165" s="1"/>
  <c r="K106" i="200" s="1"/>
  <c r="K50" i="200" s="1"/>
  <c r="I109" i="165"/>
  <c r="I106" i="165" s="1"/>
  <c r="I106" i="200" s="1"/>
  <c r="I50" i="200" s="1"/>
  <c r="H109" i="165"/>
  <c r="H106" i="165" s="1"/>
  <c r="H106" i="200" s="1"/>
  <c r="H50" i="200" s="1"/>
  <c r="G109" i="165"/>
  <c r="G106" i="165" s="1"/>
  <c r="G106" i="200" s="1"/>
  <c r="G50" i="200" s="1"/>
  <c r="F109" i="165"/>
  <c r="F106" i="165" s="1"/>
  <c r="F106" i="200" s="1"/>
  <c r="F50" i="200" s="1"/>
  <c r="O110" i="165"/>
  <c r="E110" i="165"/>
  <c r="L49" i="200" l="1"/>
  <c r="I49" i="200"/>
  <c r="N49" i="200"/>
  <c r="G49" i="200"/>
  <c r="H49" i="200"/>
  <c r="M49" i="200"/>
  <c r="F49" i="200"/>
  <c r="K49" i="200"/>
  <c r="E109" i="165"/>
  <c r="E106" i="165" s="1"/>
  <c r="E106" i="200" s="1"/>
  <c r="E50" i="200" s="1"/>
  <c r="O109" i="165"/>
  <c r="O106" i="165" s="1"/>
  <c r="O106" i="200" s="1"/>
  <c r="O50" i="200" s="1"/>
  <c r="H114" i="167"/>
  <c r="J110" i="165"/>
  <c r="O49" i="200" l="1"/>
  <c r="E49" i="200"/>
  <c r="J50" i="200"/>
  <c r="P50" i="200" s="1"/>
  <c r="J109" i="165"/>
  <c r="J106" i="165" s="1"/>
  <c r="J106" i="200" s="1"/>
  <c r="I114" i="167"/>
  <c r="G114" i="167" s="1"/>
  <c r="P110" i="165"/>
  <c r="P49" i="200" l="1"/>
  <c r="Q50" i="200"/>
  <c r="J49" i="200"/>
  <c r="P109" i="165"/>
  <c r="P106" i="165" s="1"/>
  <c r="P106" i="200" s="1"/>
  <c r="H350" i="167" l="1"/>
  <c r="D30" i="170"/>
  <c r="C119" i="188"/>
  <c r="C119" i="201" s="1"/>
  <c r="I350" i="167" l="1"/>
  <c r="G350" i="167" s="1"/>
  <c r="J105" i="184"/>
  <c r="J115" i="184"/>
  <c r="J106" i="184"/>
  <c r="J73" i="184"/>
  <c r="G54" i="167" l="1"/>
  <c r="G341" i="167"/>
  <c r="H164" i="167" l="1"/>
  <c r="G43" i="167"/>
  <c r="L41" i="167" l="1"/>
  <c r="I164" i="167"/>
  <c r="G164" i="167" s="1"/>
  <c r="D37" i="188" l="1"/>
  <c r="D37" i="201" s="1"/>
  <c r="C39" i="188"/>
  <c r="C39" i="201" s="1"/>
  <c r="D56" i="172" l="1"/>
  <c r="G379" i="167" l="1"/>
  <c r="J175" i="167" l="1"/>
  <c r="J137" i="167"/>
  <c r="H175" i="167" l="1"/>
  <c r="H137" i="167"/>
  <c r="I137" i="167" l="1"/>
  <c r="G137" i="167" s="1"/>
  <c r="I175" i="167"/>
  <c r="G175" i="167" s="1"/>
  <c r="H201" i="167" l="1"/>
  <c r="I201" i="167" l="1"/>
  <c r="G201" i="167" s="1"/>
  <c r="G331" i="167"/>
  <c r="G330" i="167"/>
  <c r="G327" i="167"/>
  <c r="N356" i="165" l="1"/>
  <c r="M356" i="165"/>
  <c r="L356" i="165"/>
  <c r="K356" i="165"/>
  <c r="I356" i="165"/>
  <c r="H356" i="165"/>
  <c r="G356" i="165"/>
  <c r="F356" i="165"/>
  <c r="O359" i="165"/>
  <c r="E359" i="165"/>
  <c r="J359" i="165" l="1"/>
  <c r="P359" i="165" s="1"/>
  <c r="G307" i="167"/>
  <c r="K43" i="184" l="1"/>
  <c r="K45" i="167" l="1"/>
  <c r="L45" i="167" l="1"/>
  <c r="G44" i="167"/>
  <c r="F56" i="172" l="1"/>
  <c r="G240" i="167" l="1"/>
  <c r="I78" i="184" l="1"/>
  <c r="K78" i="184" l="1"/>
  <c r="C53" i="188" l="1"/>
  <c r="C53" i="201" s="1"/>
  <c r="D52" i="188"/>
  <c r="D52" i="201" s="1"/>
  <c r="C52" i="188" l="1"/>
  <c r="C52" i="201" s="1"/>
  <c r="D41" i="188"/>
  <c r="D41" i="201" s="1"/>
  <c r="E111" i="188"/>
  <c r="D103" i="188"/>
  <c r="D103" i="201" s="1"/>
  <c r="E61" i="188" l="1"/>
  <c r="E61" i="201" s="1"/>
  <c r="E15" i="201" s="1"/>
  <c r="H56" i="184" l="1"/>
  <c r="G363" i="167"/>
  <c r="M365" i="167"/>
  <c r="C47" i="172"/>
  <c r="C48" i="172"/>
  <c r="F13" i="107" l="1"/>
  <c r="H13" i="107"/>
  <c r="J13" i="107"/>
  <c r="K13" i="107"/>
  <c r="L13" i="107"/>
  <c r="J65" i="184" l="1"/>
  <c r="I65" i="184"/>
  <c r="H65" i="184"/>
  <c r="K69" i="184"/>
  <c r="G20" i="167" l="1"/>
  <c r="O357" i="165" l="1"/>
  <c r="K76" i="184"/>
  <c r="K77" i="184"/>
  <c r="K105" i="184"/>
  <c r="K106" i="184"/>
  <c r="K115" i="184"/>
  <c r="I83" i="184"/>
  <c r="J357" i="165" l="1"/>
  <c r="O356" i="165"/>
  <c r="G282" i="167"/>
  <c r="K73" i="184"/>
  <c r="K83" i="184"/>
  <c r="H55" i="184"/>
  <c r="I57" i="184"/>
  <c r="K57" i="184" s="1"/>
  <c r="I70" i="184"/>
  <c r="H70" i="184"/>
  <c r="H59" i="184"/>
  <c r="H37" i="184"/>
  <c r="H19" i="184"/>
  <c r="J356" i="165" l="1"/>
  <c r="I56" i="184"/>
  <c r="J75" i="167" l="1"/>
  <c r="J19" i="184" l="1"/>
  <c r="I36" i="184"/>
  <c r="K36" i="184" s="1"/>
  <c r="I19" i="184" l="1"/>
  <c r="I75" i="167" l="1"/>
  <c r="H75" i="167"/>
  <c r="G75" i="167" l="1"/>
  <c r="H120" i="184"/>
  <c r="I37" i="184" l="1"/>
  <c r="J233" i="167" l="1"/>
  <c r="O267" i="165"/>
  <c r="J267" i="165" s="1"/>
  <c r="E115" i="170" s="1"/>
  <c r="E267" i="165"/>
  <c r="N266" i="165"/>
  <c r="N265" i="165" s="1"/>
  <c r="M266" i="165"/>
  <c r="M265" i="165" s="1"/>
  <c r="L266" i="165"/>
  <c r="L265" i="165" s="1"/>
  <c r="K266" i="165"/>
  <c r="K265" i="165" s="1"/>
  <c r="I266" i="165"/>
  <c r="I265" i="165" s="1"/>
  <c r="H266" i="165"/>
  <c r="H265" i="165" s="1"/>
  <c r="G266" i="165"/>
  <c r="G265" i="165" s="1"/>
  <c r="F266" i="165"/>
  <c r="F265" i="165" s="1"/>
  <c r="E89" i="170" l="1"/>
  <c r="E266" i="165"/>
  <c r="E265" i="165" s="1"/>
  <c r="E99" i="170"/>
  <c r="H233" i="167"/>
  <c r="I233" i="167"/>
  <c r="O266" i="165"/>
  <c r="O265" i="165" s="1"/>
  <c r="J266" i="165"/>
  <c r="J265" i="165" s="1"/>
  <c r="P267" i="165"/>
  <c r="P266" i="165" s="1"/>
  <c r="P265" i="165" s="1"/>
  <c r="G233" i="167" l="1"/>
  <c r="J37" i="184"/>
  <c r="D121" i="188"/>
  <c r="D121" i="201" s="1"/>
  <c r="D73" i="170" l="1"/>
  <c r="J229" i="167" l="1"/>
  <c r="J56" i="184"/>
  <c r="H229" i="167" l="1"/>
  <c r="H348" i="167" l="1"/>
  <c r="K348" i="167" s="1"/>
  <c r="I229" i="167"/>
  <c r="G229" i="167" s="1"/>
  <c r="L348" i="167" l="1"/>
  <c r="G346" i="167"/>
  <c r="G348" i="167" l="1"/>
  <c r="G18" i="167"/>
  <c r="J112" i="167"/>
  <c r="H112" i="167" l="1"/>
  <c r="I112" i="167"/>
  <c r="F149" i="188"/>
  <c r="F149" i="201" s="1"/>
  <c r="C155" i="188"/>
  <c r="C155" i="201" s="1"/>
  <c r="C154" i="188"/>
  <c r="C154" i="201" s="1"/>
  <c r="D84" i="188"/>
  <c r="D84" i="201" s="1"/>
  <c r="F133" i="188" l="1"/>
  <c r="F133" i="201" s="1"/>
  <c r="G112" i="167"/>
  <c r="D57" i="188"/>
  <c r="D57" i="201" s="1"/>
  <c r="E149" i="188"/>
  <c r="E149" i="201" s="1"/>
  <c r="E133" i="188" l="1"/>
  <c r="E133" i="201" s="1"/>
  <c r="D65" i="170"/>
  <c r="D76" i="170" s="1"/>
  <c r="J186" i="167" l="1"/>
  <c r="O203" i="165"/>
  <c r="O201" i="165" s="1"/>
  <c r="E203" i="165"/>
  <c r="E201" i="165" s="1"/>
  <c r="E200" i="165" l="1"/>
  <c r="E200" i="200" s="1"/>
  <c r="E149" i="200" s="1"/>
  <c r="E201" i="200"/>
  <c r="O200" i="165"/>
  <c r="O200" i="200" s="1"/>
  <c r="O149" i="200" s="1"/>
  <c r="O201" i="200"/>
  <c r="J203" i="165"/>
  <c r="J201" i="165" s="1"/>
  <c r="H186" i="167"/>
  <c r="J149" i="200" l="1"/>
  <c r="O148" i="200"/>
  <c r="J200" i="165"/>
  <c r="J200" i="200" s="1"/>
  <c r="J201" i="200"/>
  <c r="E148" i="200"/>
  <c r="P149" i="200"/>
  <c r="I186" i="167"/>
  <c r="G186" i="167" s="1"/>
  <c r="P203" i="165"/>
  <c r="P201" i="165" s="1"/>
  <c r="Q149" i="200" l="1"/>
  <c r="P148" i="200"/>
  <c r="P200" i="165"/>
  <c r="P200" i="200" s="1"/>
  <c r="P201" i="200"/>
  <c r="J148" i="200"/>
  <c r="J138" i="167"/>
  <c r="H138" i="167" l="1"/>
  <c r="I138" i="167" l="1"/>
  <c r="G138" i="167" s="1"/>
  <c r="J97" i="167" l="1"/>
  <c r="C148" i="188"/>
  <c r="C148" i="201" s="1"/>
  <c r="C139" i="188"/>
  <c r="C138" i="188"/>
  <c r="C137" i="188"/>
  <c r="C136" i="188"/>
  <c r="C140" i="188"/>
  <c r="C140" i="201" s="1"/>
  <c r="F121" i="188"/>
  <c r="F121" i="201" s="1"/>
  <c r="E121" i="188"/>
  <c r="E121" i="201" s="1"/>
  <c r="C126" i="188"/>
  <c r="C126" i="201" s="1"/>
  <c r="C124" i="188"/>
  <c r="C124" i="201" s="1"/>
  <c r="E120" i="188" l="1"/>
  <c r="E120" i="201" s="1"/>
  <c r="E114" i="201" s="1"/>
  <c r="H97" i="167"/>
  <c r="C150" i="188"/>
  <c r="C150" i="201" s="1"/>
  <c r="C93" i="188"/>
  <c r="C93" i="201" s="1"/>
  <c r="C20" i="188"/>
  <c r="C20" i="201" s="1"/>
  <c r="C19" i="188"/>
  <c r="C19" i="201" s="1"/>
  <c r="I97" i="167" l="1"/>
  <c r="G97" i="167" s="1"/>
  <c r="C118" i="188"/>
  <c r="C118" i="201" s="1"/>
  <c r="C143" i="188"/>
  <c r="C143" i="201" s="1"/>
  <c r="C149" i="188"/>
  <c r="C149" i="201" s="1"/>
  <c r="F102" i="188"/>
  <c r="F102" i="201" s="1"/>
  <c r="E102" i="188"/>
  <c r="E102" i="201" s="1"/>
  <c r="C112" i="188"/>
  <c r="C112" i="201" s="1"/>
  <c r="C122" i="188"/>
  <c r="C122" i="201" s="1"/>
  <c r="C125" i="188"/>
  <c r="C125" i="201" s="1"/>
  <c r="C128" i="188"/>
  <c r="C128" i="201" s="1"/>
  <c r="C129" i="188"/>
  <c r="C129" i="201" s="1"/>
  <c r="C132" i="188"/>
  <c r="C132" i="201" s="1"/>
  <c r="C144" i="188"/>
  <c r="C144" i="201" s="1"/>
  <c r="C146" i="188"/>
  <c r="C146" i="201" s="1"/>
  <c r="C147" i="188"/>
  <c r="C147" i="201" s="1"/>
  <c r="C151" i="188"/>
  <c r="C151" i="201" s="1"/>
  <c r="C152" i="188"/>
  <c r="C152" i="201" s="1"/>
  <c r="C153" i="188"/>
  <c r="C153" i="201" s="1"/>
  <c r="C109" i="188"/>
  <c r="C109" i="201" s="1"/>
  <c r="C97" i="188"/>
  <c r="C97" i="201" s="1"/>
  <c r="C98" i="188"/>
  <c r="C98" i="201" s="1"/>
  <c r="C99" i="188"/>
  <c r="C99" i="201" s="1"/>
  <c r="C100" i="188"/>
  <c r="C100" i="201" s="1"/>
  <c r="E96" i="188"/>
  <c r="E96" i="201" s="1"/>
  <c r="D90" i="188"/>
  <c r="D90" i="201" s="1"/>
  <c r="F90" i="188"/>
  <c r="F90" i="201" s="1"/>
  <c r="F66" i="201" s="1"/>
  <c r="E90" i="188"/>
  <c r="E90" i="201" s="1"/>
  <c r="C78" i="188"/>
  <c r="C78" i="201" s="1"/>
  <c r="D68" i="188"/>
  <c r="D68" i="201" s="1"/>
  <c r="F15" i="188"/>
  <c r="C65" i="188"/>
  <c r="C65" i="201" s="1"/>
  <c r="C64" i="188"/>
  <c r="C64" i="201" s="1"/>
  <c r="C63" i="188"/>
  <c r="C63" i="201" s="1"/>
  <c r="E62" i="188"/>
  <c r="E62" i="201" s="1"/>
  <c r="C57" i="188"/>
  <c r="C57" i="201" s="1"/>
  <c r="D54" i="188"/>
  <c r="D54" i="201" s="1"/>
  <c r="C41" i="188"/>
  <c r="C41" i="201" s="1"/>
  <c r="C56" i="188"/>
  <c r="C56" i="201" s="1"/>
  <c r="C55" i="188"/>
  <c r="C55" i="201" s="1"/>
  <c r="D30" i="188"/>
  <c r="D30" i="201" s="1"/>
  <c r="D24" i="188"/>
  <c r="D24" i="201" s="1"/>
  <c r="C25" i="188"/>
  <c r="C25" i="201" s="1"/>
  <c r="F66" i="188" l="1"/>
  <c r="C24" i="188"/>
  <c r="C24" i="201" s="1"/>
  <c r="D16" i="188"/>
  <c r="D16" i="201" s="1"/>
  <c r="D40" i="188"/>
  <c r="D40" i="201" s="1"/>
  <c r="F120" i="188"/>
  <c r="F120" i="201" s="1"/>
  <c r="F114" i="201" s="1"/>
  <c r="C103" i="188"/>
  <c r="C103" i="201" s="1"/>
  <c r="C30" i="188"/>
  <c r="C30" i="201" s="1"/>
  <c r="E95" i="188"/>
  <c r="E95" i="201" s="1"/>
  <c r="E66" i="201" s="1"/>
  <c r="C107" i="188"/>
  <c r="C107" i="201" s="1"/>
  <c r="D67" i="188"/>
  <c r="D67" i="201" s="1"/>
  <c r="D26" i="188"/>
  <c r="D26" i="201" s="1"/>
  <c r="D102" i="188"/>
  <c r="D102" i="201" s="1"/>
  <c r="D101" i="201" s="1"/>
  <c r="C27" i="188"/>
  <c r="C27" i="201" s="1"/>
  <c r="C111" i="188"/>
  <c r="C17" i="188"/>
  <c r="C17" i="201" s="1"/>
  <c r="C96" i="188"/>
  <c r="C96" i="201" s="1"/>
  <c r="C54" i="188"/>
  <c r="C54" i="201" s="1"/>
  <c r="E66" i="188" l="1"/>
  <c r="F114" i="188"/>
  <c r="C67" i="188"/>
  <c r="C67" i="201" s="1"/>
  <c r="C16" i="188"/>
  <c r="C16" i="201" s="1"/>
  <c r="D101" i="188"/>
  <c r="C102" i="188"/>
  <c r="C102" i="201" s="1"/>
  <c r="C26" i="188"/>
  <c r="C26" i="201" s="1"/>
  <c r="J207" i="167"/>
  <c r="J115" i="167"/>
  <c r="O113" i="165"/>
  <c r="E113" i="165"/>
  <c r="N112" i="165"/>
  <c r="M112" i="165"/>
  <c r="L112" i="165"/>
  <c r="K112" i="165"/>
  <c r="I112" i="165"/>
  <c r="H112" i="165"/>
  <c r="G112" i="165"/>
  <c r="F112" i="165"/>
  <c r="D53" i="170"/>
  <c r="D58" i="170" s="1"/>
  <c r="D145" i="188"/>
  <c r="D145" i="201" s="1"/>
  <c r="D133" i="188" l="1"/>
  <c r="D133" i="201" s="1"/>
  <c r="M111" i="165"/>
  <c r="N111" i="165"/>
  <c r="F111" i="165"/>
  <c r="H207" i="167"/>
  <c r="H115" i="167"/>
  <c r="I111" i="165"/>
  <c r="L111" i="165"/>
  <c r="E112" i="165"/>
  <c r="C145" i="188"/>
  <c r="C145" i="201" s="1"/>
  <c r="H111" i="165"/>
  <c r="G111" i="165"/>
  <c r="K111" i="165"/>
  <c r="J113" i="165"/>
  <c r="O112" i="165"/>
  <c r="C133" i="188" l="1"/>
  <c r="C133" i="201" s="1"/>
  <c r="D120" i="188"/>
  <c r="D120" i="201" s="1"/>
  <c r="D114" i="201" s="1"/>
  <c r="C114" i="201" s="1"/>
  <c r="E111" i="165"/>
  <c r="P113" i="165"/>
  <c r="J112" i="165"/>
  <c r="E113" i="170"/>
  <c r="I115" i="167"/>
  <c r="G115" i="167" s="1"/>
  <c r="O111" i="165"/>
  <c r="I207" i="167"/>
  <c r="G207" i="167" s="1"/>
  <c r="D114" i="188" l="1"/>
  <c r="P112" i="165"/>
  <c r="P111" i="165" s="1"/>
  <c r="J111" i="165"/>
  <c r="C108" i="188" l="1"/>
  <c r="C108" i="201" s="1"/>
  <c r="E106" i="188"/>
  <c r="E106" i="201" s="1"/>
  <c r="E101" i="201" s="1"/>
  <c r="C105" i="188"/>
  <c r="C105" i="201" s="1"/>
  <c r="C104" i="188"/>
  <c r="C104" i="201" s="1"/>
  <c r="D95" i="188"/>
  <c r="D95" i="201" s="1"/>
  <c r="C94" i="188"/>
  <c r="C94" i="201" s="1"/>
  <c r="C92" i="188"/>
  <c r="C92" i="201" s="1"/>
  <c r="C91" i="188"/>
  <c r="C91" i="201" s="1"/>
  <c r="C90" i="188"/>
  <c r="C90" i="201" s="1"/>
  <c r="C88" i="188"/>
  <c r="C88" i="201" s="1"/>
  <c r="C87" i="188"/>
  <c r="C87" i="201" s="1"/>
  <c r="D86" i="188"/>
  <c r="C85" i="188"/>
  <c r="C85" i="201" s="1"/>
  <c r="C84" i="188"/>
  <c r="C84" i="201" s="1"/>
  <c r="C81" i="188"/>
  <c r="C81" i="201" s="1"/>
  <c r="C80" i="188"/>
  <c r="C80" i="201" s="1"/>
  <c r="C79" i="188"/>
  <c r="C79" i="201" s="1"/>
  <c r="C74" i="188"/>
  <c r="C74" i="201" s="1"/>
  <c r="C73" i="188"/>
  <c r="C73" i="201" s="1"/>
  <c r="C72" i="188"/>
  <c r="C72" i="201" s="1"/>
  <c r="C70" i="188"/>
  <c r="C70" i="201" s="1"/>
  <c r="C69" i="188"/>
  <c r="C69" i="201" s="1"/>
  <c r="C68" i="188"/>
  <c r="C68" i="201" s="1"/>
  <c r="D62" i="188"/>
  <c r="D62" i="201" s="1"/>
  <c r="C61" i="188"/>
  <c r="C61" i="201" s="1"/>
  <c r="C60" i="188"/>
  <c r="C60" i="201" s="1"/>
  <c r="C59" i="188"/>
  <c r="C59" i="201" s="1"/>
  <c r="C58" i="188"/>
  <c r="C58" i="201" s="1"/>
  <c r="C51" i="188"/>
  <c r="C51" i="201" s="1"/>
  <c r="C50" i="188"/>
  <c r="C50" i="201" s="1"/>
  <c r="C49" i="188"/>
  <c r="C49" i="201" s="1"/>
  <c r="C48" i="188"/>
  <c r="C48" i="201" s="1"/>
  <c r="C47" i="188"/>
  <c r="C47" i="201" s="1"/>
  <c r="C46" i="188"/>
  <c r="C46" i="201" s="1"/>
  <c r="C45" i="188"/>
  <c r="C45" i="201" s="1"/>
  <c r="C44" i="188"/>
  <c r="C44" i="201" s="1"/>
  <c r="C43" i="188"/>
  <c r="C43" i="201" s="1"/>
  <c r="C42" i="188"/>
  <c r="C42" i="201" s="1"/>
  <c r="C38" i="188"/>
  <c r="C38" i="201" s="1"/>
  <c r="C36" i="188"/>
  <c r="C36" i="201" s="1"/>
  <c r="D35" i="188"/>
  <c r="D35" i="201" s="1"/>
  <c r="C34" i="188"/>
  <c r="C34" i="201" s="1"/>
  <c r="D33" i="188"/>
  <c r="D33" i="201" s="1"/>
  <c r="C31" i="188"/>
  <c r="C31" i="201" s="1"/>
  <c r="C29" i="188"/>
  <c r="C29" i="201" s="1"/>
  <c r="C21" i="188"/>
  <c r="C21" i="201" s="1"/>
  <c r="D77" i="188" l="1"/>
  <c r="D77" i="201" s="1"/>
  <c r="D66" i="201" s="1"/>
  <c r="D86" i="201"/>
  <c r="E113" i="201"/>
  <c r="E160" i="201" s="1"/>
  <c r="I160" i="201" s="1"/>
  <c r="C101" i="201"/>
  <c r="E101" i="188"/>
  <c r="C101" i="188" s="1"/>
  <c r="C37" i="188"/>
  <c r="C37" i="201" s="1"/>
  <c r="D32" i="188"/>
  <c r="D32" i="201" s="1"/>
  <c r="D15" i="201" s="1"/>
  <c r="C15" i="201" s="1"/>
  <c r="C95" i="188"/>
  <c r="C95" i="201" s="1"/>
  <c r="C35" i="188"/>
  <c r="C35" i="201" s="1"/>
  <c r="E15" i="188"/>
  <c r="C62" i="188"/>
  <c r="C62" i="201" s="1"/>
  <c r="F106" i="188"/>
  <c r="F106" i="201" s="1"/>
  <c r="F101" i="201" s="1"/>
  <c r="F113" i="201" s="1"/>
  <c r="F160" i="201" s="1"/>
  <c r="J160" i="201" s="1"/>
  <c r="C33" i="188"/>
  <c r="C33" i="201" s="1"/>
  <c r="C86" i="188"/>
  <c r="C86" i="201" s="1"/>
  <c r="C121" i="188"/>
  <c r="C121" i="201" s="1"/>
  <c r="C106" i="188"/>
  <c r="C106" i="201" s="1"/>
  <c r="C66" i="201" l="1"/>
  <c r="D113" i="201"/>
  <c r="F101" i="188"/>
  <c r="D66" i="188"/>
  <c r="E114" i="188"/>
  <c r="C114" i="188" s="1"/>
  <c r="D15" i="188"/>
  <c r="C15" i="188" s="1"/>
  <c r="C32" i="188"/>
  <c r="C32" i="201" s="1"/>
  <c r="E113" i="188"/>
  <c r="C77" i="188"/>
  <c r="C77" i="201" s="1"/>
  <c r="C120" i="188"/>
  <c r="C120" i="201" s="1"/>
  <c r="C40" i="188"/>
  <c r="C40" i="201" s="1"/>
  <c r="D160" i="201" l="1"/>
  <c r="C113" i="201"/>
  <c r="E160" i="188"/>
  <c r="I160" i="188" s="1"/>
  <c r="F113" i="188"/>
  <c r="D113" i="188"/>
  <c r="D160" i="188" s="1"/>
  <c r="H160" i="188" s="1"/>
  <c r="C66" i="188"/>
  <c r="H160" i="201" l="1"/>
  <c r="C160" i="201"/>
  <c r="G160" i="201" s="1"/>
  <c r="C160" i="188"/>
  <c r="F160" i="188"/>
  <c r="J160" i="188" s="1"/>
  <c r="C113" i="188"/>
  <c r="C45" i="172"/>
  <c r="C44" i="172" s="1"/>
  <c r="F44" i="172"/>
  <c r="E44" i="172"/>
  <c r="D44" i="172"/>
  <c r="D43" i="172" s="1"/>
  <c r="C19" i="172"/>
  <c r="C18" i="172"/>
  <c r="F17" i="172"/>
  <c r="E17" i="172"/>
  <c r="E16" i="172" s="1"/>
  <c r="D17" i="172"/>
  <c r="G55" i="167"/>
  <c r="G160" i="188" l="1"/>
  <c r="J343" i="167"/>
  <c r="M343" i="167" s="1"/>
  <c r="J345" i="167"/>
  <c r="G356" i="167"/>
  <c r="K343" i="167" l="1"/>
  <c r="J340" i="167"/>
  <c r="K356" i="167" l="1"/>
  <c r="G166" i="167"/>
  <c r="I343" i="167"/>
  <c r="L343" i="167" s="1"/>
  <c r="L356" i="167" l="1"/>
  <c r="G343" i="167"/>
  <c r="J73" i="167" l="1"/>
  <c r="J64" i="167" l="1"/>
  <c r="M64" i="167" s="1"/>
  <c r="J96" i="167"/>
  <c r="H73" i="167"/>
  <c r="H96" i="167"/>
  <c r="I73" i="167" l="1"/>
  <c r="G73" i="167" s="1"/>
  <c r="I96" i="167" l="1"/>
  <c r="G96" i="167" s="1"/>
  <c r="J329" i="167"/>
  <c r="E357" i="165"/>
  <c r="E356" i="165" l="1"/>
  <c r="H355" i="165"/>
  <c r="H351" i="165" s="1"/>
  <c r="H351" i="200" s="1"/>
  <c r="H335" i="200" s="1"/>
  <c r="N355" i="165"/>
  <c r="N351" i="165" s="1"/>
  <c r="N351" i="200" s="1"/>
  <c r="N335" i="200" s="1"/>
  <c r="I355" i="165"/>
  <c r="I351" i="165" s="1"/>
  <c r="I351" i="200" s="1"/>
  <c r="I335" i="200" s="1"/>
  <c r="G355" i="165"/>
  <c r="G351" i="165" s="1"/>
  <c r="G351" i="200" s="1"/>
  <c r="G335" i="200" s="1"/>
  <c r="M355" i="165"/>
  <c r="M351" i="165" s="1"/>
  <c r="M351" i="200" s="1"/>
  <c r="M335" i="200" s="1"/>
  <c r="L355" i="165"/>
  <c r="L351" i="165" s="1"/>
  <c r="L351" i="200" s="1"/>
  <c r="L335" i="200" s="1"/>
  <c r="H329" i="167"/>
  <c r="F355" i="165"/>
  <c r="F351" i="165" s="1"/>
  <c r="F351" i="200" s="1"/>
  <c r="F335" i="200" s="1"/>
  <c r="K355" i="165"/>
  <c r="K351" i="165" s="1"/>
  <c r="K351" i="200" s="1"/>
  <c r="K335" i="200" s="1"/>
  <c r="I334" i="200" l="1"/>
  <c r="I446" i="200"/>
  <c r="I457" i="200" s="1"/>
  <c r="L334" i="200"/>
  <c r="L446" i="200"/>
  <c r="L457" i="200" s="1"/>
  <c r="N334" i="200"/>
  <c r="N446" i="200"/>
  <c r="N457" i="200" s="1"/>
  <c r="K334" i="200"/>
  <c r="K446" i="200"/>
  <c r="M334" i="200"/>
  <c r="M446" i="200"/>
  <c r="M457" i="200" s="1"/>
  <c r="H334" i="200"/>
  <c r="H446" i="200"/>
  <c r="F334" i="200"/>
  <c r="F446" i="200"/>
  <c r="F457" i="200" s="1"/>
  <c r="G334" i="200"/>
  <c r="G446" i="200"/>
  <c r="O355" i="165"/>
  <c r="O351" i="165" s="1"/>
  <c r="O351" i="200" s="1"/>
  <c r="O335" i="200" s="1"/>
  <c r="O334" i="200" s="1"/>
  <c r="E355" i="165"/>
  <c r="E351" i="165" s="1"/>
  <c r="E351" i="200" s="1"/>
  <c r="E335" i="200" s="1"/>
  <c r="I329" i="167"/>
  <c r="G329" i="167" s="1"/>
  <c r="P357" i="165"/>
  <c r="G457" i="200" l="1"/>
  <c r="G459" i="200"/>
  <c r="H457" i="200"/>
  <c r="H459" i="200"/>
  <c r="E334" i="200"/>
  <c r="P356" i="165"/>
  <c r="J355" i="165"/>
  <c r="J351" i="165" s="1"/>
  <c r="J351" i="200" s="1"/>
  <c r="J335" i="200" s="1"/>
  <c r="J334" i="200" s="1"/>
  <c r="P335" i="200" l="1"/>
  <c r="P355" i="165"/>
  <c r="P351" i="165" s="1"/>
  <c r="P351" i="200" s="1"/>
  <c r="H383" i="167"/>
  <c r="G383" i="167" s="1"/>
  <c r="Q335" i="200" l="1"/>
  <c r="P334" i="200"/>
  <c r="J91" i="167"/>
  <c r="J34" i="167"/>
  <c r="M34" i="167" s="1"/>
  <c r="I34" i="167" l="1"/>
  <c r="L34" i="167" s="1"/>
  <c r="H91" i="167"/>
  <c r="H34" i="167"/>
  <c r="I91" i="167" l="1"/>
  <c r="G91" i="167" s="1"/>
  <c r="K34" i="167"/>
  <c r="G34" i="167"/>
  <c r="D58" i="172" l="1"/>
  <c r="E59" i="172"/>
  <c r="E58" i="172" s="1"/>
  <c r="F58" i="172" s="1"/>
  <c r="E29" i="172"/>
  <c r="E28" i="172" s="1"/>
  <c r="D28" i="172"/>
  <c r="C56" i="172"/>
  <c r="C26" i="172"/>
  <c r="F39" i="172"/>
  <c r="E39" i="172"/>
  <c r="D39" i="172"/>
  <c r="D38" i="172" s="1"/>
  <c r="D32" i="172"/>
  <c r="D31" i="172" s="1"/>
  <c r="F16" i="172"/>
  <c r="D37" i="172" l="1"/>
  <c r="F59" i="172"/>
  <c r="C29" i="172"/>
  <c r="F29" i="172"/>
  <c r="F28" i="172" s="1"/>
  <c r="C58" i="172"/>
  <c r="C59" i="172"/>
  <c r="C28" i="172"/>
  <c r="C17" i="172"/>
  <c r="D16" i="172"/>
  <c r="C16" i="172" l="1"/>
  <c r="C40" i="172" l="1"/>
  <c r="C39" i="172" s="1"/>
  <c r="C42" i="172"/>
  <c r="F32" i="172"/>
  <c r="F31" i="172" s="1"/>
  <c r="E32" i="172"/>
  <c r="E31" i="172" s="1"/>
  <c r="I59" i="184" l="1"/>
  <c r="I55" i="184"/>
  <c r="H45" i="184" l="1"/>
  <c r="H146" i="184" s="1"/>
  <c r="L146" i="184" s="1"/>
  <c r="I45" i="184"/>
  <c r="J12" i="184"/>
  <c r="J11" i="184" s="1"/>
  <c r="J55" i="184"/>
  <c r="J45" i="184"/>
  <c r="J59" i="184" l="1"/>
  <c r="J120" i="184"/>
  <c r="J70" i="184"/>
  <c r="F38" i="172"/>
  <c r="E41" i="172"/>
  <c r="E38" i="172" s="1"/>
  <c r="C46" i="172"/>
  <c r="C43" i="172" s="1"/>
  <c r="C34" i="172"/>
  <c r="C33" i="172"/>
  <c r="J146" i="184" l="1"/>
  <c r="N146" i="184" s="1"/>
  <c r="C32" i="172"/>
  <c r="C31" i="172" s="1"/>
  <c r="C41" i="172"/>
  <c r="C38" i="172" s="1"/>
  <c r="G161" i="201" l="1"/>
  <c r="G161" i="188"/>
  <c r="G142" i="197"/>
  <c r="G144" i="108"/>
  <c r="C37" i="172"/>
  <c r="J95" i="167" l="1"/>
  <c r="H95" i="167" l="1"/>
  <c r="I95" i="167"/>
  <c r="G95" i="167" l="1"/>
  <c r="G365" i="167" l="1"/>
  <c r="G60" i="167" l="1"/>
  <c r="G53" i="167" l="1"/>
  <c r="G52" i="167"/>
  <c r="G51" i="167"/>
  <c r="G50" i="167"/>
  <c r="G364" i="167"/>
  <c r="K49" i="167" l="1"/>
  <c r="E93" i="170"/>
  <c r="L49" i="167" l="1"/>
  <c r="E109" i="170"/>
  <c r="H76" i="167" l="1"/>
  <c r="J76" i="167"/>
  <c r="G247" i="167" l="1"/>
  <c r="I76" i="167" l="1"/>
  <c r="G76" i="167" s="1"/>
  <c r="J316" i="167" l="1"/>
  <c r="H316" i="167" l="1"/>
  <c r="G147" i="167"/>
  <c r="I316" i="167" l="1"/>
  <c r="G316" i="167" l="1"/>
  <c r="J157" i="167" l="1"/>
  <c r="J149" i="167"/>
  <c r="J150" i="167"/>
  <c r="I150" i="167" l="1"/>
  <c r="H157" i="167"/>
  <c r="H150" i="167"/>
  <c r="I157" i="167" l="1"/>
  <c r="G157" i="167" s="1"/>
  <c r="G150" i="167"/>
  <c r="H260" i="167" l="1"/>
  <c r="I260" i="167" l="1"/>
  <c r="G260" i="167" s="1"/>
  <c r="J209" i="167" l="1"/>
  <c r="O227" i="165" l="1"/>
  <c r="O223" i="165" s="1"/>
  <c r="E227" i="165"/>
  <c r="E223" i="165" s="1"/>
  <c r="G196" i="167"/>
  <c r="E222" i="165" l="1"/>
  <c r="E222" i="200" s="1"/>
  <c r="E211" i="200" s="1"/>
  <c r="E223" i="200"/>
  <c r="O222" i="165"/>
  <c r="O222" i="200" s="1"/>
  <c r="O211" i="200" s="1"/>
  <c r="O223" i="200"/>
  <c r="H209" i="167"/>
  <c r="J227" i="165"/>
  <c r="J223" i="165" s="1"/>
  <c r="O210" i="200" l="1"/>
  <c r="J211" i="200"/>
  <c r="O446" i="200"/>
  <c r="J222" i="165"/>
  <c r="J222" i="200" s="1"/>
  <c r="J223" i="200"/>
  <c r="E210" i="200"/>
  <c r="P211" i="200"/>
  <c r="E446" i="200"/>
  <c r="I209" i="167"/>
  <c r="G209" i="167" s="1"/>
  <c r="P227" i="165"/>
  <c r="P223" i="165" s="1"/>
  <c r="E462" i="200" l="1"/>
  <c r="E458" i="200"/>
  <c r="F460" i="200"/>
  <c r="E460" i="200"/>
  <c r="E457" i="200"/>
  <c r="F458" i="200"/>
  <c r="Q211" i="200"/>
  <c r="P210" i="200"/>
  <c r="P446" i="200"/>
  <c r="P222" i="165"/>
  <c r="P222" i="200" s="1"/>
  <c r="P223" i="200"/>
  <c r="J210" i="200"/>
  <c r="J446" i="200"/>
  <c r="G377" i="167"/>
  <c r="D36" i="108"/>
  <c r="H143" i="108" s="1"/>
  <c r="P458" i="200" l="1"/>
  <c r="P457" i="200"/>
  <c r="Q446" i="200"/>
  <c r="P460" i="200"/>
  <c r="J40" i="167"/>
  <c r="I40" i="167" l="1"/>
  <c r="H40" i="167"/>
  <c r="J337" i="167"/>
  <c r="J333" i="167" s="1"/>
  <c r="G40" i="167" l="1"/>
  <c r="H337" i="167" l="1"/>
  <c r="I337" i="167" l="1"/>
  <c r="I333" i="167" s="1"/>
  <c r="G337" i="167" l="1"/>
  <c r="J367" i="167" l="1"/>
  <c r="J353" i="167" s="1"/>
  <c r="O408" i="165" l="1"/>
  <c r="E408" i="165"/>
  <c r="D121" i="170" s="1"/>
  <c r="N407" i="165"/>
  <c r="M407" i="165"/>
  <c r="L407" i="165"/>
  <c r="K407" i="165"/>
  <c r="I407" i="165"/>
  <c r="H407" i="165"/>
  <c r="G407" i="165"/>
  <c r="F407" i="165"/>
  <c r="E100" i="170" l="1"/>
  <c r="M406" i="165"/>
  <c r="N406" i="165"/>
  <c r="H406" i="165"/>
  <c r="I406" i="165"/>
  <c r="F406" i="165"/>
  <c r="K406" i="165"/>
  <c r="H367" i="167"/>
  <c r="H353" i="167" s="1"/>
  <c r="G406" i="165"/>
  <c r="L406" i="165"/>
  <c r="J408" i="165"/>
  <c r="O407" i="165"/>
  <c r="E407" i="165"/>
  <c r="E117" i="170" l="1"/>
  <c r="E406" i="165"/>
  <c r="J407" i="165"/>
  <c r="I367" i="167"/>
  <c r="I353" i="167" s="1"/>
  <c r="P408" i="165"/>
  <c r="O406" i="165"/>
  <c r="G367" i="167" l="1"/>
  <c r="P407" i="165"/>
  <c r="J406" i="165"/>
  <c r="P406" i="165" l="1"/>
  <c r="J168" i="167" l="1"/>
  <c r="J158" i="167"/>
  <c r="J156" i="167"/>
  <c r="G280" i="167" l="1"/>
  <c r="P16" i="107" l="1"/>
  <c r="P15" i="107" s="1"/>
  <c r="P14" i="107" s="1"/>
  <c r="L16" i="107"/>
  <c r="L15" i="107" s="1"/>
  <c r="L14" i="107" s="1"/>
  <c r="K16" i="107"/>
  <c r="K15" i="107" s="1"/>
  <c r="K14" i="107" s="1"/>
  <c r="J16" i="107"/>
  <c r="J15" i="107" s="1"/>
  <c r="J14" i="107" s="1"/>
  <c r="H16" i="107"/>
  <c r="H15" i="107" s="1"/>
  <c r="H14" i="107" s="1"/>
  <c r="F16" i="107"/>
  <c r="F15" i="107" s="1"/>
  <c r="F14" i="107" s="1"/>
  <c r="M361" i="165" l="1"/>
  <c r="G361" i="165"/>
  <c r="I361" i="165"/>
  <c r="N361" i="165"/>
  <c r="K361" i="165"/>
  <c r="L361" i="165"/>
  <c r="N229" i="165"/>
  <c r="M229" i="165"/>
  <c r="L229" i="165"/>
  <c r="K229" i="165"/>
  <c r="I229" i="165"/>
  <c r="H229" i="165"/>
  <c r="G229" i="165"/>
  <c r="F229" i="165"/>
  <c r="N207" i="165"/>
  <c r="N205" i="165" s="1"/>
  <c r="N204" i="165" s="1"/>
  <c r="N149" i="165" s="1"/>
  <c r="N148" i="165" s="1"/>
  <c r="M207" i="165"/>
  <c r="M205" i="165" s="1"/>
  <c r="M204" i="165" s="1"/>
  <c r="M149" i="165" s="1"/>
  <c r="M148" i="165" s="1"/>
  <c r="L207" i="165"/>
  <c r="L205" i="165" s="1"/>
  <c r="L204" i="165" s="1"/>
  <c r="L149" i="165" s="1"/>
  <c r="K207" i="165"/>
  <c r="K205" i="165" s="1"/>
  <c r="K204" i="165" s="1"/>
  <c r="K149" i="165" s="1"/>
  <c r="K148" i="165" s="1"/>
  <c r="I207" i="165"/>
  <c r="I205" i="165" s="1"/>
  <c r="I204" i="165" s="1"/>
  <c r="I149" i="165" s="1"/>
  <c r="I148" i="165" s="1"/>
  <c r="H207" i="165"/>
  <c r="H205" i="165" s="1"/>
  <c r="H204" i="165" s="1"/>
  <c r="H149" i="165" s="1"/>
  <c r="H148" i="165" s="1"/>
  <c r="G207" i="165"/>
  <c r="G205" i="165" s="1"/>
  <c r="G204" i="165" s="1"/>
  <c r="G149" i="165" s="1"/>
  <c r="G148" i="165" s="1"/>
  <c r="F207" i="165"/>
  <c r="F205" i="165" s="1"/>
  <c r="F204" i="165" s="1"/>
  <c r="F149" i="165" s="1"/>
  <c r="F148" i="165" s="1"/>
  <c r="L148" i="165" l="1"/>
  <c r="I385" i="167"/>
  <c r="I382" i="167" s="1"/>
  <c r="L429" i="165"/>
  <c r="M429" i="165"/>
  <c r="K429" i="165"/>
  <c r="N429" i="165"/>
  <c r="G429" i="165"/>
  <c r="I429" i="165"/>
  <c r="N335" i="165"/>
  <c r="I335" i="165"/>
  <c r="M335" i="165"/>
  <c r="L335" i="165"/>
  <c r="G335" i="165"/>
  <c r="F335" i="165"/>
  <c r="F228" i="165"/>
  <c r="K228" i="165"/>
  <c r="F420" i="165"/>
  <c r="L420" i="165"/>
  <c r="G228" i="165"/>
  <c r="L228" i="165"/>
  <c r="M420" i="165"/>
  <c r="G420" i="165"/>
  <c r="H228" i="165"/>
  <c r="M228" i="165"/>
  <c r="I420" i="165"/>
  <c r="I228" i="165"/>
  <c r="N228" i="165"/>
  <c r="N420" i="165"/>
  <c r="K420" i="165"/>
  <c r="K50" i="165"/>
  <c r="I50" i="165"/>
  <c r="J88" i="167"/>
  <c r="J87" i="167"/>
  <c r="J85" i="167"/>
  <c r="M85" i="167" s="1"/>
  <c r="J84" i="167"/>
  <c r="L371" i="165" l="1"/>
  <c r="G390" i="165"/>
  <c r="I390" i="165"/>
  <c r="M371" i="165"/>
  <c r="G371" i="165"/>
  <c r="G410" i="165"/>
  <c r="K410" i="165"/>
  <c r="L410" i="165"/>
  <c r="N390" i="165"/>
  <c r="I371" i="165"/>
  <c r="N371" i="165"/>
  <c r="H390" i="165"/>
  <c r="L390" i="165"/>
  <c r="M390" i="165"/>
  <c r="I410" i="165"/>
  <c r="N410" i="165"/>
  <c r="M410" i="165"/>
  <c r="K371" i="165"/>
  <c r="M232" i="165"/>
  <c r="G232" i="165"/>
  <c r="I232" i="165"/>
  <c r="I211" i="165"/>
  <c r="M211" i="165"/>
  <c r="G86" i="167"/>
  <c r="J83" i="167"/>
  <c r="I16" i="165" l="1"/>
  <c r="N16" i="165"/>
  <c r="M16" i="165"/>
  <c r="F16" i="165"/>
  <c r="M301" i="165"/>
  <c r="L301" i="165"/>
  <c r="N301" i="165"/>
  <c r="I301" i="165"/>
  <c r="K301" i="165"/>
  <c r="J74" i="167"/>
  <c r="L16" i="165" l="1"/>
  <c r="J90" i="167"/>
  <c r="H83" i="167" l="1"/>
  <c r="I83" i="167"/>
  <c r="H74" i="167"/>
  <c r="J71" i="167"/>
  <c r="J89" i="167"/>
  <c r="M71" i="167" l="1"/>
  <c r="G83" i="167"/>
  <c r="I88" i="167"/>
  <c r="H88" i="167"/>
  <c r="M67" i="167"/>
  <c r="J94" i="167"/>
  <c r="G88" i="167" l="1"/>
  <c r="H89" i="167"/>
  <c r="I90" i="167"/>
  <c r="H90" i="167"/>
  <c r="I74" i="167"/>
  <c r="G74" i="167" s="1"/>
  <c r="I381" i="167"/>
  <c r="F301" i="165" l="1"/>
  <c r="H410" i="165"/>
  <c r="F371" i="165"/>
  <c r="M50" i="165"/>
  <c r="F50" i="165"/>
  <c r="H342" i="167"/>
  <c r="H315" i="167"/>
  <c r="H269" i="167"/>
  <c r="F361" i="165"/>
  <c r="H371" i="167"/>
  <c r="I94" i="167"/>
  <c r="G90" i="167"/>
  <c r="H335" i="167"/>
  <c r="H333" i="167" s="1"/>
  <c r="H384" i="167"/>
  <c r="H94" i="167"/>
  <c r="I89" i="167"/>
  <c r="G89" i="167" s="1"/>
  <c r="H149" i="167"/>
  <c r="J381" i="167"/>
  <c r="G269" i="167" l="1"/>
  <c r="I342" i="167"/>
  <c r="G342" i="167" s="1"/>
  <c r="F410" i="165"/>
  <c r="G371" i="167"/>
  <c r="G50" i="165"/>
  <c r="F429" i="165"/>
  <c r="G335" i="167"/>
  <c r="G94" i="167"/>
  <c r="G315" i="167"/>
  <c r="G384" i="167"/>
  <c r="I149" i="167"/>
  <c r="G149" i="167" s="1"/>
  <c r="H237" i="167" l="1"/>
  <c r="G237" i="167" l="1"/>
  <c r="H23" i="167" l="1"/>
  <c r="G23" i="167" l="1"/>
  <c r="F46" i="172" l="1"/>
  <c r="F43" i="172" s="1"/>
  <c r="E46" i="172"/>
  <c r="E43" i="172" l="1"/>
  <c r="F37" i="172"/>
  <c r="E37" i="172" l="1"/>
  <c r="J231" i="167" l="1"/>
  <c r="K16" i="165" l="1"/>
  <c r="H231" i="167" l="1"/>
  <c r="I231" i="167" l="1"/>
  <c r="G231" i="167" s="1"/>
  <c r="I17" i="107" l="1"/>
  <c r="I13" i="107" s="1"/>
  <c r="I12" i="107" l="1"/>
  <c r="I29" i="107" s="1"/>
  <c r="I16" i="107"/>
  <c r="I15" i="107" s="1"/>
  <c r="I14" i="107" s="1"/>
  <c r="D104" i="170"/>
  <c r="D87" i="170"/>
  <c r="D84" i="170"/>
  <c r="J380" i="167" l="1"/>
  <c r="J378" i="167"/>
  <c r="J376" i="167" l="1"/>
  <c r="H429" i="165"/>
  <c r="J372" i="167"/>
  <c r="H372" i="167"/>
  <c r="G370" i="167"/>
  <c r="F390" i="165" l="1"/>
  <c r="K372" i="167"/>
  <c r="H369" i="167"/>
  <c r="J369" i="167"/>
  <c r="M372" i="167"/>
  <c r="H420" i="165"/>
  <c r="J310" i="167"/>
  <c r="J308" i="167"/>
  <c r="J305" i="167"/>
  <c r="H305" i="167"/>
  <c r="J276" i="167"/>
  <c r="M276" i="167" s="1"/>
  <c r="J272" i="167"/>
  <c r="M273" i="167" s="1"/>
  <c r="J271" i="167"/>
  <c r="J270" i="167"/>
  <c r="J262" i="167"/>
  <c r="J250" i="167"/>
  <c r="J244" i="167"/>
  <c r="J267" i="167" l="1"/>
  <c r="J266" i="167" s="1"/>
  <c r="M266" i="167" s="1"/>
  <c r="H371" i="165"/>
  <c r="K390" i="165"/>
  <c r="J235" i="167"/>
  <c r="H335" i="165"/>
  <c r="I310" i="167"/>
  <c r="J216" i="167"/>
  <c r="I308" i="167" l="1"/>
  <c r="H361" i="165"/>
  <c r="P13" i="107" l="1"/>
  <c r="P12" i="107" s="1"/>
  <c r="P29" i="107" s="1"/>
  <c r="K448" i="165" s="1"/>
  <c r="I210" i="165"/>
  <c r="J210" i="167"/>
  <c r="K448" i="200" l="1"/>
  <c r="L232" i="165"/>
  <c r="N232" i="165"/>
  <c r="E104" i="170"/>
  <c r="O230" i="165"/>
  <c r="E230" i="165"/>
  <c r="E97" i="170" s="1"/>
  <c r="K457" i="200" l="1"/>
  <c r="K460" i="200"/>
  <c r="K232" i="165"/>
  <c r="N211" i="165"/>
  <c r="E229" i="165"/>
  <c r="J230" i="165"/>
  <c r="O229" i="165"/>
  <c r="H210" i="167"/>
  <c r="J194" i="167"/>
  <c r="H232" i="165" l="1"/>
  <c r="F232" i="165"/>
  <c r="L211" i="165"/>
  <c r="E228" i="165"/>
  <c r="P230" i="165"/>
  <c r="O228" i="165"/>
  <c r="I210" i="167"/>
  <c r="G210" i="167" s="1"/>
  <c r="J229" i="165"/>
  <c r="G306" i="167"/>
  <c r="G304" i="167"/>
  <c r="G288" i="167"/>
  <c r="G279" i="167"/>
  <c r="G268" i="167"/>
  <c r="G236" i="167"/>
  <c r="J234" i="167"/>
  <c r="K211" i="165" l="1"/>
  <c r="J228" i="165"/>
  <c r="P229" i="165"/>
  <c r="G211" i="165" l="1"/>
  <c r="F211" i="165"/>
  <c r="P228" i="165"/>
  <c r="H211" i="165"/>
  <c r="J174" i="167"/>
  <c r="J188" i="167" l="1"/>
  <c r="J185" i="167"/>
  <c r="J172" i="167"/>
  <c r="M172" i="167" s="1"/>
  <c r="J167" i="167"/>
  <c r="J155" i="167"/>
  <c r="J154" i="167"/>
  <c r="J153" i="167"/>
  <c r="J152" i="167"/>
  <c r="J151" i="167"/>
  <c r="J124" i="167" l="1"/>
  <c r="J176" i="167" l="1"/>
  <c r="J145" i="167" s="1"/>
  <c r="K335" i="165" l="1"/>
  <c r="G65" i="167" l="1"/>
  <c r="N50" i="165" l="1"/>
  <c r="L50" i="165"/>
  <c r="L446" i="165" s="1"/>
  <c r="J48" i="167" l="1"/>
  <c r="M48" i="167" s="1"/>
  <c r="J37" i="167"/>
  <c r="M37" i="167" s="1"/>
  <c r="E87" i="170" l="1"/>
  <c r="H48" i="167"/>
  <c r="H50" i="165" l="1"/>
  <c r="I48" i="167"/>
  <c r="L48" i="167" s="1"/>
  <c r="K48" i="167"/>
  <c r="G48" i="167" l="1"/>
  <c r="G19" i="167"/>
  <c r="G16" i="165" l="1"/>
  <c r="H16" i="165" l="1"/>
  <c r="O208" i="165"/>
  <c r="E208" i="165"/>
  <c r="H159" i="167" l="1"/>
  <c r="K159" i="167" s="1"/>
  <c r="H301" i="165"/>
  <c r="K169" i="167"/>
  <c r="G301" i="165"/>
  <c r="G446" i="165" s="1"/>
  <c r="G460" i="165" s="1"/>
  <c r="K178" i="167"/>
  <c r="H161" i="167"/>
  <c r="H153" i="167"/>
  <c r="H155" i="167"/>
  <c r="H158" i="167"/>
  <c r="H168" i="167"/>
  <c r="H154" i="167"/>
  <c r="H156" i="167"/>
  <c r="H167" i="167"/>
  <c r="K172" i="167"/>
  <c r="H188" i="167"/>
  <c r="E207" i="165"/>
  <c r="E205" i="165" s="1"/>
  <c r="E204" i="165" s="1"/>
  <c r="E149" i="165" s="1"/>
  <c r="J208" i="165"/>
  <c r="O207" i="165"/>
  <c r="O205" i="165" s="1"/>
  <c r="O204" i="165" s="1"/>
  <c r="O149" i="165" s="1"/>
  <c r="H185" i="167"/>
  <c r="H174" i="167"/>
  <c r="H152" i="167"/>
  <c r="O148" i="165" l="1"/>
  <c r="J149" i="165"/>
  <c r="J148" i="165" s="1"/>
  <c r="E148" i="165"/>
  <c r="I159" i="167"/>
  <c r="L159" i="167" s="1"/>
  <c r="H176" i="167"/>
  <c r="G178" i="167"/>
  <c r="I161" i="167"/>
  <c r="I169" i="167"/>
  <c r="L169" i="167" s="1"/>
  <c r="I153" i="167"/>
  <c r="I154" i="167"/>
  <c r="I152" i="167"/>
  <c r="P208" i="165"/>
  <c r="H151" i="167"/>
  <c r="I158" i="167"/>
  <c r="I156" i="167"/>
  <c r="I168" i="167"/>
  <c r="I155" i="167"/>
  <c r="I167" i="167"/>
  <c r="I188" i="167"/>
  <c r="G188" i="167" s="1"/>
  <c r="J207" i="165"/>
  <c r="J205" i="165" s="1"/>
  <c r="J204" i="165" s="1"/>
  <c r="I185" i="167"/>
  <c r="I176" i="167"/>
  <c r="I174" i="167"/>
  <c r="I172" i="167"/>
  <c r="L172" i="167" s="1"/>
  <c r="I151" i="167"/>
  <c r="K290" i="167"/>
  <c r="M300" i="165"/>
  <c r="L300" i="165"/>
  <c r="K300" i="165"/>
  <c r="I300" i="165"/>
  <c r="H300" i="165"/>
  <c r="G300" i="165"/>
  <c r="F300" i="165"/>
  <c r="N300" i="165"/>
  <c r="H246" i="167"/>
  <c r="M268" i="165"/>
  <c r="L268" i="165"/>
  <c r="K268" i="165"/>
  <c r="M234" i="167" s="1"/>
  <c r="H268" i="165"/>
  <c r="F268" i="165"/>
  <c r="N268" i="165"/>
  <c r="I268" i="165"/>
  <c r="G268" i="165"/>
  <c r="P149" i="165" l="1"/>
  <c r="Q149" i="165" s="1"/>
  <c r="H286" i="167"/>
  <c r="K286" i="167" s="1"/>
  <c r="I309" i="167"/>
  <c r="K259" i="167"/>
  <c r="K273" i="167"/>
  <c r="I378" i="167"/>
  <c r="L178" i="167"/>
  <c r="E361" i="165"/>
  <c r="I145" i="167"/>
  <c r="H345" i="167"/>
  <c r="H340" i="167" s="1"/>
  <c r="P207" i="165"/>
  <c r="P205" i="165" s="1"/>
  <c r="P204" i="165" s="1"/>
  <c r="H244" i="167"/>
  <c r="H250" i="167"/>
  <c r="H270" i="167"/>
  <c r="H380" i="167"/>
  <c r="H376" i="167" s="1"/>
  <c r="H309" i="167"/>
  <c r="H271" i="167"/>
  <c r="H262" i="167"/>
  <c r="L239" i="167"/>
  <c r="H310" i="167"/>
  <c r="G310" i="167" s="1"/>
  <c r="H308" i="167"/>
  <c r="G308" i="167" s="1"/>
  <c r="P148" i="165" l="1"/>
  <c r="I286" i="167"/>
  <c r="L286" i="167" s="1"/>
  <c r="H235" i="167"/>
  <c r="H234" i="167" s="1"/>
  <c r="L259" i="167"/>
  <c r="Q416" i="165"/>
  <c r="H267" i="167"/>
  <c r="H266" i="167" s="1"/>
  <c r="I246" i="167"/>
  <c r="G246" i="167" s="1"/>
  <c r="F36" i="108"/>
  <c r="F446" i="165"/>
  <c r="L372" i="167"/>
  <c r="G239" i="167"/>
  <c r="I345" i="167"/>
  <c r="I340" i="167" s="1"/>
  <c r="G309" i="167"/>
  <c r="G372" i="167"/>
  <c r="G369" i="167" s="1"/>
  <c r="O361" i="165"/>
  <c r="I270" i="167"/>
  <c r="I244" i="167"/>
  <c r="G244" i="167" s="1"/>
  <c r="I276" i="167"/>
  <c r="L276" i="167" s="1"/>
  <c r="I272" i="167"/>
  <c r="I250" i="167"/>
  <c r="G250" i="167" s="1"/>
  <c r="I305" i="167"/>
  <c r="G305" i="167" s="1"/>
  <c r="I262" i="167"/>
  <c r="G262" i="167" s="1"/>
  <c r="G378" i="167"/>
  <c r="I380" i="167"/>
  <c r="G380" i="167" s="1"/>
  <c r="I271" i="167"/>
  <c r="G271" i="167" s="1"/>
  <c r="G259" i="167"/>
  <c r="G286" i="167" l="1"/>
  <c r="G27" i="197"/>
  <c r="G376" i="167"/>
  <c r="G235" i="167"/>
  <c r="G270" i="167"/>
  <c r="I267" i="167"/>
  <c r="I266" i="167" s="1"/>
  <c r="G266" i="167" s="1"/>
  <c r="G276" i="167"/>
  <c r="O410" i="165"/>
  <c r="G272" i="167"/>
  <c r="L273" i="167"/>
  <c r="G289" i="167"/>
  <c r="I376" i="167"/>
  <c r="I235" i="167"/>
  <c r="I234" i="167" s="1"/>
  <c r="G345" i="167"/>
  <c r="G340" i="167" s="1"/>
  <c r="H145" i="167"/>
  <c r="O420" i="165"/>
  <c r="E420" i="165"/>
  <c r="O354" i="165"/>
  <c r="E354" i="165"/>
  <c r="N334" i="165"/>
  <c r="M334" i="165"/>
  <c r="I334" i="165"/>
  <c r="H334" i="165"/>
  <c r="G334" i="165"/>
  <c r="F334" i="165"/>
  <c r="E371" i="165" l="1"/>
  <c r="K340" i="167" s="1"/>
  <c r="E301" i="165"/>
  <c r="K266" i="167" s="1"/>
  <c r="G267" i="167"/>
  <c r="O301" i="165"/>
  <c r="E410" i="165"/>
  <c r="J410" i="165"/>
  <c r="O371" i="165"/>
  <c r="E268" i="165"/>
  <c r="K234" i="167" s="1"/>
  <c r="G234" i="167"/>
  <c r="J354" i="165"/>
  <c r="L334" i="165"/>
  <c r="K334" i="165"/>
  <c r="G324" i="167" l="1"/>
  <c r="P410" i="165"/>
  <c r="Q410" i="165" s="1"/>
  <c r="J371" i="165"/>
  <c r="J301" i="165"/>
  <c r="P301" i="165" s="1"/>
  <c r="Q301" i="165" s="1"/>
  <c r="O300" i="165"/>
  <c r="E300" i="165"/>
  <c r="O268" i="165"/>
  <c r="P354" i="165"/>
  <c r="P371" i="165" l="1"/>
  <c r="Q371" i="165" s="1"/>
  <c r="L340" i="167"/>
  <c r="L266" i="167"/>
  <c r="J300" i="165"/>
  <c r="P300" i="165"/>
  <c r="E335" i="165"/>
  <c r="J268" i="165"/>
  <c r="L234" i="167" s="1"/>
  <c r="P269" i="165"/>
  <c r="Q269" i="165" s="1"/>
  <c r="E334" i="165" l="1"/>
  <c r="O335" i="165"/>
  <c r="P268" i="165"/>
  <c r="J335" i="165" l="1"/>
  <c r="P335" i="165" s="1"/>
  <c r="Q335" i="165" s="1"/>
  <c r="J232" i="167"/>
  <c r="H232" i="167"/>
  <c r="O334" i="165" l="1"/>
  <c r="J334" i="165" l="1"/>
  <c r="M361" i="167"/>
  <c r="G360" i="167"/>
  <c r="G359" i="167"/>
  <c r="J332" i="167"/>
  <c r="M332" i="167" s="1"/>
  <c r="J228" i="167"/>
  <c r="J226" i="167"/>
  <c r="J225" i="167"/>
  <c r="J224" i="167"/>
  <c r="J222" i="167"/>
  <c r="J219" i="167"/>
  <c r="J218" i="167"/>
  <c r="J217" i="167"/>
  <c r="J213" i="167"/>
  <c r="G206" i="167"/>
  <c r="G205" i="167"/>
  <c r="J204" i="167"/>
  <c r="G203" i="167"/>
  <c r="J202" i="167"/>
  <c r="J199" i="167"/>
  <c r="G200" i="167"/>
  <c r="G181" i="167"/>
  <c r="G180" i="167"/>
  <c r="G177" i="167"/>
  <c r="G170" i="167"/>
  <c r="J143" i="167"/>
  <c r="H143" i="167"/>
  <c r="G142" i="167"/>
  <c r="J131" i="167"/>
  <c r="J130" i="167"/>
  <c r="J129" i="167"/>
  <c r="J123" i="167"/>
  <c r="J109" i="167"/>
  <c r="J63" i="167" s="1"/>
  <c r="G72" i="167"/>
  <c r="G68" i="167"/>
  <c r="G49" i="167"/>
  <c r="J47" i="167"/>
  <c r="M47" i="167" s="1"/>
  <c r="J46" i="167"/>
  <c r="J38" i="167"/>
  <c r="M38" i="167" s="1"/>
  <c r="G24" i="167"/>
  <c r="G428" i="165"/>
  <c r="N428" i="165"/>
  <c r="M428" i="165"/>
  <c r="L428" i="165"/>
  <c r="K428" i="165"/>
  <c r="I428" i="165"/>
  <c r="H428" i="165"/>
  <c r="G419" i="165"/>
  <c r="N419" i="165"/>
  <c r="M419" i="165"/>
  <c r="L419" i="165"/>
  <c r="K419" i="165"/>
  <c r="I419" i="165"/>
  <c r="F419" i="165"/>
  <c r="N409" i="165"/>
  <c r="M409" i="165"/>
  <c r="I409" i="165"/>
  <c r="H409" i="165"/>
  <c r="G409" i="165"/>
  <c r="N389" i="165"/>
  <c r="M389" i="165"/>
  <c r="I389" i="165"/>
  <c r="H389" i="165"/>
  <c r="G389" i="165"/>
  <c r="L389" i="165"/>
  <c r="G370" i="165"/>
  <c r="N370" i="165"/>
  <c r="M370" i="165"/>
  <c r="I370" i="165"/>
  <c r="H370" i="165"/>
  <c r="N360" i="165"/>
  <c r="M360" i="165"/>
  <c r="L360" i="165"/>
  <c r="K360" i="165"/>
  <c r="I360" i="165"/>
  <c r="F360" i="165"/>
  <c r="N231" i="165"/>
  <c r="M231" i="165"/>
  <c r="L231" i="165"/>
  <c r="I231" i="165"/>
  <c r="H210" i="165"/>
  <c r="N210" i="165"/>
  <c r="M210" i="165"/>
  <c r="L210" i="165"/>
  <c r="G210" i="165"/>
  <c r="I143" i="167"/>
  <c r="N114" i="165"/>
  <c r="M114" i="165"/>
  <c r="L114" i="165"/>
  <c r="I114" i="165"/>
  <c r="M49" i="165"/>
  <c r="I49" i="165"/>
  <c r="G15" i="165"/>
  <c r="H77" i="167" l="1"/>
  <c r="K77" i="167" s="1"/>
  <c r="H80" i="167"/>
  <c r="K80" i="167" s="1"/>
  <c r="K359" i="167"/>
  <c r="H64" i="167"/>
  <c r="K64" i="167" s="1"/>
  <c r="H197" i="167"/>
  <c r="H192" i="167"/>
  <c r="H202" i="167"/>
  <c r="H214" i="167"/>
  <c r="H204" i="167"/>
  <c r="H121" i="167"/>
  <c r="H125" i="167"/>
  <c r="J191" i="167"/>
  <c r="M46" i="167"/>
  <c r="H194" i="167"/>
  <c r="H84" i="167"/>
  <c r="P334" i="165"/>
  <c r="H216" i="167"/>
  <c r="H71" i="167"/>
  <c r="K71" i="167" s="1"/>
  <c r="H38" i="167"/>
  <c r="K38" i="167" s="1"/>
  <c r="H37" i="167"/>
  <c r="K37" i="167" s="1"/>
  <c r="N15" i="165"/>
  <c r="I15" i="165"/>
  <c r="I446" i="165"/>
  <c r="I458" i="165" s="1"/>
  <c r="M15" i="165"/>
  <c r="M446" i="165"/>
  <c r="K409" i="165"/>
  <c r="K370" i="165"/>
  <c r="F389" i="165"/>
  <c r="G361" i="167"/>
  <c r="G353" i="167" s="1"/>
  <c r="H352" i="167"/>
  <c r="K132" i="167"/>
  <c r="I352" i="167"/>
  <c r="K210" i="165"/>
  <c r="L49" i="165"/>
  <c r="J368" i="167"/>
  <c r="M368" i="167" s="1"/>
  <c r="O409" i="165"/>
  <c r="H419" i="165"/>
  <c r="G114" i="165"/>
  <c r="I123" i="167"/>
  <c r="H199" i="167"/>
  <c r="H225" i="167"/>
  <c r="E360" i="165"/>
  <c r="H332" i="167"/>
  <c r="K332" i="167" s="1"/>
  <c r="H321" i="167"/>
  <c r="N49" i="165"/>
  <c r="H131" i="167"/>
  <c r="L132" i="167"/>
  <c r="G360" i="165"/>
  <c r="L409" i="165"/>
  <c r="H226" i="167"/>
  <c r="H328" i="167"/>
  <c r="J33" i="167"/>
  <c r="F114" i="165"/>
  <c r="H114" i="165"/>
  <c r="H109" i="167"/>
  <c r="G231" i="165"/>
  <c r="H231" i="165"/>
  <c r="H219" i="167"/>
  <c r="I220" i="167"/>
  <c r="H360" i="165"/>
  <c r="E419" i="165"/>
  <c r="G143" i="167"/>
  <c r="G195" i="167"/>
  <c r="G221" i="167"/>
  <c r="J375" i="167"/>
  <c r="M375" i="167" s="1"/>
  <c r="H123" i="167"/>
  <c r="F370" i="165"/>
  <c r="L370" i="165"/>
  <c r="H217" i="167"/>
  <c r="H15" i="165"/>
  <c r="F231" i="165"/>
  <c r="K389" i="165"/>
  <c r="H220" i="167"/>
  <c r="J328" i="167"/>
  <c r="F409" i="165"/>
  <c r="J220" i="167"/>
  <c r="J212" i="167" s="1"/>
  <c r="J140" i="167"/>
  <c r="J117" i="167" s="1"/>
  <c r="J321" i="167"/>
  <c r="O370" i="165"/>
  <c r="G27" i="167"/>
  <c r="G146" i="167"/>
  <c r="J352" i="167"/>
  <c r="I80" i="167" l="1"/>
  <c r="L80" i="167" s="1"/>
  <c r="L359" i="167"/>
  <c r="K67" i="167"/>
  <c r="H313" i="167"/>
  <c r="K313" i="167" s="1"/>
  <c r="J16" i="167"/>
  <c r="M15" i="167" s="1"/>
  <c r="I64" i="167"/>
  <c r="L64" i="167" s="1"/>
  <c r="K365" i="167"/>
  <c r="I197" i="167"/>
  <c r="G197" i="167" s="1"/>
  <c r="I125" i="167"/>
  <c r="G125" i="167" s="1"/>
  <c r="I214" i="167"/>
  <c r="G214" i="167" s="1"/>
  <c r="L365" i="167"/>
  <c r="I194" i="167"/>
  <c r="G194" i="167" s="1"/>
  <c r="I85" i="167"/>
  <c r="L85" i="167" s="1"/>
  <c r="I84" i="167"/>
  <c r="G84" i="167" s="1"/>
  <c r="I71" i="167"/>
  <c r="L71" i="167" s="1"/>
  <c r="I124" i="167"/>
  <c r="M33" i="167"/>
  <c r="H85" i="167"/>
  <c r="H87" i="167"/>
  <c r="I87" i="167"/>
  <c r="H124" i="167"/>
  <c r="I38" i="167"/>
  <c r="L38" i="167" s="1"/>
  <c r="I37" i="167"/>
  <c r="L37" i="167" s="1"/>
  <c r="E84" i="170"/>
  <c r="K15" i="165"/>
  <c r="K446" i="165"/>
  <c r="F49" i="165"/>
  <c r="H49" i="165"/>
  <c r="H446" i="165"/>
  <c r="H460" i="165" s="1"/>
  <c r="G49" i="165"/>
  <c r="N446" i="165"/>
  <c r="N458" i="165" s="1"/>
  <c r="M352" i="167"/>
  <c r="J339" i="167"/>
  <c r="M340" i="167"/>
  <c r="I213" i="167"/>
  <c r="I199" i="167"/>
  <c r="G199" i="167" s="1"/>
  <c r="I130" i="167"/>
  <c r="G156" i="167"/>
  <c r="I46" i="167"/>
  <c r="F210" i="165"/>
  <c r="I219" i="167"/>
  <c r="G219" i="167" s="1"/>
  <c r="L361" i="167"/>
  <c r="G154" i="167"/>
  <c r="H46" i="167"/>
  <c r="G352" i="167"/>
  <c r="H213" i="167"/>
  <c r="G123" i="167"/>
  <c r="H375" i="167"/>
  <c r="K375" i="167" s="1"/>
  <c r="G220" i="167"/>
  <c r="H130" i="167"/>
  <c r="K361" i="167"/>
  <c r="H47" i="167"/>
  <c r="K47" i="167" s="1"/>
  <c r="H224" i="167"/>
  <c r="I225" i="167"/>
  <c r="G225" i="167" s="1"/>
  <c r="H218" i="167"/>
  <c r="H191" i="167"/>
  <c r="I202" i="167"/>
  <c r="G202" i="167" s="1"/>
  <c r="I109" i="167"/>
  <c r="G109" i="167" s="1"/>
  <c r="J190" i="167"/>
  <c r="M190" i="167" s="1"/>
  <c r="I131" i="167"/>
  <c r="G131" i="167" s="1"/>
  <c r="M458" i="165"/>
  <c r="G172" i="167"/>
  <c r="I222" i="167"/>
  <c r="J409" i="165"/>
  <c r="G174" i="167"/>
  <c r="G161" i="167"/>
  <c r="H33" i="167"/>
  <c r="G155" i="167"/>
  <c r="I224" i="167"/>
  <c r="G153" i="167"/>
  <c r="I129" i="167"/>
  <c r="G158" i="167"/>
  <c r="H129" i="167"/>
  <c r="H228" i="167"/>
  <c r="J62" i="167"/>
  <c r="I217" i="167"/>
  <c r="G217" i="167" s="1"/>
  <c r="I204" i="167"/>
  <c r="G204" i="167" s="1"/>
  <c r="I218" i="167"/>
  <c r="I140" i="167"/>
  <c r="I228" i="167"/>
  <c r="I226" i="167"/>
  <c r="G226" i="167" s="1"/>
  <c r="G169" i="167"/>
  <c r="G159" i="167"/>
  <c r="I47" i="167"/>
  <c r="L47" i="167" s="1"/>
  <c r="G152" i="167"/>
  <c r="H368" i="167"/>
  <c r="K368" i="167" s="1"/>
  <c r="J144" i="167"/>
  <c r="M144" i="167" s="1"/>
  <c r="K231" i="165"/>
  <c r="O360" i="165"/>
  <c r="J361" i="165"/>
  <c r="K49" i="165"/>
  <c r="J211" i="167"/>
  <c r="L15" i="165"/>
  <c r="O419" i="165"/>
  <c r="J420" i="165"/>
  <c r="H222" i="167"/>
  <c r="F15" i="165"/>
  <c r="K114" i="165"/>
  <c r="H117" i="167" l="1"/>
  <c r="I77" i="167"/>
  <c r="L77" i="167" s="1"/>
  <c r="G132" i="167"/>
  <c r="H16" i="167"/>
  <c r="H63" i="167"/>
  <c r="I121" i="167"/>
  <c r="I117" i="167" s="1"/>
  <c r="I192" i="167"/>
  <c r="I191" i="167" s="1"/>
  <c r="G80" i="167"/>
  <c r="G64" i="167"/>
  <c r="I67" i="167"/>
  <c r="L67" i="167" s="1"/>
  <c r="G140" i="167"/>
  <c r="H212" i="167"/>
  <c r="H211" i="167" s="1"/>
  <c r="O50" i="165"/>
  <c r="E211" i="165"/>
  <c r="L46" i="167"/>
  <c r="O429" i="165"/>
  <c r="J370" i="165"/>
  <c r="H458" i="165"/>
  <c r="P361" i="165"/>
  <c r="Q361" i="165" s="1"/>
  <c r="G71" i="167"/>
  <c r="I216" i="167"/>
  <c r="G216" i="167" s="1"/>
  <c r="O211" i="165"/>
  <c r="K46" i="167"/>
  <c r="G46" i="167"/>
  <c r="G87" i="167"/>
  <c r="K85" i="167"/>
  <c r="G85" i="167"/>
  <c r="K33" i="167"/>
  <c r="G37" i="167"/>
  <c r="J116" i="167"/>
  <c r="M116" i="167" s="1"/>
  <c r="H312" i="167"/>
  <c r="H190" i="167"/>
  <c r="G213" i="167"/>
  <c r="J15" i="167"/>
  <c r="G130" i="167"/>
  <c r="I321" i="167"/>
  <c r="G124" i="167"/>
  <c r="G339" i="167"/>
  <c r="G38" i="167"/>
  <c r="G167" i="167"/>
  <c r="G47" i="167"/>
  <c r="F120" i="170" s="1"/>
  <c r="G129" i="167"/>
  <c r="G168" i="167"/>
  <c r="G224" i="167"/>
  <c r="G218" i="167"/>
  <c r="M62" i="167"/>
  <c r="G176" i="167"/>
  <c r="G222" i="167"/>
  <c r="G228" i="167"/>
  <c r="I375" i="167"/>
  <c r="L375" i="167" s="1"/>
  <c r="I332" i="167"/>
  <c r="L332" i="167" s="1"/>
  <c r="G334" i="167"/>
  <c r="G333" i="167" s="1"/>
  <c r="L458" i="165"/>
  <c r="I368" i="167"/>
  <c r="L368" i="167" s="1"/>
  <c r="G375" i="167"/>
  <c r="G323" i="167"/>
  <c r="G185" i="167"/>
  <c r="I33" i="167"/>
  <c r="I16" i="167" s="1"/>
  <c r="I328" i="167"/>
  <c r="G328" i="167" s="1"/>
  <c r="G458" i="165"/>
  <c r="G368" i="167"/>
  <c r="J360" i="165"/>
  <c r="H339" i="167"/>
  <c r="E370" i="165"/>
  <c r="E409" i="165"/>
  <c r="J419" i="165"/>
  <c r="P420" i="165"/>
  <c r="Q420" i="165" s="1"/>
  <c r="H144" i="167"/>
  <c r="K144" i="167" s="1"/>
  <c r="O16" i="165" l="1"/>
  <c r="E16" i="165"/>
  <c r="K15" i="167" s="1"/>
  <c r="I313" i="167"/>
  <c r="L313" i="167" s="1"/>
  <c r="G77" i="167"/>
  <c r="O390" i="165"/>
  <c r="O389" i="165" s="1"/>
  <c r="E50" i="165"/>
  <c r="O210" i="165"/>
  <c r="E210" i="165"/>
  <c r="J50" i="165"/>
  <c r="J49" i="165" s="1"/>
  <c r="J429" i="165"/>
  <c r="J428" i="165" s="1"/>
  <c r="G121" i="167"/>
  <c r="G117" i="167" s="1"/>
  <c r="O232" i="165"/>
  <c r="O231" i="165" s="1"/>
  <c r="E232" i="165"/>
  <c r="E231" i="165" s="1"/>
  <c r="I63" i="167"/>
  <c r="I62" i="167" s="1"/>
  <c r="O49" i="165"/>
  <c r="G36" i="108"/>
  <c r="G67" i="167"/>
  <c r="K190" i="167"/>
  <c r="J211" i="165"/>
  <c r="O428" i="165"/>
  <c r="H62" i="167"/>
  <c r="G192" i="167"/>
  <c r="G191" i="167" s="1"/>
  <c r="H116" i="167"/>
  <c r="K116" i="167" s="1"/>
  <c r="G332" i="167"/>
  <c r="G321" i="167"/>
  <c r="G313" i="167" s="1"/>
  <c r="H15" i="167"/>
  <c r="I339" i="167"/>
  <c r="L33" i="167"/>
  <c r="I190" i="167"/>
  <c r="G33" i="167"/>
  <c r="G16" i="167" s="1"/>
  <c r="I144" i="167"/>
  <c r="L144" i="167" s="1"/>
  <c r="G151" i="167"/>
  <c r="G145" i="167" s="1"/>
  <c r="J323" i="167"/>
  <c r="P409" i="165"/>
  <c r="P419" i="165"/>
  <c r="P360" i="165"/>
  <c r="P370" i="165"/>
  <c r="J16" i="165" l="1"/>
  <c r="L15" i="167" s="1"/>
  <c r="O446" i="165"/>
  <c r="E120" i="170"/>
  <c r="G63" i="167"/>
  <c r="G62" i="167" s="1"/>
  <c r="P16" i="165"/>
  <c r="Q16" i="165" s="1"/>
  <c r="J313" i="167"/>
  <c r="M313" i="167" s="1"/>
  <c r="L62" i="167"/>
  <c r="J390" i="165"/>
  <c r="J389" i="165" s="1"/>
  <c r="L352" i="167" s="1"/>
  <c r="E390" i="165"/>
  <c r="E389" i="165" s="1"/>
  <c r="K352" i="167" s="1"/>
  <c r="E114" i="165"/>
  <c r="P50" i="165"/>
  <c r="Q50" i="165" s="1"/>
  <c r="P211" i="165"/>
  <c r="Q211" i="165" s="1"/>
  <c r="O15" i="165"/>
  <c r="K62" i="167"/>
  <c r="J210" i="165"/>
  <c r="L190" i="167"/>
  <c r="E49" i="165"/>
  <c r="J232" i="165"/>
  <c r="P232" i="165" s="1"/>
  <c r="Q232" i="165" s="1"/>
  <c r="E15" i="165"/>
  <c r="O114" i="165"/>
  <c r="G190" i="167"/>
  <c r="I116" i="167"/>
  <c r="G116" i="167"/>
  <c r="G15" i="167"/>
  <c r="I312" i="167"/>
  <c r="G144" i="167"/>
  <c r="I15" i="167"/>
  <c r="L116" i="167" l="1"/>
  <c r="J387" i="167"/>
  <c r="N380" i="167" s="1"/>
  <c r="J15" i="165"/>
  <c r="P210" i="165"/>
  <c r="P390" i="165"/>
  <c r="Q390" i="165" s="1"/>
  <c r="P49" i="165"/>
  <c r="J231" i="165"/>
  <c r="P231" i="165"/>
  <c r="J114" i="165"/>
  <c r="J446" i="165"/>
  <c r="G312" i="167"/>
  <c r="J312" i="167"/>
  <c r="L387" i="167" l="1"/>
  <c r="P15" i="165"/>
  <c r="P389" i="165"/>
  <c r="P114" i="165"/>
  <c r="I232" i="167" l="1"/>
  <c r="I212" i="167" s="1"/>
  <c r="I387" i="167" s="1"/>
  <c r="M380" i="167" s="1"/>
  <c r="G232" i="167" l="1"/>
  <c r="G212" i="167" s="1"/>
  <c r="I211" i="167" l="1"/>
  <c r="G211" i="167" l="1"/>
  <c r="M19" i="107"/>
  <c r="O19" i="107"/>
  <c r="Q19" i="107" l="1"/>
  <c r="G152" i="107" l="1"/>
  <c r="F141" i="108"/>
  <c r="G151" i="107"/>
  <c r="F140" i="108"/>
  <c r="G149" i="107"/>
  <c r="F138" i="108"/>
  <c r="F139" i="108"/>
  <c r="G150" i="107"/>
  <c r="G147" i="107"/>
  <c r="F136" i="108"/>
  <c r="G148" i="107"/>
  <c r="F137" i="108"/>
  <c r="G145" i="107"/>
  <c r="F134" i="108"/>
  <c r="G144" i="107"/>
  <c r="F133" i="108"/>
  <c r="G143" i="107"/>
  <c r="F132" i="108"/>
  <c r="G142" i="107"/>
  <c r="F131" i="108"/>
  <c r="G141" i="107"/>
  <c r="F130" i="108"/>
  <c r="G140" i="107"/>
  <c r="F129" i="108"/>
  <c r="G139" i="107"/>
  <c r="F128" i="108"/>
  <c r="G138" i="107"/>
  <c r="F127" i="108"/>
  <c r="G137" i="107"/>
  <c r="F126" i="108"/>
  <c r="G136" i="107"/>
  <c r="F125" i="108"/>
  <c r="G135" i="107"/>
  <c r="F124" i="108"/>
  <c r="G133" i="107"/>
  <c r="F122" i="108"/>
  <c r="G93" i="107"/>
  <c r="G91" i="107"/>
  <c r="G90" i="107"/>
  <c r="G89" i="107"/>
  <c r="G88" i="107"/>
  <c r="G86" i="107"/>
  <c r="G85" i="107"/>
  <c r="G84" i="107"/>
  <c r="G83" i="107"/>
  <c r="G82" i="107"/>
  <c r="G81" i="107"/>
  <c r="G80" i="107"/>
  <c r="G79" i="107"/>
  <c r="G78" i="107"/>
  <c r="G77" i="107"/>
  <c r="G76" i="107"/>
  <c r="G75" i="107"/>
  <c r="G74" i="107"/>
  <c r="G73" i="107"/>
  <c r="G72" i="107"/>
  <c r="G71" i="107"/>
  <c r="G70" i="107"/>
  <c r="G69" i="107"/>
  <c r="G68" i="107"/>
  <c r="G66" i="107"/>
  <c r="G18" i="107"/>
  <c r="G160" i="107"/>
  <c r="F150" i="108"/>
  <c r="K179" i="107"/>
  <c r="J169" i="108"/>
  <c r="J143" i="108" l="1"/>
  <c r="G16" i="107"/>
  <c r="G15" i="107" s="1"/>
  <c r="G14" i="107" s="1"/>
  <c r="G13" i="107"/>
  <c r="G12" i="107" s="1"/>
  <c r="G29" i="107" s="1"/>
  <c r="O18" i="107"/>
  <c r="K12" i="107"/>
  <c r="K29" i="107" s="1"/>
  <c r="L12" i="107"/>
  <c r="L29" i="107" s="1"/>
  <c r="J12" i="107"/>
  <c r="J29" i="107" s="1"/>
  <c r="H12" i="107"/>
  <c r="H29" i="107" s="1"/>
  <c r="O17" i="107"/>
  <c r="N17" i="107"/>
  <c r="M17" i="107"/>
  <c r="K461" i="165" l="1"/>
  <c r="O16" i="107"/>
  <c r="O15" i="107" s="1"/>
  <c r="O14" i="107" s="1"/>
  <c r="L211" i="167"/>
  <c r="M211" i="167"/>
  <c r="O13" i="107"/>
  <c r="O12" i="107" s="1"/>
  <c r="O29" i="107" s="1"/>
  <c r="Q17" i="107"/>
  <c r="O448" i="165" l="1"/>
  <c r="J448" i="165"/>
  <c r="O448" i="200"/>
  <c r="J448" i="200"/>
  <c r="K458" i="165"/>
  <c r="N18" i="107"/>
  <c r="O457" i="200" l="1"/>
  <c r="O460" i="200"/>
  <c r="J458" i="200"/>
  <c r="Q448" i="200"/>
  <c r="J457" i="200"/>
  <c r="J460" i="200"/>
  <c r="J459" i="165"/>
  <c r="O461" i="165"/>
  <c r="J458" i="165"/>
  <c r="O458" i="165"/>
  <c r="J461" i="165"/>
  <c r="N16" i="107"/>
  <c r="N15" i="107" s="1"/>
  <c r="N14" i="107" s="1"/>
  <c r="N13" i="107"/>
  <c r="N12" i="107" s="1"/>
  <c r="N29" i="107" s="1"/>
  <c r="F12" i="107"/>
  <c r="K211" i="167" l="1"/>
  <c r="F29" i="107"/>
  <c r="E36" i="108" l="1"/>
  <c r="I143" i="108" s="1"/>
  <c r="E24" i="108"/>
  <c r="E448" i="165"/>
  <c r="M18" i="107"/>
  <c r="Q18" i="107" s="1"/>
  <c r="M13" i="107" l="1"/>
  <c r="M12" i="107" s="1"/>
  <c r="M29" i="107" s="1"/>
  <c r="M16" i="107"/>
  <c r="M15" i="107" s="1"/>
  <c r="M14" i="107" s="1"/>
  <c r="Q16" i="107"/>
  <c r="Q15" i="107" s="1"/>
  <c r="Q14" i="107" s="1"/>
  <c r="Q13" i="107" l="1"/>
  <c r="Q12" i="107" s="1"/>
  <c r="Q29" i="107" s="1"/>
  <c r="Q448" i="165" l="1"/>
  <c r="R29" i="107"/>
  <c r="H385" i="167" l="1"/>
  <c r="G385" i="167" s="1"/>
  <c r="G382" i="167" s="1"/>
  <c r="G387" i="167" s="1"/>
  <c r="K380" i="167" s="1"/>
  <c r="F428" i="165"/>
  <c r="H382" i="167" l="1"/>
  <c r="H381" i="167" s="1"/>
  <c r="G381" i="167"/>
  <c r="E429" i="165"/>
  <c r="H387" i="167" l="1"/>
  <c r="L380" i="167" s="1"/>
  <c r="E446" i="165"/>
  <c r="P429" i="165"/>
  <c r="Q429" i="165" s="1"/>
  <c r="E428" i="165"/>
  <c r="F458" i="165"/>
  <c r="D30" i="172" l="1"/>
  <c r="D25" i="172" s="1"/>
  <c r="E463" i="165"/>
  <c r="F459" i="165"/>
  <c r="F461" i="165"/>
  <c r="E461" i="165"/>
  <c r="K387" i="167"/>
  <c r="P428" i="165"/>
  <c r="P446" i="165"/>
  <c r="P461" i="165" s="1"/>
  <c r="E458" i="165"/>
  <c r="E459" i="165"/>
  <c r="E30" i="172" l="1"/>
  <c r="Q446" i="165"/>
  <c r="P458" i="165"/>
  <c r="D15" i="172"/>
  <c r="D35" i="172" s="1"/>
  <c r="P459" i="165"/>
  <c r="D60" i="172"/>
  <c r="D55" i="172" s="1"/>
  <c r="D66" i="170"/>
  <c r="E66" i="170" s="1"/>
  <c r="E25" i="172" l="1"/>
  <c r="G30" i="172"/>
  <c r="C30" i="172"/>
  <c r="C25" i="172" s="1"/>
  <c r="F30" i="172"/>
  <c r="F25" i="172" s="1"/>
  <c r="E60" i="172"/>
  <c r="E55" i="172" s="1"/>
  <c r="G25" i="172" l="1"/>
  <c r="D49" i="172"/>
  <c r="D61" i="172" s="1"/>
  <c r="C15" i="172"/>
  <c r="C35" i="172" s="1"/>
  <c r="F15" i="172"/>
  <c r="F35" i="172" s="1"/>
  <c r="E15" i="172"/>
  <c r="F60" i="172"/>
  <c r="F55" i="172" s="1"/>
  <c r="C60" i="172"/>
  <c r="C55" i="172" s="1"/>
  <c r="E76" i="170"/>
  <c r="D60" i="170"/>
  <c r="G15" i="172" l="1"/>
  <c r="D75" i="170"/>
  <c r="D74" i="170" s="1"/>
  <c r="D34" i="170"/>
  <c r="E34" i="170" s="1"/>
  <c r="E35" i="172"/>
  <c r="G35" i="172" s="1"/>
  <c r="E49" i="172"/>
  <c r="E61" i="172" s="1"/>
  <c r="F49" i="172"/>
  <c r="F61" i="172" s="1"/>
  <c r="C49" i="172"/>
  <c r="C61" i="172" s="1"/>
  <c r="F34" i="170" l="1"/>
  <c r="E74" i="170"/>
  <c r="E75" i="170"/>
  <c r="K126" i="184" l="1"/>
  <c r="I120" i="184"/>
  <c r="I146" i="184" s="1"/>
  <c r="M146" i="184" s="1"/>
  <c r="D91" i="170" l="1"/>
  <c r="E121" i="170" s="1"/>
  <c r="E91" i="170" l="1"/>
</calcChain>
</file>

<file path=xl/sharedStrings.xml><?xml version="1.0" encoding="utf-8"?>
<sst xmlns="http://schemas.openxmlformats.org/spreadsheetml/2006/main" count="8371" uniqueCount="1752">
  <si>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</si>
  <si>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</si>
  <si>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1</t>
  </si>
  <si>
    <t>2</t>
  </si>
  <si>
    <t>Проведення навчально-тренувальних зборів і змагань з неолімпійських видів спорту</t>
  </si>
  <si>
    <t>4</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</si>
  <si>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</si>
  <si>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</si>
  <si>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</si>
  <si>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Компенсаційні виплати на пільговий проїзд електротранспортом окремим категоріям громадян</t>
  </si>
  <si>
    <t>Утримання клубів для підлітків за місцем проживання</t>
  </si>
  <si>
    <t>Разом</t>
  </si>
  <si>
    <t>Загальний фонд</t>
  </si>
  <si>
    <t>з них</t>
  </si>
  <si>
    <t>3</t>
  </si>
  <si>
    <t>комунальні послуги та енергоносії</t>
  </si>
  <si>
    <t>Код ФКВКБ</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</si>
  <si>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</si>
  <si>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Управління охорони здоров'я Хмельницької міської ради (головний розпорядник)</t>
  </si>
  <si>
    <t>Багатопрофільна стаціонарна медична допомога населенню</t>
  </si>
  <si>
    <t>Код ТПКВКМБ /
ТКВКБМС</t>
  </si>
  <si>
    <t>1110000</t>
  </si>
  <si>
    <t>1100000</t>
  </si>
  <si>
    <t>Управління молоді та спорту Хмельницької міської ради (головний розпорядник)</t>
  </si>
  <si>
    <t>Управління культури і туризму Хмельницької міської ради (головний розпорядник)</t>
  </si>
  <si>
    <t>1500000</t>
  </si>
  <si>
    <t>1510000</t>
  </si>
  <si>
    <t>Фінансове управління Хмельницької міської ради (головний розпорядник)</t>
  </si>
  <si>
    <t>1115031</t>
  </si>
  <si>
    <t>1115032</t>
  </si>
  <si>
    <t>1115061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</si>
  <si>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</si>
  <si>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</si>
  <si>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Забезпечення діяльності централізованої бухгалтерії</t>
  </si>
  <si>
    <t>Внески до статутного капіталу суб’єктів господарювання</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</si>
  <si>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</si>
  <si>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</si>
  <si>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</si>
  <si>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</si>
  <si>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</si>
  <si>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Фінансове управління Хмельницької міської ради (відповідальний виконавець)</t>
  </si>
  <si>
    <t>Заходи з енергозбереження</t>
  </si>
  <si>
    <t>0133</t>
  </si>
  <si>
    <t>0180</t>
  </si>
  <si>
    <t>1115011</t>
  </si>
  <si>
    <t>Проведення навчально-тренувальних зборів і змагань з олімпійських видів спорту</t>
  </si>
  <si>
    <t>1115012</t>
  </si>
  <si>
    <t>1115022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</si>
  <si>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</si>
  <si>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</si>
  <si>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1060</t>
  </si>
  <si>
    <t>0540</t>
  </si>
  <si>
    <t>Спеціальний фонд</t>
  </si>
  <si>
    <t>видатки споживання</t>
  </si>
  <si>
    <t>оплата праці</t>
  </si>
  <si>
    <t>видатки розвитку</t>
  </si>
  <si>
    <t>Додаток 1</t>
  </si>
  <si>
    <t>Код</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</si>
  <si>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</si>
  <si>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</si>
  <si>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</si>
  <si>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</si>
  <si>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</si>
  <si>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</si>
  <si>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</si>
  <si>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прибуток підприємств</t>
  </si>
  <si>
    <t xml:space="preserve"> Податок на прибуток підприємств та фінансових установ комунальної власності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</si>
  <si>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</si>
  <si>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</si>
  <si>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</si>
  <si>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</si>
  <si>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</si>
  <si>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</si>
  <si>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</si>
  <si>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</si>
  <si>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</si>
  <si>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</si>
  <si>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</si>
  <si>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</si>
  <si>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</si>
  <si>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</si>
  <si>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</si>
  <si>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</si>
  <si>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Єдиний податок  з фізичних осіб</t>
  </si>
  <si>
    <t xml:space="preserve">Екологічний податок </t>
  </si>
  <si>
    <t>Неподаткові надходження</t>
  </si>
  <si>
    <t xml:space="preserve">Плата за розміщення тимчасово вільних коштів </t>
  </si>
  <si>
    <t>Адміністративні штрафи та інші санкції</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</si>
  <si>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</si>
  <si>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</si>
  <si>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</si>
  <si>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</si>
  <si>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</si>
  <si>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</si>
  <si>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</si>
  <si>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</si>
  <si>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</si>
  <si>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</si>
  <si>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</si>
  <si>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</si>
  <si>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</si>
  <si>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</si>
  <si>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</si>
  <si>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</si>
  <si>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</si>
  <si>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</si>
  <si>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</si>
  <si>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</si>
  <si>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</si>
  <si>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</si>
  <si>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</si>
  <si>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</si>
  <si>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Субвенції  </t>
  </si>
  <si>
    <t xml:space="preserve">Освітня субвенція з державного бюджету місцевим бюджетам </t>
  </si>
  <si>
    <t>Додаток 2</t>
  </si>
  <si>
    <t>200000</t>
  </si>
  <si>
    <t>Внутрішнє фінансування</t>
  </si>
  <si>
    <t>208100</t>
  </si>
  <si>
    <t>На початок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</si>
  <si>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</si>
  <si>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</si>
  <si>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</si>
  <si>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600000</t>
  </si>
  <si>
    <t>Фінансування за активними операціями</t>
  </si>
  <si>
    <t>Надання кредитів</t>
  </si>
  <si>
    <t>Повернення кредитів</t>
  </si>
  <si>
    <t>Хмельницької міської ради</t>
  </si>
  <si>
    <t xml:space="preserve">Пункти Положення </t>
  </si>
  <si>
    <t>Джерела доходів</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</si>
  <si>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</si>
  <si>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</si>
  <si>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</si>
  <si>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</si>
  <si>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</si>
  <si>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</si>
  <si>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</si>
  <si>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</si>
  <si>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</si>
  <si>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</si>
  <si>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</si>
  <si>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</si>
  <si>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</si>
  <si>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3.2.5.</t>
  </si>
  <si>
    <t>3.2.6.</t>
  </si>
  <si>
    <t>Виплата винагороди головам квартальних комітетів</t>
  </si>
  <si>
    <t>3.2.7.</t>
  </si>
  <si>
    <t>Здійснення заходів з приватизації, відчуження та передачі в оренду майна комунальної власності</t>
  </si>
  <si>
    <t>0200000</t>
  </si>
  <si>
    <t>0210000</t>
  </si>
  <si>
    <t>Виконавчий комітет Хмельницької міської ради (головний розпорядник)</t>
  </si>
  <si>
    <t>Виконавчий комітет Хмельницької міської ради  (відповідальний виконавець)</t>
  </si>
  <si>
    <t>0600000</t>
  </si>
  <si>
    <t>0610000</t>
  </si>
  <si>
    <t>0700000</t>
  </si>
  <si>
    <t>0710000</t>
  </si>
  <si>
    <t>0800000</t>
  </si>
  <si>
    <t>0810000</t>
  </si>
  <si>
    <t>1200000</t>
  </si>
  <si>
    <t>1210000</t>
  </si>
  <si>
    <t>1600000</t>
  </si>
  <si>
    <t>1610000</t>
  </si>
  <si>
    <t>3600000</t>
  </si>
  <si>
    <t>3610000</t>
  </si>
  <si>
    <t>2800000</t>
  </si>
  <si>
    <t>2810000</t>
  </si>
  <si>
    <t>2700000</t>
  </si>
  <si>
    <t>2710000</t>
  </si>
  <si>
    <t>3700000</t>
  </si>
  <si>
    <t>3710000</t>
  </si>
  <si>
    <t>0490</t>
  </si>
  <si>
    <t>4060</t>
  </si>
  <si>
    <t>1014030</t>
  </si>
  <si>
    <t>4030</t>
  </si>
  <si>
    <t>0824</t>
  </si>
  <si>
    <t>Забезпечення діяльності бібліотек</t>
  </si>
  <si>
    <t>1014040</t>
  </si>
  <si>
    <t>4040</t>
  </si>
  <si>
    <t>1014060</t>
  </si>
  <si>
    <t>0828</t>
  </si>
  <si>
    <t>Забезпечення діяльності палаців i будинків культури, клубів, центрів дозвілля та iнших клубних закладів</t>
  </si>
  <si>
    <t>0960</t>
  </si>
  <si>
    <t>0829</t>
  </si>
  <si>
    <t>1113121</t>
  </si>
  <si>
    <t>3121</t>
  </si>
  <si>
    <t>1040</t>
  </si>
  <si>
    <t>5011</t>
  </si>
  <si>
    <t>5012</t>
  </si>
  <si>
    <t>5022</t>
  </si>
  <si>
    <t>1113132</t>
  </si>
  <si>
    <t>3132</t>
  </si>
  <si>
    <t>1090</t>
  </si>
  <si>
    <t>5031</t>
  </si>
  <si>
    <t>5032</t>
  </si>
  <si>
    <t>5061</t>
  </si>
  <si>
    <t>0810</t>
  </si>
  <si>
    <t>5063</t>
  </si>
  <si>
    <t>7670</t>
  </si>
  <si>
    <t>0611010</t>
  </si>
  <si>
    <t>1010</t>
  </si>
  <si>
    <t>1020</t>
  </si>
  <si>
    <t>0910</t>
  </si>
  <si>
    <t>Надання дошкільної освіти</t>
  </si>
  <si>
    <t>0611020</t>
  </si>
  <si>
    <t>0921</t>
  </si>
  <si>
    <t>1030</t>
  </si>
  <si>
    <t>1070</t>
  </si>
  <si>
    <t>0922</t>
  </si>
  <si>
    <t>0611090</t>
  </si>
  <si>
    <t>0930</t>
  </si>
  <si>
    <t>0990</t>
  </si>
  <si>
    <t>2010</t>
  </si>
  <si>
    <t>7640</t>
  </si>
  <si>
    <t>0470</t>
  </si>
  <si>
    <t>0712010</t>
  </si>
  <si>
    <t>0731</t>
  </si>
  <si>
    <t>0712030</t>
  </si>
  <si>
    <t>2030</t>
  </si>
  <si>
    <t>0733</t>
  </si>
  <si>
    <t>Лікарсько-акушерська допомога вагітним, породіллям та новонародженим</t>
  </si>
  <si>
    <t>0712080</t>
  </si>
  <si>
    <t>2080</t>
  </si>
  <si>
    <t>0721</t>
  </si>
  <si>
    <t>0712100</t>
  </si>
  <si>
    <t>2100</t>
  </si>
  <si>
    <t>0722</t>
  </si>
  <si>
    <t>Стоматологічна допомога населенню</t>
  </si>
  <si>
    <t>0712111</t>
  </si>
  <si>
    <t>2111</t>
  </si>
  <si>
    <t>Первинна медична допомога населенню, що надається центрами первинної медичної (медико-санітарної) допомоги</t>
  </si>
  <si>
    <t>0763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</si>
  <si>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</si>
  <si>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0210150</t>
  </si>
  <si>
    <t>0150</t>
  </si>
  <si>
    <t>0111</t>
  </si>
  <si>
    <t>Керівництво і управління у відповідній сфері у містах (місті Києві), селищах, селах, об’єднаних територіальних громадах</t>
  </si>
  <si>
    <t>0160</t>
  </si>
  <si>
    <t>Реалізація Національної програми інформатизації</t>
  </si>
  <si>
    <t>0217520</t>
  </si>
  <si>
    <t>7520</t>
  </si>
  <si>
    <t>0460</t>
  </si>
  <si>
    <t>0218410</t>
  </si>
  <si>
    <t>8410</t>
  </si>
  <si>
    <t>0830</t>
  </si>
  <si>
    <t>0219710</t>
  </si>
  <si>
    <t>9710</t>
  </si>
  <si>
    <t>0210180</t>
  </si>
  <si>
    <t>Інша діяльність у сфері державного управління</t>
  </si>
  <si>
    <t>Заходи з організації рятування на водах</t>
  </si>
  <si>
    <t>8120</t>
  </si>
  <si>
    <t>0320</t>
  </si>
  <si>
    <t>2717630</t>
  </si>
  <si>
    <t>Реалізація програм і заходів в галузі зовнішньоекономічної діяльності</t>
  </si>
  <si>
    <t>7630</t>
  </si>
  <si>
    <t>Інші заходи, пов'язані з економічною діяльністю</t>
  </si>
  <si>
    <t>2717693</t>
  </si>
  <si>
    <t>7693</t>
  </si>
  <si>
    <t>Сприяння розвитку малого та середнього підприємництва</t>
  </si>
  <si>
    <t>0411</t>
  </si>
  <si>
    <t>2717610</t>
  </si>
  <si>
    <t>7610</t>
  </si>
  <si>
    <t>Реалізація інших заходів щодо соціально-економічного розвитку територій</t>
  </si>
  <si>
    <t>0813160</t>
  </si>
  <si>
    <t>3160</t>
  </si>
  <si>
    <t>3104</t>
  </si>
  <si>
    <t>3105</t>
  </si>
  <si>
    <t>0813104</t>
  </si>
  <si>
    <t>0813105</t>
  </si>
  <si>
    <t>0813031</t>
  </si>
  <si>
    <t>3031</t>
  </si>
  <si>
    <t>Надання інших пільг окремим категоріям громадян відповідно до законодавства</t>
  </si>
  <si>
    <t>0813032</t>
  </si>
  <si>
    <t>3032</t>
  </si>
  <si>
    <t>3035</t>
  </si>
  <si>
    <t>0813033</t>
  </si>
  <si>
    <t>3033</t>
  </si>
  <si>
    <t>0813035</t>
  </si>
  <si>
    <t>0813036</t>
  </si>
  <si>
    <t>3036</t>
  </si>
  <si>
    <t>1216011</t>
  </si>
  <si>
    <t>6011</t>
  </si>
  <si>
    <t>Експлуатація та технічне обслуговування житлового фонду</t>
  </si>
  <si>
    <t>0620</t>
  </si>
  <si>
    <t>1216017</t>
  </si>
  <si>
    <t>6017</t>
  </si>
  <si>
    <t>6013</t>
  </si>
  <si>
    <t>Забезпечення діяльності водопровідно-каналізаційного господарства</t>
  </si>
  <si>
    <t>1216030</t>
  </si>
  <si>
    <t>6030</t>
  </si>
  <si>
    <t>Організація благоустрою населених пунктів</t>
  </si>
  <si>
    <t>7426</t>
  </si>
  <si>
    <t>Інші заходи у сфері електротранспорту</t>
  </si>
  <si>
    <t>7461</t>
  </si>
  <si>
    <t>Утримання та розвиток автомобільних доріг та дорожньої інфраструктури за рахунок коштів місцевого бюджету</t>
  </si>
  <si>
    <t>0456</t>
  </si>
  <si>
    <t>1217640</t>
  </si>
  <si>
    <t>6020</t>
  </si>
  <si>
    <t>Забезпечення функціонування підприємств, установ та організацій, що виробляють, виконують та/або надають житлово-комунальні послуги</t>
  </si>
  <si>
    <t>0217680</t>
  </si>
  <si>
    <t>7680</t>
  </si>
  <si>
    <t>1216015</t>
  </si>
  <si>
    <t>6015</t>
  </si>
  <si>
    <t>Забезпечення надійної та безперебійної експлуатації ліфтів</t>
  </si>
  <si>
    <t>0443</t>
  </si>
  <si>
    <t>7310</t>
  </si>
  <si>
    <t>3617130</t>
  </si>
  <si>
    <t>7130</t>
  </si>
  <si>
    <t>0421</t>
  </si>
  <si>
    <t>Будівництвоˈ  освітніх установ та закладів</t>
  </si>
  <si>
    <t>1517321</t>
  </si>
  <si>
    <t>7321</t>
  </si>
  <si>
    <t>1517325</t>
  </si>
  <si>
    <t>7325</t>
  </si>
  <si>
    <t>1517330</t>
  </si>
  <si>
    <t>7330</t>
  </si>
  <si>
    <t>№ п/п</t>
  </si>
  <si>
    <t>Код КПКВ</t>
  </si>
  <si>
    <t>Заходи, на які виділяються кошти</t>
  </si>
  <si>
    <t>Забезпечення діяльності інших закладів у сфері охорони здоров’я</t>
  </si>
  <si>
    <t>Інші програми та заходи у сфері охорони здоров’я</t>
  </si>
  <si>
    <t>0712151</t>
  </si>
  <si>
    <t>0712152</t>
  </si>
  <si>
    <t>2151</t>
  </si>
  <si>
    <t>2152</t>
  </si>
  <si>
    <t>0813192</t>
  </si>
  <si>
    <t>3192</t>
  </si>
  <si>
    <t>0813241</t>
  </si>
  <si>
    <t>0813242</t>
  </si>
  <si>
    <t>3241</t>
  </si>
  <si>
    <t>3242</t>
  </si>
  <si>
    <t>Інші заходи у сфері соціального захисту і соціального забезпечення</t>
  </si>
  <si>
    <t>1014081</t>
  </si>
  <si>
    <t>4081</t>
  </si>
  <si>
    <t>1014082</t>
  </si>
  <si>
    <t>4082</t>
  </si>
  <si>
    <t>Інші програми та заходи у сфері освіти</t>
  </si>
  <si>
    <t>7691</t>
  </si>
  <si>
    <t>0217691</t>
  </si>
  <si>
    <t>0610</t>
  </si>
  <si>
    <t>6084</t>
  </si>
  <si>
    <t>1116084</t>
  </si>
  <si>
    <t xml:space="preserve">Кошти від продажу земельних ділянок  несільськогосподарського призначення, що перебувають у державній або комунальній власності </t>
  </si>
  <si>
    <t xml:space="preserve">Дотації з місцевих бюджетів іншим місцевим бюджетам </t>
  </si>
  <si>
    <t>Амбулаторно-поліклінічна допомога населенню, крім первинної медичної допомоги</t>
  </si>
  <si>
    <t>0726</t>
  </si>
  <si>
    <t>3180</t>
  </si>
  <si>
    <t>0813180</t>
  </si>
  <si>
    <t>Проведення навчально-тренувальних зборів і змагань та заходів зі спорту осіб з інвалідністю</t>
  </si>
  <si>
    <t>7370</t>
  </si>
  <si>
    <t>1113133</t>
  </si>
  <si>
    <t>3133</t>
  </si>
  <si>
    <t>Управління економіки Хмельницької міської ради (головний розпорядник)</t>
  </si>
  <si>
    <t>Управління економіки Хмельницької міської ради (відповідальний виконавець)</t>
  </si>
  <si>
    <t xml:space="preserve">Зовнішнє фінансування </t>
  </si>
  <si>
    <t xml:space="preserve">Позики, надані міжнародними організаціями </t>
  </si>
  <si>
    <t>Одержано позик</t>
  </si>
  <si>
    <t xml:space="preserve">Погашено позик </t>
  </si>
  <si>
    <t>Зовнішні запозичення</t>
  </si>
  <si>
    <t xml:space="preserve">Погашення </t>
  </si>
  <si>
    <t>0170</t>
  </si>
  <si>
    <t>9770</t>
  </si>
  <si>
    <t>Інші субвенції з місцевого бюджету</t>
  </si>
  <si>
    <t>6082</t>
  </si>
  <si>
    <t>Придбання житла для окремих категорій населення відповідно до законодавства</t>
  </si>
  <si>
    <t>0816082</t>
  </si>
  <si>
    <t>3617650</t>
  </si>
  <si>
    <t>7650</t>
  </si>
  <si>
    <t>Проведення експертної грошової оцінки земельної ділянки чи права на неї</t>
  </si>
  <si>
    <t>Організація та проведення громадських робіт</t>
  </si>
  <si>
    <t>3210</t>
  </si>
  <si>
    <t>1050</t>
  </si>
  <si>
    <t xml:space="preserve">Плата за встановлення земельного сервітуту </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</si>
  <si>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t>
  </si>
  <si>
    <t>6012</t>
  </si>
  <si>
    <t>Забезпечення діяльності з виробництва, транспортування, постачання теплової енергії</t>
  </si>
  <si>
    <t>Найменування згідно з Класифікацією фінансування бюджету</t>
  </si>
  <si>
    <t xml:space="preserve">Фінансування за типом кредитора </t>
  </si>
  <si>
    <t>Загальне фінансування</t>
  </si>
  <si>
    <t>Х</t>
  </si>
  <si>
    <t xml:space="preserve">Фінансування за типом боргового зобов'язання </t>
  </si>
  <si>
    <t>Усього</t>
  </si>
  <si>
    <t>усього</t>
  </si>
  <si>
    <t>у тому числі бюджет розвитку</t>
  </si>
  <si>
    <t>загальний фонд</t>
  </si>
  <si>
    <t>спеціальний фонд</t>
  </si>
  <si>
    <t>разом</t>
  </si>
  <si>
    <t>Кредитування, усього</t>
  </si>
  <si>
    <t>Код Функціональної класифікації видатків та кредитування бюджету</t>
  </si>
  <si>
    <t>УСЬОГО</t>
  </si>
  <si>
    <t>5</t>
  </si>
  <si>
    <t>6</t>
  </si>
  <si>
    <t>7</t>
  </si>
  <si>
    <t>8</t>
  </si>
  <si>
    <t>9</t>
  </si>
  <si>
    <t>10</t>
  </si>
  <si>
    <t>11</t>
  </si>
  <si>
    <t>12</t>
  </si>
  <si>
    <t>13</t>
  </si>
  <si>
    <t>14</t>
  </si>
  <si>
    <t>15</t>
  </si>
  <si>
    <t>16</t>
  </si>
  <si>
    <t>(грн)</t>
  </si>
  <si>
    <t>Сума, грн</t>
  </si>
  <si>
    <t>Рішення 19-ї сесії Хмельницької міської ради від 21.02.2001 року №6</t>
  </si>
  <si>
    <t>Рішення 11-ї сесії Хмельницької міської ради від 25.01.2017 року №20</t>
  </si>
  <si>
    <t>Оформлення передплати на газети організаціям інвалідів, ветеранів війни і праці, окремим категоріям громадян</t>
  </si>
  <si>
    <t>Рішення позачергової 10-ї сесії Хмельницької міської ради від 29.12.2016 року №4</t>
  </si>
  <si>
    <t>Рішення позачергової 10-ї сесії Хмельницької міської ради від 29.12.2016 року №2</t>
  </si>
  <si>
    <t>7413</t>
  </si>
  <si>
    <t>0451</t>
  </si>
  <si>
    <t>Інші заходи у сфері автотранспорту</t>
  </si>
  <si>
    <t>0810160</t>
  </si>
  <si>
    <t>0710160</t>
  </si>
  <si>
    <t>1510160</t>
  </si>
  <si>
    <t>3610160</t>
  </si>
  <si>
    <t>1610160</t>
  </si>
  <si>
    <t>3710160</t>
  </si>
  <si>
    <t>1210160</t>
  </si>
  <si>
    <t>2810160</t>
  </si>
  <si>
    <t>0817691</t>
  </si>
  <si>
    <t>1217691</t>
  </si>
  <si>
    <t>Рішення 21-ї сесії Хмельницької міської ради від 11.04.2018 року №11</t>
  </si>
  <si>
    <t>у тому числі  бюджет розвитку</t>
  </si>
  <si>
    <t>Офіційні трансферти</t>
  </si>
  <si>
    <t>0813210</t>
  </si>
  <si>
    <t>Забезпечення діяльності інклюзивно-ресурсних центрів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</si>
  <si>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</si>
  <si>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</si>
  <si>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3140</t>
  </si>
  <si>
    <t>1515043</t>
  </si>
  <si>
    <t>5043</t>
  </si>
  <si>
    <t>0717670</t>
  </si>
  <si>
    <t>Програма «Здоров’я хмельничан» на 2017-2021 роки (із змінами і доповненнями)</t>
  </si>
  <si>
    <t>1517370</t>
  </si>
  <si>
    <t xml:space="preserve">Субвенції з державного бюджету місцевим бюджетам </t>
  </si>
  <si>
    <t>Залишок коштів на 01.01.2020 року</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</si>
  <si>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t>
  </si>
  <si>
    <t>Республіки Крим, органами місцевого самоврядування і місцевими органами виконавчої влади</t>
  </si>
  <si>
    <t>Членські внески до асоціацій органів місцевого самоврядування</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</si>
  <si>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</si>
  <si>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1900000</t>
  </si>
  <si>
    <t>1910000</t>
  </si>
  <si>
    <t>Управління транспорту та зв'язку Хмельницької міської ради (головний розпорядник)</t>
  </si>
  <si>
    <t>Управління транспорту та зв'язку Хмельницької міської ради (відповідальний виконавець)</t>
  </si>
  <si>
    <t>1910160</t>
  </si>
  <si>
    <t>Програма
бюджетування за участі громадськості (Бюджет участі) міста Хмельницького на 2020 - 2022 роки</t>
  </si>
  <si>
    <t>Рішення 32-ї сесії Хмельницької міської ради від 26.06.2019 року №9</t>
  </si>
  <si>
    <t>Реверсна дотація</t>
  </si>
  <si>
    <t>Обслуговування місцевого боргу</t>
  </si>
  <si>
    <t xml:space="preserve"> 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</si>
  <si>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</si>
  <si>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Надання реабілітаційних послуг особам з інвалідністю та дітям з інвалідністю</t>
  </si>
  <si>
    <t>Надання пільгових довгострокових кредитів молодим сім'ям та одиноким молодим громадянам на будівництво/придбання житла</t>
  </si>
  <si>
    <t>1118821</t>
  </si>
  <si>
    <t>1118822</t>
  </si>
  <si>
    <t>8821</t>
  </si>
  <si>
    <t>8822</t>
  </si>
  <si>
    <t>Здійснення заходів із землеустрою</t>
  </si>
  <si>
    <t>Будівництвоˈ інших об'єктів комунальної власності</t>
  </si>
  <si>
    <t>Забезпечення діяльності музеїв i виставок</t>
  </si>
  <si>
    <t>Забезпечення діяльності інших закладів в галузі культури і мистецтва</t>
  </si>
  <si>
    <t>Інші заходи в галузі культури і мистецтва</t>
  </si>
  <si>
    <t>Інша діяльність, пов’язана з експлуатацією об’єктів житлово-комунального господарства</t>
  </si>
  <si>
    <t>1917413</t>
  </si>
  <si>
    <t>1917426</t>
  </si>
  <si>
    <t>Будівництвоˈ об'єктів житлово-комунального господарства</t>
  </si>
  <si>
    <t>3.2.4.</t>
  </si>
  <si>
    <t>3.2.10.</t>
  </si>
  <si>
    <t>3.2.15.</t>
  </si>
  <si>
    <t xml:space="preserve">Субвенції з місцевих бюджетів іншим місцевим бюджетам </t>
  </si>
  <si>
    <t>Субвенція з місцевого бюджету на здійснення переданих видатків у сфері освіти за рахунок коштів освітньої субвенції</t>
  </si>
  <si>
    <t>0712144</t>
  </si>
  <si>
    <t>2144</t>
  </si>
  <si>
    <t>Централізовані заходи з лікування хворих на цукровий та нецукровий діабет</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</si>
  <si>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</si>
  <si>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</si>
  <si>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</si>
  <si>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</si>
  <si>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</si>
  <si>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</si>
  <si>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</si>
  <si>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</si>
  <si>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</si>
  <si>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Цільові фонди </t>
  </si>
  <si>
    <t>Усього доходів (без врахування міжбюджетних трансфертів)</t>
  </si>
  <si>
    <t>Рішення 34-ї сесії Хмельницької міської ради від 09.10.2019 року №38</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</si>
  <si>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</si>
  <si>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</si>
  <si>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</si>
  <si>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Додаток 3</t>
  </si>
  <si>
    <t>УСЬОГО:</t>
  </si>
  <si>
    <t>Найменування місцевої / регіональної програми</t>
  </si>
  <si>
    <t>Дата і номер документа, яким затверджено місцеву / регіональну програму</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</si>
  <si>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</si>
  <si>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0611030</t>
  </si>
  <si>
    <t>Надання позашкільної освіти закладами позашкільної освіти, заходи із позашкільної роботи з дітьми</t>
  </si>
  <si>
    <t>Підготовка кадрів закладами професійної (професійно-технічної) освіти та іншими закладами освіти</t>
  </si>
  <si>
    <t>Забезпечення діяльності інших закладів у сфері освіти</t>
  </si>
  <si>
    <t>Повернення довгострокових кредитів, наданих громадянам на будівництво/реконструкцію/придбання житла</t>
  </si>
  <si>
    <t>1118842</t>
  </si>
  <si>
    <t>8842</t>
  </si>
  <si>
    <t>0712020</t>
  </si>
  <si>
    <t>Спеціалізована стаціонарна медична допомога населенню</t>
  </si>
  <si>
    <t>0732</t>
  </si>
  <si>
    <t>2020</t>
  </si>
  <si>
    <t>0719770</t>
  </si>
  <si>
    <t>5062</t>
  </si>
  <si>
    <t>Підтримка спорту вищих досягнень та організацій, які здійснюють фізкультурно-спортивну діяльність в регіоні</t>
  </si>
  <si>
    <t>1115062</t>
  </si>
  <si>
    <t>0219800</t>
  </si>
  <si>
    <t>9800</t>
  </si>
  <si>
    <t>Субвенція з місцевого бюджету державному бюджету на виконання програм соціально-економічного розвитку регіонів</t>
  </si>
  <si>
    <t>8110</t>
  </si>
  <si>
    <t>Заходи із запобігання та ліквідації надзвичайних ситуацій та наслідків стихійного лиха</t>
  </si>
  <si>
    <t>Придбання обладнання і предметів довгострокового користування</t>
  </si>
  <si>
    <t>2017 - 2022 роки</t>
  </si>
  <si>
    <t>2019 - 2021 роки</t>
  </si>
  <si>
    <t xml:space="preserve">Начальник фінансового управління </t>
  </si>
  <si>
    <t xml:space="preserve">С. ЯМЧУК </t>
  </si>
  <si>
    <t xml:space="preserve">                                   Начальник фінансового управління                                                                                            Ю. САБІЙ</t>
  </si>
  <si>
    <t xml:space="preserve">Рентна плата та плата за використання ішших природних ресурсів </t>
  </si>
  <si>
    <t xml:space="preserve">Рентна плата за спеціальне використання лісових ресурсів </t>
  </si>
  <si>
    <t>Рентна плата за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</si>
  <si>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 xml:space="preserve">Рентна плата за користування надрами </t>
  </si>
  <si>
    <t xml:space="preserve">Рентна плата за користуваання надрами для видобудування корисних копалин загальнодержавного значення </t>
  </si>
  <si>
    <t>Внутрішні податки на товари та послуги</t>
  </si>
  <si>
    <t>Інші податки та збори</t>
  </si>
  <si>
    <t>Надходження  від викидів забруднюючих речовин в атмосферне повітря стаціонарними джерелами забруднення (за винятком викидів в атмосферне повітря двоокису вуглецю)</t>
  </si>
  <si>
    <t>Доходи від власності та підприємницької діяльності</t>
  </si>
  <si>
    <t>Частина чистого прибутку (доходу)  державних або кумунальних унітраних підприємств та їх обєднань, що вилучається до відповідного бюджету</t>
  </si>
  <si>
    <t>Плата за надання адміністративних послуг</t>
  </si>
  <si>
    <t>Надходження від орендної плати за користування цілісним майновим комплексом та іншим державним майном</t>
  </si>
  <si>
    <t xml:space="preserve">Кошти від реалізації скарбів, майна, одержаного державною або територіальною громадою  в порядку спадкування чи дарування, а також валютні цінності і грошові кошти, власники яких невідомі </t>
  </si>
  <si>
    <t xml:space="preserve">Єдиний податок з сільськогосподарських товаровиробників, у яких частка сільськогосподарського виробництва за попередній податковий (звітний) рік дорівнює або перевищує 75 відсотків </t>
  </si>
  <si>
    <t>1400000</t>
  </si>
  <si>
    <t>1410000</t>
  </si>
  <si>
    <t>1410160</t>
  </si>
  <si>
    <t>1410180</t>
  </si>
  <si>
    <t>1416012</t>
  </si>
  <si>
    <t>1416013</t>
  </si>
  <si>
    <t>1416020</t>
  </si>
  <si>
    <t>1416030</t>
  </si>
  <si>
    <t>1417310</t>
  </si>
  <si>
    <t>1417461</t>
  </si>
  <si>
    <t>1417640</t>
  </si>
  <si>
    <t>1417670</t>
  </si>
  <si>
    <t>1417691</t>
  </si>
  <si>
    <t>1418110</t>
  </si>
  <si>
    <t>1418120</t>
  </si>
  <si>
    <t>1418130</t>
  </si>
  <si>
    <t>8130</t>
  </si>
  <si>
    <t>Забезпечення діяльності місцевої пожежної охорони</t>
  </si>
  <si>
    <t>2021 рік</t>
  </si>
  <si>
    <t>Управління комунальної інфраструктури Хмельницької міської ради (головний розпорядник)</t>
  </si>
  <si>
    <t>Управління комунальної інфраструктури Хмельницької міської ради (відповідальний виконавець)</t>
  </si>
  <si>
    <t>Управління житлової політики і майна Хмельницької міської ради (головний розпорядник)</t>
  </si>
  <si>
    <t>Управління житлової політики і майна Хмельницької міської ради (відповідальний виконавець)</t>
  </si>
  <si>
    <t>Індивідуальне навчання, одяг сиротам</t>
  </si>
  <si>
    <t>Виплата 1810 грн сиротам при досягненні 18 років</t>
  </si>
  <si>
    <t>РОЗПОДІЛ</t>
  </si>
  <si>
    <t>Найменування головного розпорядника коштів бюджету  Хмельницької міської територіальної громади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</si>
  <si>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доходів та видатків цільового фонду</t>
  </si>
  <si>
    <t>КОШТОРИС</t>
  </si>
  <si>
    <t>природоохоронних заходів,</t>
  </si>
  <si>
    <t>ПЕРЕЛІК</t>
  </si>
  <si>
    <t>КРЕДИТУВАННЯ</t>
  </si>
  <si>
    <t>ФІНАНСУВАННЯ</t>
  </si>
  <si>
    <t>Найменування головного розпорядника коштів бюджету Хмельницької міської територіальної громади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</si>
  <si>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Державний бюджет України</t>
  </si>
  <si>
    <t>0219770</t>
  </si>
  <si>
    <t>22317200000</t>
  </si>
  <si>
    <t>Районний бюджет Хмельницького району</t>
  </si>
  <si>
    <t>Бюджет Красилівської міської територіальної громади</t>
  </si>
  <si>
    <t>Бюджет Заслучненської сільської територіальної громади</t>
  </si>
  <si>
    <t>22522000000</t>
  </si>
  <si>
    <t>Бюджет Чорноострівської селищної територіальної громади</t>
  </si>
  <si>
    <t>Програма розвитку освіти Хмельницької міської територіальної громади на 2017-2021 роки (із змінами і доповненнями)</t>
  </si>
  <si>
    <t>Комплексна програма «Піклування» в Хмельницькій міській територіальній громаді на 2017 - 2021 роки (із змінами і доповненнями)</t>
  </si>
  <si>
    <t>0210160</t>
  </si>
  <si>
    <t>1019770</t>
  </si>
  <si>
    <t>Рішення позачергової 46-ї сесії Хмельницької міської ради від 07.10.2020 року №3</t>
  </si>
  <si>
    <t>Плата за гарантії, надані Верховною Радою Автономної Республіки    Крим та міськими радами</t>
  </si>
  <si>
    <t>Додаток №5</t>
  </si>
  <si>
    <t>Додаток №7</t>
  </si>
  <si>
    <t>Додаток 8</t>
  </si>
  <si>
    <t>Додаток  9</t>
  </si>
  <si>
    <t>Найменування трансферту /
Найменування бюджету – надавача міжбюджетного трансферту</t>
  </si>
  <si>
    <t>Код Класифікації доходу бюджету /
Код бюджету</t>
  </si>
  <si>
    <t>І. Трансферти до загального фонду бюджету</t>
  </si>
  <si>
    <t>ІІ. Трансферти до спеціального фонду бюджету</t>
  </si>
  <si>
    <t>УСЬОГО за розділами І, ІІ, у тому числі:</t>
  </si>
  <si>
    <t>Код Програмної класифікації видатків та кредитування місцевого бюджету /
Код бюджету</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</si>
  <si>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</si>
  <si>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</si>
  <si>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</si>
  <si>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3719110</t>
  </si>
  <si>
    <t>9110</t>
  </si>
  <si>
    <t>41033900</t>
  </si>
  <si>
    <t>41030000</t>
  </si>
  <si>
    <t>1117670</t>
  </si>
  <si>
    <t>2019 - 2023 роки</t>
  </si>
  <si>
    <t>Обласний бюджет Хмельницької області</t>
  </si>
  <si>
    <t>41040000</t>
  </si>
  <si>
    <t>41040200</t>
  </si>
  <si>
    <t>41050000</t>
  </si>
  <si>
    <t xml:space="preserve">Субвеції з місцевих бюджетів іншим місцевим бюджетам </t>
  </si>
  <si>
    <t>41051000</t>
  </si>
  <si>
    <t xml:space="preserve">Субвенції з місцевого бюджету на здійснення переданих видатків у сфері освіти за рахунок коштів освітньої субвенції </t>
  </si>
  <si>
    <t>41051200</t>
  </si>
  <si>
    <t>41055000</t>
  </si>
  <si>
    <t xml:space="preserve">Освітня субвенція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</si>
  <si>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</si>
  <si>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t>
  </si>
  <si>
    <t xml:space="preserve">Пальне </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</si>
  <si>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</si>
  <si>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</si>
  <si>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0210170</t>
  </si>
  <si>
    <t>0131</t>
  </si>
  <si>
    <t>Підвищення кваліфікації депутатів місцевих рад та посадових осіб місцевого самоврядування</t>
  </si>
  <si>
    <t>1210170</t>
  </si>
  <si>
    <t>0810170</t>
  </si>
  <si>
    <t>1410170</t>
  </si>
  <si>
    <t>1510170</t>
  </si>
  <si>
    <t>1610170</t>
  </si>
  <si>
    <t>1910170</t>
  </si>
  <si>
    <t>2810170</t>
  </si>
  <si>
    <t>3710170</t>
  </si>
  <si>
    <t>Надання фінансової підтримки громадським об'єднанням ветеранів і осіб з інвалідністю, діяльність яких має соціальну спрямованість</t>
  </si>
  <si>
    <t>1011080</t>
  </si>
  <si>
    <t>1080</t>
  </si>
  <si>
    <t>Утримання та забезпечення діяльності центрів соціальних служб</t>
  </si>
  <si>
    <t>Витрати, пов’язані з наданням та обслуговуванням пільгових довгострокових кредитів, наданих громадянам на будівництво/реконструкцію/ придбання житла</t>
  </si>
  <si>
    <t>Резервний фонд місцевого бюджету</t>
  </si>
  <si>
    <t>0611021</t>
  </si>
  <si>
    <t>1021</t>
  </si>
  <si>
    <t>Надання загальної середньої освіти за рахунок коштів місцевого бюджету</t>
  </si>
  <si>
    <t>0611200</t>
  </si>
  <si>
    <t>1200</t>
  </si>
  <si>
    <t>0611160</t>
  </si>
  <si>
    <t>1160</t>
  </si>
  <si>
    <t>Забезпечення діяльності центрів професійного розвитку педагогічних працівників</t>
  </si>
  <si>
    <t>0611022</t>
  </si>
  <si>
    <t>1022</t>
  </si>
  <si>
    <t>0611180</t>
  </si>
  <si>
    <t>1180</t>
  </si>
  <si>
    <t>0611181</t>
  </si>
  <si>
    <t>1181</t>
  </si>
  <si>
    <t>Надання загальної середньої освіти за рахунок освітньої субвенції</t>
  </si>
  <si>
    <t>0611031</t>
  </si>
  <si>
    <t>1031</t>
  </si>
  <si>
    <t>0611070</t>
  </si>
  <si>
    <t>0611091</t>
  </si>
  <si>
    <t>1091</t>
  </si>
  <si>
    <t>Підготовка кадрів закладами професійної (професійно-технічної) освіти та іншими закладами освіти за рахунок коштів місцевого бюджету</t>
  </si>
  <si>
    <t>1092</t>
  </si>
  <si>
    <t>0611092</t>
  </si>
  <si>
    <t>Підготовка кадрів закладами професійної (професійно-технічної) освіти та іншими закладами освіти за рахунок освітньої субвенції</t>
  </si>
  <si>
    <t>1140</t>
  </si>
  <si>
    <t>0611140</t>
  </si>
  <si>
    <t>Інші програми, заклади та заходи у сфері освіти</t>
  </si>
  <si>
    <t>0611141</t>
  </si>
  <si>
    <t>1141</t>
  </si>
  <si>
    <t>0611142</t>
  </si>
  <si>
    <t>1142</t>
  </si>
  <si>
    <t>0611150</t>
  </si>
  <si>
    <t>1150</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</si>
  <si>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</si>
  <si>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</si>
  <si>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</si>
  <si>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</si>
  <si>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</si>
  <si>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</si>
  <si>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0210100</t>
  </si>
  <si>
    <t>0100</t>
  </si>
  <si>
    <t>Державне управління</t>
  </si>
  <si>
    <t>0217500</t>
  </si>
  <si>
    <t>7500</t>
  </si>
  <si>
    <t>Зв'язок, телекомунікації та інформатика</t>
  </si>
  <si>
    <t>Інші програми та заходи, пов'язані з економічною діяльністю</t>
  </si>
  <si>
    <t>0217600</t>
  </si>
  <si>
    <t>7600</t>
  </si>
  <si>
    <t>Інша економічна діяльність</t>
  </si>
  <si>
    <t>0217690</t>
  </si>
  <si>
    <t>7690</t>
  </si>
  <si>
    <t>0218000</t>
  </si>
  <si>
    <t>8000</t>
  </si>
  <si>
    <t>Інша діяльність</t>
  </si>
  <si>
    <t>0218400</t>
  </si>
  <si>
    <t>8400</t>
  </si>
  <si>
    <t>0219000</t>
  </si>
  <si>
    <t>9000</t>
  </si>
  <si>
    <t>Міжбюджетні трансферти</t>
  </si>
  <si>
    <t>0219700</t>
  </si>
  <si>
    <t>9700</t>
  </si>
  <si>
    <t>Субвенції з місцевого бюджету іншим місцевим бюджетам на здійснення програм та заходів за рахунок коштів місцевих бюджетів</t>
  </si>
  <si>
    <t>0611000</t>
  </si>
  <si>
    <t>1000</t>
  </si>
  <si>
    <t>Освіта</t>
  </si>
  <si>
    <t>0613000</t>
  </si>
  <si>
    <t>3000</t>
  </si>
  <si>
    <t>Соціальний захист та соціальне забезпечення</t>
  </si>
  <si>
    <t>0710100</t>
  </si>
  <si>
    <t>0712000</t>
  </si>
  <si>
    <t>2000</t>
  </si>
  <si>
    <t>Охорона здоров’я</t>
  </si>
  <si>
    <t>0712110</t>
  </si>
  <si>
    <t>2110</t>
  </si>
  <si>
    <t>Первинна медична допомога населенню</t>
  </si>
  <si>
    <t>0712140</t>
  </si>
  <si>
    <t>2140</t>
  </si>
  <si>
    <t>Програми і централізовані заходи у галузі охорони здоров’я</t>
  </si>
  <si>
    <t>0712150</t>
  </si>
  <si>
    <t>2150</t>
  </si>
  <si>
    <t>Інші програми, заклади та заходи у сфері охорони здоров’я</t>
  </si>
  <si>
    <t>0717600</t>
  </si>
  <si>
    <t>0810100</t>
  </si>
  <si>
    <t>0813000</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</si>
  <si>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</si>
  <si>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</si>
  <si>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</si>
  <si>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</si>
  <si>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</si>
  <si>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</si>
  <si>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0813190</t>
  </si>
  <si>
    <t>3190</t>
  </si>
  <si>
    <t>Соціальний захист ветеранів війни та праці</t>
  </si>
  <si>
    <t>0813240</t>
  </si>
  <si>
    <t>3240</t>
  </si>
  <si>
    <t xml:space="preserve"> Інші заклади та заходи</t>
  </si>
  <si>
    <t>0816000</t>
  </si>
  <si>
    <t>6000</t>
  </si>
  <si>
    <t>Житлово-комунальне господарство</t>
  </si>
  <si>
    <t>0816080</t>
  </si>
  <si>
    <t>6080</t>
  </si>
  <si>
    <t>Реалізація державних та місцевих житлових програм</t>
  </si>
  <si>
    <t>0217000</t>
  </si>
  <si>
    <t>7000</t>
  </si>
  <si>
    <t xml:space="preserve"> Економічна діяльність</t>
  </si>
  <si>
    <t>0817000</t>
  </si>
  <si>
    <t>0817690</t>
  </si>
  <si>
    <t>0817600</t>
  </si>
  <si>
    <t>1011000</t>
  </si>
  <si>
    <t>1014000</t>
  </si>
  <si>
    <t>4000</t>
  </si>
  <si>
    <t>Культура i мистецтво</t>
  </si>
  <si>
    <t>1014080</t>
  </si>
  <si>
    <t>4080</t>
  </si>
  <si>
    <t>Інші заклади та заходи в галузі культури і мистецтва</t>
  </si>
  <si>
    <t>1019000</t>
  </si>
  <si>
    <t>1019700</t>
  </si>
  <si>
    <t>1113000</t>
  </si>
  <si>
    <t>1113120</t>
  </si>
  <si>
    <t>3120</t>
  </si>
  <si>
    <t>Здійснення соціальної роботи з вразливими категоріями населення</t>
  </si>
  <si>
    <t>1113130</t>
  </si>
  <si>
    <t>3130</t>
  </si>
  <si>
    <t>1115000</t>
  </si>
  <si>
    <t>5000</t>
  </si>
  <si>
    <t xml:space="preserve"> Фiзична культура i спорт</t>
  </si>
  <si>
    <t>1115010</t>
  </si>
  <si>
    <t>5010</t>
  </si>
  <si>
    <t>Проведення спортивної роботи в регіоні</t>
  </si>
  <si>
    <t>1115020</t>
  </si>
  <si>
    <t>5020</t>
  </si>
  <si>
    <t>Здійснення фізкультурно-спортивної та реабілітаційної роботи серед осіб з інвалідністю</t>
  </si>
  <si>
    <t>1115030</t>
  </si>
  <si>
    <t>5030</t>
  </si>
  <si>
    <t xml:space="preserve"> Розвиток дитячо-юнацького та резервного спорту</t>
  </si>
  <si>
    <t>1115060</t>
  </si>
  <si>
    <t>5060</t>
  </si>
  <si>
    <t>Інші заходи з розвитку фізичної культури та спорту</t>
  </si>
  <si>
    <t>1116000</t>
  </si>
  <si>
    <t>1116080</t>
  </si>
  <si>
    <t>1117000</t>
  </si>
  <si>
    <t>1117600</t>
  </si>
  <si>
    <t>1210100</t>
  </si>
  <si>
    <t>1216000</t>
  </si>
  <si>
    <t>1216010</t>
  </si>
  <si>
    <t>6010</t>
  </si>
  <si>
    <t>Утримання та ефективна експлуатація об’єктів житлово-комунального господарства</t>
  </si>
  <si>
    <t>1217000</t>
  </si>
  <si>
    <t>Економічна діяльність</t>
  </si>
  <si>
    <t>1217600</t>
  </si>
  <si>
    <t>1217690</t>
  </si>
  <si>
    <t xml:space="preserve"> Інша економічна діяльність</t>
  </si>
  <si>
    <t>1410100</t>
  </si>
  <si>
    <t>1416000</t>
  </si>
  <si>
    <t>1416010</t>
  </si>
  <si>
    <t>1417000</t>
  </si>
  <si>
    <t>7300</t>
  </si>
  <si>
    <t>Будівництво та регіональний розвиток</t>
  </si>
  <si>
    <t>1417400</t>
  </si>
  <si>
    <t>7400</t>
  </si>
  <si>
    <t>Транспорт та транспортна інфраструктура, дорожнє господарство</t>
  </si>
  <si>
    <t>1417600</t>
  </si>
  <si>
    <t>1417690</t>
  </si>
  <si>
    <t>1418000</t>
  </si>
  <si>
    <t>1418100</t>
  </si>
  <si>
    <t>8100</t>
  </si>
  <si>
    <t>1510100</t>
  </si>
  <si>
    <t>1515000</t>
  </si>
  <si>
    <t>1515040</t>
  </si>
  <si>
    <t>5040</t>
  </si>
  <si>
    <t>Підтримка і розвиток спортивної інфраструктури</t>
  </si>
  <si>
    <t>1517000</t>
  </si>
  <si>
    <t>1517300</t>
  </si>
  <si>
    <t>7320</t>
  </si>
  <si>
    <t>1610100</t>
  </si>
  <si>
    <t>1910100</t>
  </si>
  <si>
    <t>1917000</t>
  </si>
  <si>
    <t>1917400</t>
  </si>
  <si>
    <t>1917420</t>
  </si>
  <si>
    <t>7420</t>
  </si>
  <si>
    <t>Забезпечення надання послуг з перевезення пасажирів електротранспортом</t>
  </si>
  <si>
    <t>2717000</t>
  </si>
  <si>
    <t>2717600</t>
  </si>
  <si>
    <t>2717690</t>
  </si>
  <si>
    <t>2810100</t>
  </si>
  <si>
    <t>2818000</t>
  </si>
  <si>
    <t>2818300</t>
  </si>
  <si>
    <t>8300</t>
  </si>
  <si>
    <t>Охорона навколишнього природного середовища</t>
  </si>
  <si>
    <t>3610100</t>
  </si>
  <si>
    <t>3617000</t>
  </si>
  <si>
    <t>3617100</t>
  </si>
  <si>
    <t>7100</t>
  </si>
  <si>
    <t>Сільське, лісове, рибне господарство та мисливство</t>
  </si>
  <si>
    <t>3617600</t>
  </si>
  <si>
    <t xml:space="preserve"> Інші програми та заходи, пов'язані з економічною діяльністю</t>
  </si>
  <si>
    <t>3710100</t>
  </si>
  <si>
    <t>3718000</t>
  </si>
  <si>
    <t>Резервний фонд</t>
  </si>
  <si>
    <t>3719000</t>
  </si>
  <si>
    <t>Дотації з місцевого бюджету іншим бюджетам</t>
  </si>
  <si>
    <t>9100</t>
  </si>
  <si>
    <t>1118000</t>
  </si>
  <si>
    <t xml:space="preserve"> Інша діяльність</t>
  </si>
  <si>
    <t>1118800</t>
  </si>
  <si>
    <t>8800</t>
  </si>
  <si>
    <t>Кредитування</t>
  </si>
  <si>
    <t>1118820</t>
  </si>
  <si>
    <t>8820</t>
  </si>
  <si>
    <t>Рішення 2-ї сесії Хмельницької міської ради від 23.12.2020 року №22</t>
  </si>
  <si>
    <t xml:space="preserve">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t>
  </si>
  <si>
    <t>Рішення 2-ї сесії Хмельницької міської ради від 23.12.2020 року №9</t>
  </si>
  <si>
    <t>Програма економічного і соціального розвитку Хмельницької міської територіальної громади на 2021 рік</t>
  </si>
  <si>
    <t>Рішення 2-ї сесії Хмельницької міської ради від 23.12.2020 року №10</t>
  </si>
  <si>
    <t>Рішення 2-ї сесії Хмельницької міської ради від 23.12.2020 року №11</t>
  </si>
  <si>
    <t>Програма підтримки книговидання та читацької культури у Хмельницькій міській територіальній громаді на 2021-2025 роки «#ЩодняЧитай українською»</t>
  </si>
  <si>
    <t>Рішення 2-ї сесії Хмельницької міської ради від 23.12.2020 року №31</t>
  </si>
  <si>
    <t>Програма розвитку Хмельницької міської територіальної громади у сфері культури на 2021-2025 роки "Нова лінія культурних змін"</t>
  </si>
  <si>
    <t>Рішення 2-ї сесії Хмельницької міської ради від 23.12.2020 року №32</t>
  </si>
  <si>
    <t>Рішення 2-ї сесії Хмельницької міської ради від 23.12.2020 року №33</t>
  </si>
  <si>
    <t>Рішення 2-ї сесії Хмельницької міської ради від 23.12.2020 року №36</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</si>
  <si>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t>
  </si>
  <si>
    <t>Рішення 2-ї сесії Хмельницької міської ради від 23.12.2020 року №50</t>
  </si>
  <si>
    <t>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t>
  </si>
  <si>
    <t>Рішення 2-ї сесії Хмельницької міської ради від 23.12.2020 року №57</t>
  </si>
  <si>
    <t>Рішення 2-ї сесії Хмельницької міської ради від 23.12.2020 року №67</t>
  </si>
  <si>
    <t>Програма розвитку велоінфраструктури м.Хмельницького на 2017-2025 роки</t>
  </si>
  <si>
    <t>Програма поводження з побутовими відходами "Розумне Довкілля.  Хмельницький" на 2021 - 2022 роки</t>
  </si>
  <si>
    <t>Пільгові довгострокові кредити молодим сім'ям та одиноким молодим громадянам на будівництво/реконструкцію/придбання житла та їх повернення</t>
  </si>
  <si>
    <t>Повернення пільгових довгострокових кредитів, наданих молодим сім'ям та одиноким молодим громадянам на будівництво/реконструкцію/придбання житла</t>
  </si>
  <si>
    <t xml:space="preserve"> Надання пільгових довгострокових кредитів молодим сім'ям та одиноким молодим громадянам на будівництво/реконструкцію/придбання житла</t>
  </si>
  <si>
    <t>0813170</t>
  </si>
  <si>
    <t>3170</t>
  </si>
  <si>
    <t>Забезпечення реалізації окремих програм для осіб з інвалідністю</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</si>
  <si>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2021 рік</t>
  </si>
  <si>
    <t>Рішення 4-ї сесії Хмельницької міської ради від 17.02.2021 року №7</t>
  </si>
  <si>
    <t xml:space="preserve">Управління з питань екології та контролю за благоустроєм  Хмельницької міської ради  (відповідальний виконавець) </t>
  </si>
  <si>
    <t xml:space="preserve">Управління з питань екології та контролю за благоустроєм  Хмельницької міської ради  (головний розпорядник) </t>
  </si>
  <si>
    <t xml:space="preserve">Управління з питань екології та контролю за благоустроєм Хмельницької міської ради  (головний розпорядник) </t>
  </si>
  <si>
    <t xml:space="preserve">Управління з питань екології та контролю за благоустроєм Хмельницької міської ради  (відповідальний виконавець) </t>
  </si>
  <si>
    <t>Рішення 13-ї сесії Хмельницької міської ради від 22.03.2017 року №33</t>
  </si>
  <si>
    <t>Управління капітального будівництва Хмельницької міської ради (головний розпорядник)</t>
  </si>
  <si>
    <t>Управління капітального будівництва Хмельницької міської ради (відповідальний виконавець)</t>
  </si>
  <si>
    <t>Управління архітектури та містобудування Хмельницької міської ради (головний розпорядник)</t>
  </si>
  <si>
    <t>Управління архітектури та містобудування  Хмельницької міської ради  (відповідальний виконавець)</t>
  </si>
  <si>
    <t>Управління земельних ресурсів Хмельницької міської ради (відповідальний розпорядник)</t>
  </si>
  <si>
    <t>Управління земельних ресурсів Хмельницької міської ради (головний розпорядник)</t>
  </si>
  <si>
    <t xml:space="preserve">які будуть фінансуватися з Фонду охорони навколишнього природного середовища </t>
  </si>
  <si>
    <t>Управління архітектури та містобудування Хмельницької міської ради  (відповідальний виконавець)</t>
  </si>
  <si>
    <t>Управління земельних ресурсів та земельної реформи Хмельницької міської ради (головний розпорядник)</t>
  </si>
  <si>
    <t>Управління земельних ресурсів та земельної реформи  Хмельницької міської ради (відповідальний розпорядник)</t>
  </si>
  <si>
    <t>Інші субвенції з місцевого бюджету, в тому числі:</t>
  </si>
  <si>
    <t xml:space="preserve"> - пільгове медичне обслуговування осіб, які постраждали внаслідок Чорнобильської катастрофи </t>
  </si>
  <si>
    <t xml:space="preserve"> - 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</si>
  <si>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  - поховання учасників бойових дій та осіб з інвалідністю внаслідок війни</t>
  </si>
  <si>
    <t>Внески до статутного капіталу МКП "Хмельницькводоканал" (Реконструкція водопроводу від  вул.Проскурівська по пров. Проскурівський, вул. Пилипчука до пров. Шевченка в м. Хмельницький)</t>
  </si>
  <si>
    <t>2719000</t>
  </si>
  <si>
    <t>2719700</t>
  </si>
  <si>
    <t>2719770</t>
  </si>
  <si>
    <t>1617000</t>
  </si>
  <si>
    <t>1617300</t>
  </si>
  <si>
    <t>1617350</t>
  </si>
  <si>
    <t>7350</t>
  </si>
  <si>
    <t>Розроблення схем планування та забудови територій (містобудівної документації)</t>
  </si>
  <si>
    <t>0217693</t>
  </si>
  <si>
    <t>1017000</t>
  </si>
  <si>
    <t>1017600</t>
  </si>
  <si>
    <t>1017670</t>
  </si>
  <si>
    <t>1217670</t>
  </si>
  <si>
    <t>0810180</t>
  </si>
  <si>
    <t>0813060</t>
  </si>
  <si>
    <t>3060</t>
  </si>
  <si>
    <t>Оздоровлення громадян, які постраждали внаслідок Чорнобильської катастрофи</t>
  </si>
  <si>
    <t>0817323</t>
  </si>
  <si>
    <t>7323</t>
  </si>
  <si>
    <t>1517310</t>
  </si>
  <si>
    <t>1510180</t>
  </si>
  <si>
    <t>1216020</t>
  </si>
  <si>
    <t>0611060</t>
  </si>
  <si>
    <t>0611061</t>
  </si>
  <si>
    <t>1061</t>
  </si>
  <si>
    <t>Реконструкція будівлі №45/312 (контрольно-технічний пункт), військового містечка №45 військової частини А0661</t>
  </si>
  <si>
    <t>Рішення 4-ї сесії Хмельницької міської ради від 17.02.2021 року №2</t>
  </si>
  <si>
    <t>Рішення 3-ї сесії Хмельницької міської ради від 14.01.2021 року №1</t>
  </si>
  <si>
    <t>Реконструкція існуючої будівлі краєзнавчого музею під музейний комплекс історії та культури по вул.Свободи, 22 в м.Хмельницькому</t>
  </si>
  <si>
    <t xml:space="preserve">Реконструкція з добудовою їдальні до існуючого приміщення спеціалізованої загальноосвітньої школи І-ІІІ ступенів №8 по вул. Я. Гальчевського, 34 в м.Хмельницькому </t>
  </si>
  <si>
    <t>2017 - 2025 роки</t>
  </si>
  <si>
    <t>2020 - 2025 роки</t>
  </si>
  <si>
    <t>2015 - 2025 роки</t>
  </si>
  <si>
    <t>0611210</t>
  </si>
  <si>
    <t>1210</t>
  </si>
  <si>
    <t>Внески до статутного капіталу міського комунального підприємства - Кінотеатр ім. Т.Г.Шевченка (Виготовлення науково-проектної документації «Реставрація будівлі кінотеатру ім. Т. Г. Шевченка (щойно виявлений об’єкт культурної спадщини) по вул. Проскурівській, 40 у м. Хмельницькому)</t>
  </si>
  <si>
    <t>41051700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</si>
  <si>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</si>
  <si>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41053600</t>
  </si>
  <si>
    <t>Субвенція з місцевого бюджету на здійснення природоохоронних заходів</t>
  </si>
  <si>
    <t xml:space="preserve"> - соціально-економічний розвиток</t>
  </si>
  <si>
    <t>Субвенція з місцевого бюджету на здійснення природоохоронних заходів  (Обласний фонд охорони навколишнього природного середовища)</t>
  </si>
  <si>
    <t>Інші субвенції з місцевого бюджету (соціально-економічний розвиток)</t>
  </si>
  <si>
    <t>Рішення 5-ї сесії Хмельницької міської ради від 21.04.2021 року №7</t>
  </si>
  <si>
    <t>Рішення 5-ї сесії Хмельницької міської ради від 21.04.2021 року №57</t>
  </si>
  <si>
    <t>Рішення 5-ї сесії Хмельницької міської ради від 21.04.2021 року №69</t>
  </si>
  <si>
    <t>Програма розвитку та фінансової підтримки комунального підприємства «Чайка» Хмельницької міської ради на 2021-2022 роки</t>
  </si>
  <si>
    <t>Рішення 5-ї сесії Хмельницької міської ради від 21.04.2021 року №74</t>
  </si>
  <si>
    <t>Програма для забезпечення виконання судових рішень на 2021-2025 роки</t>
  </si>
  <si>
    <t>1417460</t>
  </si>
  <si>
    <t>7460</t>
  </si>
  <si>
    <t>Утримання та розвиток автомобільних доріг та дорожньої інфраструктури</t>
  </si>
  <si>
    <t>до рішення №</t>
  </si>
  <si>
    <t xml:space="preserve">до рішення №      </t>
  </si>
  <si>
    <t>Зовнішні зобов'язання</t>
  </si>
  <si>
    <t xml:space="preserve">Довгострокові зобов'язання </t>
  </si>
  <si>
    <t xml:space="preserve">Середньострокові зобов'язання </t>
  </si>
  <si>
    <t xml:space="preserve">Фінансування за рахунок позик банківських установ </t>
  </si>
  <si>
    <t xml:space="preserve"> Одержано позик </t>
  </si>
  <si>
    <t xml:space="preserve">Фінансування за рахунок інших банків </t>
  </si>
  <si>
    <t xml:space="preserve">Внутрішні запозичення </t>
  </si>
  <si>
    <t xml:space="preserve">Фінансування за рахунок зміни залишків коштів бюджетів </t>
  </si>
  <si>
    <t>Зміни обсягів бюджетних коштів</t>
  </si>
  <si>
    <t xml:space="preserve">На початок періоду </t>
  </si>
  <si>
    <t xml:space="preserve">Інші розрахунки </t>
  </si>
  <si>
    <t xml:space="preserve">Передача коштів із загального до спеціального фонду бюджету </t>
  </si>
  <si>
    <t>Субвенція з державного бюджету місцевим бюджетам на розвиток спортивної інфраструктури</t>
  </si>
  <si>
    <t>41035700</t>
  </si>
  <si>
    <t>0217540</t>
  </si>
  <si>
    <t>7540</t>
  </si>
  <si>
    <t>Реалізація заходів, спрямованих на підвищення доступності широкосмугового доступу до Інтернету в сільській місцевості</t>
  </si>
  <si>
    <t>0611182</t>
  </si>
  <si>
    <t>1182</t>
  </si>
  <si>
    <t>Субвенція з державного бюджету місцевим бюджетам на реалізацію інфраструктурних проектів та розвиток об’єктів соціально-культурної сфери</t>
  </si>
  <si>
    <t>41032300</t>
  </si>
  <si>
    <t>Субвенція з державного бюджету місцевим бюджетам на реалізацію заходів, спрямованих на підвищення доступності широкосмугового доступу до Інтернету в сільській місцевості</t>
  </si>
  <si>
    <t>41035500</t>
  </si>
  <si>
    <t>41051400</t>
  </si>
  <si>
    <t>1517600</t>
  </si>
  <si>
    <t>1517690</t>
  </si>
  <si>
    <t>1517691</t>
  </si>
  <si>
    <t>3.2.8.</t>
  </si>
  <si>
    <t>Будівництво, реконструкція та ремонт інженерно-транспортної та соціальної інфраструктури Хмельницької міської територіальної громади, відповідного мікрорайону/кварталу, в т. ч. і тих, в яких розташовані будинки житлово-будівельних кооперативів (ТОВ "ЖЕО")</t>
  </si>
  <si>
    <t>2021 - 2022 роки</t>
  </si>
  <si>
    <t>41035600</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</si>
  <si>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</si>
  <si>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0611023</t>
  </si>
  <si>
    <t>1023</t>
  </si>
  <si>
    <t>0611220</t>
  </si>
  <si>
    <t>0611221</t>
  </si>
  <si>
    <t>1220</t>
  </si>
  <si>
    <t>1221</t>
  </si>
  <si>
    <t>Субвенція з державного бюджету місцевим бюджетам на створення мережі спеціалізованихслужб підтрмки осіб, які постраждали від домашнього насильства та  або насильства за ознакою статі</t>
  </si>
  <si>
    <t>2.1.4.</t>
  </si>
  <si>
    <t>Кошти участі замовників у створенні і розвитку інженерно-транспортної та соціальної інфраструктури Хмельницької міської територіальної громади</t>
  </si>
  <si>
    <t>2717300</t>
  </si>
  <si>
    <t>2717370</t>
  </si>
  <si>
    <t>Забезпечення надання послуг з перевезення пасажирів автомобільним транспортом</t>
  </si>
  <si>
    <t>1917410</t>
  </si>
  <si>
    <t>7410</t>
  </si>
  <si>
    <t>Програма розвитку  та вдосконалення міського пасажирського транспорту  міста Хмельницького на 2019 - 2023 роки  (із змінами і доповненнями)</t>
  </si>
  <si>
    <t>0813120</t>
  </si>
  <si>
    <t>0813124</t>
  </si>
  <si>
    <t>3124</t>
  </si>
  <si>
    <t xml:space="preserve"> Внутрішні зобов'язання </t>
  </si>
  <si>
    <t>41056600</t>
  </si>
  <si>
    <t>Субвенція з місцевого бюджету на заходи, спрямовані на боротьбу з гострою респіраторною хворобою COVID-19, спричиненою коронавірусом SARS-CoV-2, та її наслідками під час навчального процесу у закладах загальної середньої освіти за рахунок відповідної субвенції з державного бюджету</t>
  </si>
  <si>
    <t xml:space="preserve">Субвенція з місцевого  бюджету на заходи, спрямовані на боротьбу з гострою респіраторною хворобою COVID-19, спричиненою коронавірусом  SARS- CoV-2 та її наслідками під час навчального процесу у закладах загальної середньої освіти за рахунок відповідної субвенції з державного бюджету </t>
  </si>
  <si>
    <t>0619000</t>
  </si>
  <si>
    <t>0619700</t>
  </si>
  <si>
    <t>0619770</t>
  </si>
  <si>
    <t>Розвиток готельного господарства та туризму</t>
  </si>
  <si>
    <t>1017620</t>
  </si>
  <si>
    <t>7620</t>
  </si>
  <si>
    <t>Реалізація програм і заходів в галузі туризму та курортів</t>
  </si>
  <si>
    <t>1017622</t>
  </si>
  <si>
    <t>7622</t>
  </si>
  <si>
    <t>Програма цифрового розвитку на 2021-2025 роки (із змінами)</t>
  </si>
  <si>
    <t>Разом  доходів (з врахуванням міжбюджетних трансфертів)</t>
  </si>
  <si>
    <t>Єдиний податок  з юридичних осіб</t>
  </si>
  <si>
    <t xml:space="preserve"> Інші надходження  </t>
  </si>
  <si>
    <t>Програма забезпечення охорони прав і свобод людини, профілактики злочинності та підтримання публічної безпеки і порядку на території Хмельницької міської територіальної громади на 2021 – 2025 роки (із змінами)</t>
  </si>
  <si>
    <t>Субвенція з державного бюджету місцевим бюджетам на створення навчально-практичних центрів сучасної професійної (професійно-технічної) освіти</t>
  </si>
  <si>
    <t>Субвенція з державного бюджету місцевим бюджетам на здійснення заходів щодо соціально-економічного розвитку окремих територій</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</si>
  <si>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</si>
  <si>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</si>
  <si>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 xml:space="preserve">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t>
  </si>
  <si>
    <t>Субвенція з місцевого бюджету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 - II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</si>
  <si>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0611222</t>
  </si>
  <si>
    <t>1222</t>
  </si>
  <si>
    <t>Виконання інвестиційних проектів</t>
  </si>
  <si>
    <t>7360</t>
  </si>
  <si>
    <t>0717360</t>
  </si>
  <si>
    <t>0717363</t>
  </si>
  <si>
    <t>7363</t>
  </si>
  <si>
    <t>Виконання інвестиційних проектів в рамках здійснення заходів щодо соціально-економічного розвитку окремих територій</t>
  </si>
  <si>
    <t>Грошова компенсація за належні для отримання жилі приміщення для окремих категорій населення відповідно до законодавства</t>
  </si>
  <si>
    <t>0813220</t>
  </si>
  <si>
    <t>3220</t>
  </si>
  <si>
    <t>0813221</t>
  </si>
  <si>
    <t>3221</t>
  </si>
  <si>
    <t>0813222</t>
  </si>
  <si>
    <t>3222</t>
  </si>
  <si>
    <t>0813223</t>
  </si>
  <si>
    <t>3223</t>
  </si>
  <si>
    <t>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</si>
  <si>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I-II групи, які стали особами з інвалідністю внаслідок</t>
  </si>
  <si>
    <t>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t>
  </si>
  <si>
    <t>потребують поліпшення житлових умов</t>
  </si>
  <si>
    <t>0813224</t>
  </si>
  <si>
    <t>3224</t>
  </si>
  <si>
    <t>0816083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</si>
  <si>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</si>
  <si>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</si>
  <si>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41034500</t>
  </si>
  <si>
    <t>41050500</t>
  </si>
  <si>
    <t>41033800</t>
  </si>
  <si>
    <t>41050400</t>
  </si>
  <si>
    <t>Субвенція з місцевого бюджету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</si>
  <si>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41054200</t>
  </si>
  <si>
    <t>Субвенція з місцевого бюджету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І – ІІ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t>
  </si>
  <si>
    <t xml:space="preserve">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 </t>
  </si>
  <si>
    <t xml:space="preserve">  - для забезпечення функціонування відділення боксу Хмельницької ДЮСШ №2 "Авангард" ФСТ "Україна)</t>
  </si>
  <si>
    <t xml:space="preserve">  - на нове будівництво зовнішніх мереж водопостачання в с. Копистин</t>
  </si>
  <si>
    <t xml:space="preserve">	Економічна діяльність</t>
  </si>
  <si>
    <t>0617000</t>
  </si>
  <si>
    <t>0617600</t>
  </si>
  <si>
    <t>0617640</t>
  </si>
  <si>
    <t>Капітальний ремонт приміщень Хмельницької міської ради за адресою: Хмеьницька область, м. Хмельницький, вулиця Пушкіна, 1 (в тому числі виготовлення проєктно-кошторисної документації)</t>
  </si>
  <si>
    <t>Капітальний ремонт системи опалення (з встановленням електричних котлів) адміністративної будівлі управління охорони здоров'я Хмельницької міської ради за адресою: вул. Грушевського, 64 в м. Хмельницькому</t>
  </si>
  <si>
    <t>2021 рsк</t>
  </si>
  <si>
    <t>Інша діяльність у сфері транспорту</t>
  </si>
  <si>
    <t>1917450</t>
  </si>
  <si>
    <t>7450</t>
  </si>
  <si>
    <t>1117300</t>
  </si>
  <si>
    <t>1117320</t>
  </si>
  <si>
    <t>1117325</t>
  </si>
  <si>
    <t>0617321</t>
  </si>
  <si>
    <t>Інші субвенції з місцевого бюджету (на нове будівництво зовнішніх мереж водопостачання в с. Копистин)</t>
  </si>
  <si>
    <t>41053900</t>
  </si>
  <si>
    <t>Інші субвенції з місцевого бюджету (для забезпечення функціонування відділення боксу Хмельницької ДЮСШ №2 "Авангард" ФСТ "Україна" (на підготовку спортсменів, проведення спортивних змагань, навчально-тренувальних зборів, придбання спортивного інвентаря та обладнання))</t>
  </si>
  <si>
    <t>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(91 х 46) зі штучним покриттям по вулиці Шевченка, 46, для проведення спільних спортивних заходів та заходів військово-патріотичного виховання молоді міста Хмельницького, пропаганди здорового способу життя, формування відповідного рівня фізичної підготовки та витривалості</t>
  </si>
  <si>
    <t>1119000</t>
  </si>
  <si>
    <t>1119700</t>
  </si>
  <si>
    <t>1119770</t>
  </si>
  <si>
    <t>ДОХОДИ</t>
  </si>
  <si>
    <t xml:space="preserve">          1. Показники міжбюджетних трансфертів з інших бюджетів</t>
  </si>
  <si>
    <t xml:space="preserve">          2. Показники міжбюджетних трансфертів іншим бюджетам</t>
  </si>
  <si>
    <t>ОБСЯГИ</t>
  </si>
  <si>
    <t>капітальних вкладень бюджету у розрізі інвестиційних проектів</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</si>
  <si>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</si>
  <si>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</si>
  <si>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</si>
  <si>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бюджету Хмельницької міської територіальної громади всього, гривень</t>
  </si>
  <si>
    <t>витрат бюджету Хмельницької міської територіальної громади на реалізацію місцевих/регіональних</t>
  </si>
  <si>
    <t>Надання спеціалізованої освіти мистецькими школами</t>
  </si>
  <si>
    <t>Будівництво Палацу спорту по вул.Прибузькій, 5/1а у м.Хмельницькому (коригування)</t>
  </si>
  <si>
    <t>Будівництво артезіанської свердловини, водонапірної башти та водогону в с.Малашівці Хмельницького району Хмельницької області</t>
  </si>
  <si>
    <t>2018 - 2024 роки</t>
  </si>
  <si>
    <t>Будівництво внутрішньоквартального проїзду між земельними ділянками по вул. Старокостянтинівське шосе, 2/1 "З" в м. Хмельницькому</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</si>
  <si>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</si>
  <si>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2818340</t>
  </si>
  <si>
    <t>8340</t>
  </si>
  <si>
    <t>Природоохоронні заходи за рахунок цільових фондів</t>
  </si>
  <si>
    <t>0611033</t>
  </si>
  <si>
    <t>1033</t>
  </si>
  <si>
    <t>2019 - 2022 роки</t>
  </si>
  <si>
    <t>Реконструкція стадіону Хмельницької середньої загальноосвітньої школи №18 І-ІІІ ступенів ім.В.Чорновола по вул. Купріна, 12 в  м.Хмельницькому</t>
  </si>
  <si>
    <t xml:space="preserve"> Реконструкція парку-пам'ятки садово-паркового мистецтва місцевого значення "Парк ім. М.Чекмана". Ділянка колеса огляду. </t>
  </si>
  <si>
    <t>Нове будівництво парку "Молодіжний" по вул. Бандери в м. Хмельницькому 1-а черга</t>
  </si>
  <si>
    <t>2022 рік</t>
  </si>
  <si>
    <t>Підвищення енергоефективності систем водопостачання та водоочищення: Реконструкція каналізаційних насосних станцій № 2, 7, 12 у місті Хмельницькому</t>
  </si>
  <si>
    <t>Внески до статутного капіталу ХКП "Спецкомунтранс" (Реконструкція "Винос газопроводу високого тиску з тіла полігону твердих побутових відходів м.Хмельницького" (коригування))</t>
  </si>
  <si>
    <t>Внески до статутного капіталу МКП "Хмельницькводоканал" (Нове будівництво зовнішніх мереж водопроводу в  с. Шаровечка Хмельницького району, Хмельницької області (ІІ черга))</t>
  </si>
  <si>
    <t>Будівництво системи водопостачання в с.Бахматівці Хмельницького району Хмельницької області</t>
  </si>
  <si>
    <t>Будівництво другої черги водогону  від с.Чернелівка Красилівського району до м.Хмельницький</t>
  </si>
  <si>
    <t>Внески до статутного капіталу МКП "Хмельницькводоканал" (Реконструкція напірного каналізаційного колектора діаметром 225 мм від КНС-22, вул.Камянецька, 134/1Д в м.Хмельницький)</t>
  </si>
  <si>
    <t>1210180</t>
  </si>
  <si>
    <t>Проєкт Програми економічного і соціального розвитку Хмельницької міської територіальної громади на 2022 рік</t>
  </si>
  <si>
    <t>1217310</t>
  </si>
  <si>
    <t>Інша діяльність у сфері житлово-комунального господарства</t>
  </si>
  <si>
    <t>1416090</t>
  </si>
  <si>
    <t>6090</t>
  </si>
  <si>
    <t>0640</t>
  </si>
  <si>
    <t>Рішення 2-ї сесії Хмельницької міської ради від 23.12.2020 року №23</t>
  </si>
  <si>
    <t>Програма розвитку геоінформаційної системи Хмельницької міської ради на 2021 - 2025 роки</t>
  </si>
  <si>
    <t>Реконструкція покрівлі житлового будинку по вулиці Інститутська, 13 в м.Хмельницькому</t>
  </si>
  <si>
    <t>Виконання гарантійних зобов'язань за позичальників, що отримали кредити під місцеві гарантії</t>
  </si>
  <si>
    <t>Надання коштів для забезпечення гарантійних зобов'язань за позичальників, що отримали кредити під місцеві гарантії</t>
  </si>
  <si>
    <t>Програма «Громадські ініціативи»
Хмельницької міської територіальної громади на 2021-2025 роки (із змінами)</t>
  </si>
  <si>
    <t xml:space="preserve">Збір за місця для паркування транспортних засобів </t>
  </si>
  <si>
    <t xml:space="preserve">Збір за місця для паркування транспортних засобів, сплачений юридичними особами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</si>
  <si>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</si>
  <si>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Будівництво центру поводження з тваринами  КП "Надія" по вул. Заводській, 165 в м. Хмельницькому </t>
  </si>
  <si>
    <t>Програма економічного і соціального розвитку Хмельницької міської територіальної громади на 2022 рік</t>
  </si>
  <si>
    <t>Рішення 10-ї сесії Хмельницької міської ради від 15.12.2021 року №8</t>
  </si>
  <si>
    <t>Рішення 10-ї сесії Хмельницької міської ради від 15.12.2021 року №9</t>
  </si>
  <si>
    <t>Програма реалізації молодіжної політики та розвитку фізичної культури і спорту в Хмельницькій міській територіальній громаді на 2022 - 2026 роки</t>
  </si>
  <si>
    <t>Рішення 10-ї сесії Хмельницької міської ради від 15.12.2021 року №25</t>
  </si>
  <si>
    <t>Рішення 10-ї сесії Хмельницької міської ради від 15.12.2021 року №45</t>
  </si>
  <si>
    <t>Програма розвитку освіти Хмельницької міської територіальної громади на 2022 - 2026 роки</t>
  </si>
  <si>
    <t>Рішення 10-ї сесії Хмельницької міської ради від 15.12.2021 року №50</t>
  </si>
  <si>
    <t>Програма підтримки і розвитку житлово-комунальної інфраструктури Хмельницької міської територіальної громади на 2022 - 2027 роки</t>
  </si>
  <si>
    <t>Рішення 10-ї сесії Хмельницької міської ради від 15.12.2021 року №52</t>
  </si>
  <si>
    <t>Нове будівництво зовнішніх мереж водопостачання в с. Копистин Хмельницького району Хмельницької області</t>
  </si>
  <si>
    <t>1917600</t>
  </si>
  <si>
    <t>1917670</t>
  </si>
  <si>
    <t>Внески до статутного капіталу суб'єктів господарювання</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</si>
  <si>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2022 рік</t>
  </si>
  <si>
    <t>Рішення 11-ї сесії Хмельницької міської ради від 30.12.2021 року №7</t>
  </si>
  <si>
    <t>Розвиток спортивної інфраструктури, у тому числі реконструкція,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</si>
  <si>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0717322</t>
  </si>
  <si>
    <t>7322</t>
  </si>
  <si>
    <t>Реконструкція системи киснепостачання в КП "Хмельницька міська лікарня" Хмельницької міської ради по провулку  Проскурівський,1 м. Хмельницький (в тому числі виготовлення проєктно-кошторисної документації)</t>
  </si>
  <si>
    <t>1417693</t>
  </si>
  <si>
    <t>Громадський порядок та безпека</t>
  </si>
  <si>
    <t>0218200</t>
  </si>
  <si>
    <t>8200</t>
  </si>
  <si>
    <t>Заходи та роботи з територіальної оборони</t>
  </si>
  <si>
    <t>0380</t>
  </si>
  <si>
    <t>0218240</t>
  </si>
  <si>
    <t>8240</t>
  </si>
  <si>
    <t>Рішення 13-ї сесії Хмельницької міської ради від 23.02.2022 року №3</t>
  </si>
  <si>
    <t>Комплексна програма «Піклування» в Хмельницькій міській територіальній громаді на 2022 - 2026 роки (із змінами)</t>
  </si>
  <si>
    <t>1517693</t>
  </si>
  <si>
    <t>1014070</t>
  </si>
  <si>
    <t>4070</t>
  </si>
  <si>
    <t>Фінансова підтримка кінематографії</t>
  </si>
  <si>
    <t>0823</t>
  </si>
  <si>
    <t>0713000</t>
  </si>
  <si>
    <t>0713230</t>
  </si>
  <si>
    <t>3230</t>
  </si>
  <si>
    <t>Видатки, пов’язані з наданням підтримки внутрішньо переміщеним та/або евакуйованим особам у зв’язку із введенням воєнного стану</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</si>
  <si>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 (зі змінами)</t>
  </si>
  <si>
    <t>0813230</t>
  </si>
  <si>
    <t>3717600</t>
  </si>
  <si>
    <t>3717690</t>
  </si>
  <si>
    <t>3717693</t>
  </si>
  <si>
    <t>Програма охорони довкілля Хмельницької міської територіальної громади на 2021-2025 роки (із змінами)</t>
  </si>
  <si>
    <t xml:space="preserve">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 </t>
  </si>
  <si>
    <t>Акцизний податок з реалізації суб’єктами господарювання роздрібної торгівлі підакцизними товарами</t>
  </si>
  <si>
    <t>Спрямування коштів на житлове будівництво, реконструкцію та на ремонт житла всіх форм власності, в т. ч. будинків житлово-будівельних кооперативів (ТОВ «ЖЕО»), об'єднань співвласників багатоквартирних будинків, Будинкоуправління №2 КЕВ м.Хмельницький, ТОВ «Керуюча компанія «Домком Хмельницький» та будівель і споруд комунальної власності, ремонт споруд цивільного захисту (укриття, бомбосховища, тощо) комунальної власності</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</si>
  <si>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</si>
  <si>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0218230</t>
  </si>
  <si>
    <t>8230</t>
  </si>
  <si>
    <t>Інші заходи громадського порядку та безпеки</t>
  </si>
  <si>
    <t>0813121</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</si>
  <si>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</si>
  <si>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Інші дотації з місцевого бюджету</t>
  </si>
  <si>
    <t>41040400</t>
  </si>
  <si>
    <t>1918000</t>
  </si>
  <si>
    <t>1918200</t>
  </si>
  <si>
    <t>1918220</t>
  </si>
  <si>
    <t>8220</t>
  </si>
  <si>
    <t>Заходи та роботи з мобілізаційної підготовки місцевого значення</t>
  </si>
  <si>
    <t>0618000</t>
  </si>
  <si>
    <t>0618200</t>
  </si>
  <si>
    <t>0618240</t>
  </si>
  <si>
    <t>Програма соціальної підтримки осіб, які захищали незалежність, суверенітет та територіальну цілісність України, а також членів їх сімей на 2021 – 2025 роки (із змінами)</t>
  </si>
  <si>
    <t>Будівництво вулиці Мельникова (від вул.Зарічанської до вул.Трудової) в м.Хмельницькому (коригування)</t>
  </si>
  <si>
    <t xml:space="preserve">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 </t>
  </si>
  <si>
    <t>1218000</t>
  </si>
  <si>
    <t>1218200</t>
  </si>
  <si>
    <t>1218230</t>
  </si>
  <si>
    <t>0613230</t>
  </si>
  <si>
    <t>Програма підтримки і розвитку житлово-комунальної інфраструктури Хмельницької міської територіальної громади на 2022 - 2027 роки (із змінами)</t>
  </si>
  <si>
    <t>1513000</t>
  </si>
  <si>
    <t>1513230</t>
  </si>
  <si>
    <r>
      <t>Будівництво</t>
    </r>
    <r>
      <rPr>
        <b/>
        <vertAlign val="superscript"/>
        <sz val="36"/>
        <color rgb="FFFF0000"/>
        <rFont val="Times New Roman"/>
        <family val="1"/>
        <charset val="204"/>
      </rPr>
      <t>1</t>
    </r>
    <r>
      <rPr>
        <sz val="36"/>
        <color rgb="FFFF0000"/>
        <rFont val="Times New Roman"/>
        <family val="1"/>
        <charset val="204"/>
      </rPr>
      <t>  споруд, установ та закладів фізичної культури і спорту</t>
    </r>
  </si>
  <si>
    <r>
      <t>Будівництво</t>
    </r>
    <r>
      <rPr>
        <b/>
        <vertAlign val="superscript"/>
        <sz val="11"/>
        <color rgb="FFFF0000"/>
        <rFont val="Times New Roman"/>
        <family val="1"/>
        <charset val="204"/>
      </rPr>
      <t>1</t>
    </r>
    <r>
      <rPr>
        <sz val="11"/>
        <color rgb="FFFF0000"/>
        <rFont val="Times New Roman"/>
        <family val="1"/>
        <charset val="204"/>
      </rPr>
      <t>  освітніх установ та закладів</t>
    </r>
  </si>
  <si>
    <r>
      <t>Будівництво</t>
    </r>
    <r>
      <rPr>
        <b/>
        <vertAlign val="superscript"/>
        <sz val="11"/>
        <color rgb="FFFF0000"/>
        <rFont val="Times New Roman"/>
        <family val="1"/>
        <charset val="204"/>
      </rPr>
      <t>1</t>
    </r>
    <r>
      <rPr>
        <sz val="11"/>
        <color rgb="FFFF0000"/>
        <rFont val="Times New Roman"/>
        <family val="1"/>
        <charset val="204"/>
      </rPr>
      <t>  медичних установ та закладів</t>
    </r>
  </si>
  <si>
    <r>
      <t>Будівництво</t>
    </r>
    <r>
      <rPr>
        <b/>
        <vertAlign val="superscript"/>
        <sz val="11"/>
        <color rgb="FFFF0000"/>
        <rFont val="Times New Roman"/>
        <family val="1"/>
        <charset val="204"/>
      </rPr>
      <t>1</t>
    </r>
    <r>
      <rPr>
        <sz val="11"/>
        <color rgb="FFFF0000"/>
        <rFont val="Times New Roman"/>
        <family val="1"/>
        <charset val="204"/>
      </rPr>
      <t>  об'єктів житлово-комунального господарства</t>
    </r>
  </si>
  <si>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</si>
  <si>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2.1.6.</t>
  </si>
  <si>
    <t>Добровільні внески підприємств, організацій, установ та громадян на соціально-економічний та культурний розвиток громади</t>
  </si>
  <si>
    <t>2.1.7.</t>
  </si>
  <si>
    <t>Кошти за відшкодування вартості видалених та знесених зелених насаджень</t>
  </si>
  <si>
    <t>Надання грошової допомоги за поданням секретаря ради, або керуючого справами виконавчого комітету на підставі рішення виконавчого комітету Хмельницької міської ради для поховання: загиблих та померлих учасників ООС, загиблих та померлих учасників,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 Почесних громадян Хмельницької міської територіальної громади; інших осіб.
Виплата грошової винагороди у розмірі, передбаченому Положенням про звання "Почесний громадянин міста Хмельницького", Положенням "Про почесну відзнаку міської громади "Мужність і відвага"</t>
  </si>
  <si>
    <t>2819800</t>
  </si>
  <si>
    <t>2819000</t>
  </si>
  <si>
    <t>Рішення 16-ї сесії Хмельницької міської ради від 28.04.2022 року №11</t>
  </si>
  <si>
    <t>Співфінансування заходів, що реалізуються за рахунок субвенції з державного бюджету місцевим бюджетам на створення навчально-практичних центрів сучасної професійної (професійно-технічної) освіти</t>
  </si>
  <si>
    <t>Комплексна програма реалізації молодіжної політики та розвитку фізичної культури і спорту в Хмельницькій міській територіальній громаді на 2022-2026 роки (із змінами)</t>
  </si>
  <si>
    <t>2021 - 2023 роки</t>
  </si>
  <si>
    <t>Реконструкція футбольного поля під штучним покриттям Хмельницької дитячо-юнацької спортивної школи № 1 по вул.Спортивній,17 в м. Хмельницькому (коригування)</t>
  </si>
  <si>
    <t>0717640</t>
  </si>
  <si>
    <t>Реконструкція системи мережі киснепостачання в приміщенні комунального підприємства «Хмельницька міська дитяча лікарня» Хмельницької міської ради по вул. Олега Ольжича, 1 у м.Хмельницькому</t>
  </si>
  <si>
    <t>0710170</t>
  </si>
  <si>
    <t>Реконструкція спортивного майданчика біля житлового будинку по вул.Прибузькій, 36 в м.Хмельницькому</t>
  </si>
  <si>
    <t>Програма
підтримки обдарованих дітей м.Хмельницького (із змінами)</t>
  </si>
  <si>
    <t>1610180</t>
  </si>
  <si>
    <t>1216090</t>
  </si>
  <si>
    <t>2022 - 2023 роки</t>
  </si>
  <si>
    <t>2023 рік</t>
  </si>
  <si>
    <t>1017640</t>
  </si>
  <si>
    <t>Програма розвитку  електротранспорту Хмельницької міської територіальної громади  на 2021 - 2025 роки (із змінами)</t>
  </si>
  <si>
    <t>Нове будівництво проїздів (штучних споруд) із інфраструктурою від вул. Прибузької до об'єкту "Будівництво Палацу спорту по вул. Прибузькій, 5/1А у м. Хмельницькому"</t>
  </si>
  <si>
    <t>2021 - 2024 роки</t>
  </si>
  <si>
    <t>2022 - 2024 роки</t>
  </si>
  <si>
    <t>За власні кошти підприємства - 445581,00 грн - ПКД, +38448,00 грн - експертиза</t>
  </si>
  <si>
    <t>Програма міжнародного співробітництва та промоції Хмельницької міської територіальної громади на 2021-2025 роки (із змінами і доповненнями)</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</si>
  <si>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</si>
  <si>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</si>
  <si>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Програма державного моніторингу у галузі охорони атмосферного повітря агломерації «Хмельницький» на 2022 - 2026 роки</t>
  </si>
  <si>
    <t>Надання загальної середньої освіти закладами загальної середньої освіти за рахунок коштів місцевого бюджету</t>
  </si>
  <si>
    <t xml:space="preserve"> Надання загальної середньої освіти спеціалізованими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</si>
  <si>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</si>
  <si>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спеціалізованими закладами загальної середньої освіти за рахунок освітньої субвенції</t>
  </si>
  <si>
    <t>Захист населення і територій від надзвичайних ситуацій</t>
  </si>
  <si>
    <t>Програма економічного і соціального розвитку Хмельницької міської територіальної громади на 2023 рік</t>
  </si>
  <si>
    <t>Рішення 22-ї сесії Хмельницької міської ради від 21.12.2022 року №8</t>
  </si>
  <si>
    <t>Рішення 22-ї сесії Хмельницької міської ради від 21.12.2022 року №10</t>
  </si>
  <si>
    <t>Рішення 22-ї сесії Хмельницької міської ради від 21.12.2022 року №41</t>
  </si>
  <si>
    <t>Надходження коштів від відшкодування…</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</si>
  <si>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</si>
  <si>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9900000000</t>
  </si>
  <si>
    <t>2231720000</t>
  </si>
  <si>
    <t>2254800000</t>
  </si>
  <si>
    <t>2253000000</t>
  </si>
  <si>
    <t>2210000000</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</si>
  <si>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2023 рік</t>
  </si>
  <si>
    <t>Рішення 23-ї сесії Хмельницької міської ради від 29.12.2022 року №4</t>
  </si>
  <si>
    <t>Програма розвитку підприємництва Хмельницької міської територіальної громади на 2022 - 2025 роки (із змінами)</t>
  </si>
  <si>
    <t>Програма організаційно-практичних заходів щодо комплексної підтримки державної установи «Хмельницький слідчий ізолятор» на 2021 – 2025 роки (із змінами)</t>
  </si>
  <si>
    <t>2020-2023 роки</t>
  </si>
  <si>
    <t>2717640</t>
  </si>
  <si>
    <t>Рішення 46-ї сесії Хмельницької міської ради від 07.10.2020 року №3</t>
  </si>
  <si>
    <t>2718000</t>
  </si>
  <si>
    <t>2718200</t>
  </si>
  <si>
    <t>2718240</t>
  </si>
  <si>
    <t>2713000</t>
  </si>
  <si>
    <t>2713230</t>
  </si>
  <si>
    <t>0817640</t>
  </si>
  <si>
    <t>Реконструкція водопроводу від вул. Проскурівська по пров. Проскурівський, вул. Пилипчука до пров. Шевченка в м.Хмельницький</t>
  </si>
  <si>
    <t>Реконструкція ділянки водопроводу від вул.Кам`янецька по вул. Проскурівського підпілля до р. Плоска в м.Хмельницький</t>
  </si>
  <si>
    <t>Реконструкція ділянки водопроводу по вул. Залізняка (перехід через вул.П.Мирного) в м.Хмельницький</t>
  </si>
  <si>
    <t>Реконструкція водопроводу по вул. Шестакова, від вул.Староміська до ж.б. № 46, 39 по вул.Шестакова в м. Хмельницький</t>
  </si>
  <si>
    <t>Реконструкція ділянки водопроводу діам. 110 мм по вул. Тернопільська між буд. № 30 - №34 в м.Хмельницький</t>
  </si>
  <si>
    <t>Реконструкція ділянки водопроводу діам. 160 мм по вул. Прибузька між буд. №10 - №12 в м.Хмельницький</t>
  </si>
  <si>
    <t>Реконструкція ділянки водопроводу від ж.б. №4 до ж.б. №2 по вул. Шухевича в м. Хмельницький</t>
  </si>
  <si>
    <t>Будівництво мереж водовідведення вул.Д.Нечая, вул.Блакитної, пров. Молодіжного в м.Хмельницькому</t>
  </si>
  <si>
    <t>Нове будівництво вуличних мереж водопостачання житлових будинків по вул. Глушенкова (мікрорайон Ружична) в м. Хмельницький</t>
  </si>
  <si>
    <t>70/30</t>
  </si>
  <si>
    <t>Реконструкція ділянки водопроводу діаметром 500мм по вул. Тернопільська в м. Хмельницькій</t>
  </si>
  <si>
    <t>Нове будівництво зовнішніх мереж водопостачання вулиць Старосадова, Яблунева, Пшенична, Ланок, Багалія, Колективна мікрорайону Книжківці в м. Хмельницький</t>
  </si>
  <si>
    <t>Нове будівництво станції очищення господарсько-побутових стічних вод продуктивністю БІО-S-150 30м3/добу, в с. Пирогівці Хмельницького району, Хмельницької області</t>
  </si>
  <si>
    <t>Внески до статутного капіталу 
КП "Акведук", в тому числі:</t>
  </si>
  <si>
    <t>Внески до статутного капіталу 
ХКП "Спецкомунтранс", в тому числі:</t>
  </si>
  <si>
    <t>Нове будівництво нежитлового приміщення за адресою: вул.Заводська, 165 в м.Хмельницькому</t>
  </si>
  <si>
    <t>Проєкт Програми підтримки і розвитку спеціалізованого комунального підприємства «Хмельницька міська ритуальна служба»  на 2023 – 2027 роки</t>
  </si>
  <si>
    <t>Проєкт Програми підтримки та розвитку Хмельницького комунального підприємства «Міськсвітло»  на 2023-2027 роки</t>
  </si>
  <si>
    <t>1919000</t>
  </si>
  <si>
    <t>1919800</t>
  </si>
  <si>
    <t>1117640</t>
  </si>
  <si>
    <t>Нове будівництво зовнішніх мереж водопроводу в с. Шаровечка Хмельницького району Хмельницької області</t>
  </si>
  <si>
    <t>Дотації з державного бюджету місцевим бюджетам</t>
  </si>
  <si>
    <t>41020000</t>
  </si>
  <si>
    <t>Реконструкція приміщень НВО №1 по вул. Старокостянтинівське шосе, 3Б в м.Хмельницькому (коригування)</t>
  </si>
  <si>
    <t>2012 - 2023 роки</t>
  </si>
  <si>
    <t xml:space="preserve"> Реконструкція з добудовою приміщень Хмельницького ліцею №17 під спортивну залу на вул. Героїв Майдану, 5 в м. Хмельницькому (коригування)</t>
  </si>
  <si>
    <t>2018 - 2023 роки</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</si>
  <si>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</si>
  <si>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Сергій ЯМЧУК</t>
  </si>
  <si>
    <t>Управління капітального будівництва  Хмельницької міської ради (головний розпорядник)</t>
  </si>
  <si>
    <t>Рішення 25-ї сесії Хмельницької міської ради від 28.03.2023 року №23</t>
  </si>
  <si>
    <t>Рішення 25-ї сесії Хмельницької міської ради від 28.03.2023 року №59</t>
  </si>
  <si>
    <t>Програма співфінансування робіт з реконструкції покрівель багатоквартирних житлових будинків Хмельницької міської територіальної громади на 2023 – 2027 роки</t>
  </si>
  <si>
    <t>Рішення 25-ї сесії Хмельницької міської ради від 28.03.2023 року №40</t>
  </si>
  <si>
    <t>Рішення 25-ї сесії Хмельницької міської ради від 28.03.2023 року №66</t>
  </si>
  <si>
    <t>Рішення 25-ї сесії Хмельницької міської ради від 28.03.2023 року №73</t>
  </si>
  <si>
    <t>Рішення 25-ї сесії Хмельницької міської ради від 28.03.2023 року №61</t>
  </si>
  <si>
    <t>Рішення 25-ї сесії Хмельницької міської ради від 28.03.2023 року №62</t>
  </si>
  <si>
    <t>Рішення 25-ї сесії Хмельницької міської ради від 28.03.2023 року №70</t>
  </si>
  <si>
    <t>Програма підтримки і розвитку комунального підприємства «Парки і сквери міста Хмельницького» на 2023 – 2027 роки</t>
  </si>
  <si>
    <t>Рішення 25-ї сесії Хмельницької міської ради від 28.03.2023 року №64</t>
  </si>
  <si>
    <t>Рішення 25-ї сесії Хмельницької міської ради від 28.03.2023 року №68</t>
  </si>
  <si>
    <t>Програма підвищення рівня безпеки пасажирських перевезень на території Хмельницької міської територіальної громади на 2023 рік</t>
  </si>
  <si>
    <t>Рішення 25-ї сесії Хмельницької міської ради від 28.03.2023 року №39</t>
  </si>
  <si>
    <t>0455</t>
  </si>
  <si>
    <t>3718800</t>
  </si>
  <si>
    <t>3718880</t>
  </si>
  <si>
    <t>3718881</t>
  </si>
  <si>
    <t>8881</t>
  </si>
  <si>
    <t>3718882</t>
  </si>
  <si>
    <t>8882</t>
  </si>
  <si>
    <t>Повернення коштів, наданих для виконання гарантійних зобов'язань за позичальників, що отримали кредити під місцеві гарантії</t>
  </si>
  <si>
    <t>4112</t>
  </si>
  <si>
    <t>Надання кредитів підприємства, установам, організаціям</t>
  </si>
  <si>
    <t xml:space="preserve"> 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</si>
  <si>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1115040</t>
  </si>
  <si>
    <t>1115049</t>
  </si>
  <si>
    <t>5049</t>
  </si>
  <si>
    <t>Виконання окремих заходів з реалізації соціального проекту "Активні парки - локації здорової України"</t>
  </si>
  <si>
    <t>Програма заходів національного спротиву Хмельницької міської територіальної громади на 2023 рік (із змінами)</t>
  </si>
  <si>
    <t xml:space="preserve">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(із змінами) </t>
  </si>
  <si>
    <t>Програма бюджетування за участі громадськості (Бюджет участі) Хмельницької міської територіальної громади на 2020-2023 роки (із змінами)</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</si>
  <si>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</si>
  <si>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0219820</t>
  </si>
  <si>
    <t>9820</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</si>
  <si>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</si>
  <si>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0611260</t>
  </si>
  <si>
    <t>1260</t>
  </si>
  <si>
    <t>0611261</t>
  </si>
  <si>
    <t>1261</t>
  </si>
  <si>
    <t>0611262</t>
  </si>
  <si>
    <t>1262</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</si>
  <si>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</si>
  <si>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Програма розвитку освіти Хмельницької міської територіальної громади на 2022 - 2026 роки (зі змінами)</t>
  </si>
  <si>
    <t>Програма створення та розвитку індустріального парку "Хмельницький"  (із змінами)</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</si>
  <si>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</si>
  <si>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викупу земельних ділянок сільськогосподарського призначення державної та комунальної власності, передбачених пунктом 6-1 розділу X "Перехідні положення" Земельного кодексу України</t>
  </si>
  <si>
    <t>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t>
  </si>
  <si>
    <t>Будівництво каналізаційних мереж в мікрорайоні "Озерна" в м. Хмельницькому (коригування)</t>
  </si>
  <si>
    <t>0217640</t>
  </si>
  <si>
    <t>Програма «Здійснення Управлінням ДМС у Хмельницькій області та Хмельницькою міською радою заходів у сфері громадянства, міграції, надання адміністративних послуг на 2023 рік»</t>
  </si>
  <si>
    <t>Рішення 29-ї сесії Хмельницької міської ради від 02.06.2023 року №21</t>
  </si>
  <si>
    <t>Нове будівництво нежитлового приміщення за адресою: вул.Заводська, 165 в м.Хмельницькому (коригування)</t>
  </si>
  <si>
    <t>Програма підтримки і розвитку комунального підприємства "Елеватор" Хмельницької міської ради на 2023 - 2027 роки (із змінами)</t>
  </si>
  <si>
    <t>Програма підтримки і розвитку міського комунального підприємства «Хмельницькводоканал» на 2023-2027 роки (із змінами)</t>
  </si>
  <si>
    <t>1416016</t>
  </si>
  <si>
    <t>6016</t>
  </si>
  <si>
    <t>Впровадження засобів обліку витрат та регулювання споживання води та теплової енергії</t>
  </si>
  <si>
    <t>Програма підтримки і розвитку міського комунального підприємства «Хмельницьктеплокомуненерго» на 2023 – 2027 роки (із змінами)</t>
  </si>
  <si>
    <t>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2023 - 2027 роки (із змінами)</t>
  </si>
  <si>
    <t xml:space="preserve">Програма підтримки і розвитку комунального підприємства «Акведук» Хмельницької міської ради на 2023 – 2027 роки </t>
  </si>
  <si>
    <t>Програма підтримки та розвитку Хмельницького комунального підприємства «Спецкомунтранс» на 2023 – 2027 роки (із змінами)</t>
  </si>
  <si>
    <t>Будівництво вуличних мереж каналізації по пров. Північному в м.Хмельницький</t>
  </si>
  <si>
    <t>Реконструкція ділянки водопроводу по вул. Гоголя від вул. О.Теліги до ж.б.№99 по вул. Гоголя в м. Хмельницький</t>
  </si>
  <si>
    <t>Програма розвитку та вдосконалення міського пасажирського транспорту  міста Хмельницького на 2019 - 2023 роки  (із змінами і доповненнями)</t>
  </si>
  <si>
    <t>Нове будівництво зовнішніх мереж газопостачання індустріального парку "Хмельницький" по вул. Вінницьке шосе, 18 в м. Хмельницькому (коригування)</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</si>
  <si>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</si>
  <si>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</si>
  <si>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t>
  </si>
  <si>
    <t xml:space="preserve">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</si>
  <si>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t>
  </si>
  <si>
    <t xml:space="preserve">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</si>
  <si>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t>
  </si>
  <si>
    <t>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</si>
  <si>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t>
  </si>
  <si>
    <t>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t>
  </si>
  <si>
    <t>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t>
  </si>
  <si>
    <t>частини другої статті 7 Закону України "Про статус ветеранів війни, гарантії їх соціального захисту", та які потребують поліпшення житлових умов</t>
  </si>
  <si>
    <t xml:space="preserve">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t>
  </si>
  <si>
    <t>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t>
  </si>
  <si>
    <t>Виконання заходів щодо створення навчально-практичних центрів сучасної професійної (професійно-технічної) освіти</t>
  </si>
  <si>
    <t>Реконструкція ділянки водопроводу по вул. Проскурівська, 66 в  м. Хмельницький</t>
  </si>
  <si>
    <t>Програма розвитку та організації надання адміністративних послуг на території Хмельницької міської територіальної громади на 2023 рік</t>
  </si>
  <si>
    <t>Рішення 31-ї сесії Хмельницької міської ради від 28.07.2023 року №20</t>
  </si>
  <si>
    <t xml:space="preserve">Секретар міської ради </t>
  </si>
  <si>
    <t xml:space="preserve">Віталій ДІДЕНКО </t>
  </si>
  <si>
    <t>Програма підтримки 
Хмельницькою міською радою
державних стандартів у сфері 
забезпечення доступу громадян до 
правосуддя на 2023 рік</t>
  </si>
  <si>
    <t>Рішення 33-ї сесії Хмельницької міської ради від 15.09.2023 року №12</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</si>
  <si>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</si>
  <si>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Рішення 31-ї сесії Хмельницької міської ради від 28.07.2023 року №48</t>
  </si>
  <si>
    <t>Програма підтримки і розвитку Хмельницького комунального підприємства «Міськсвітло» на 2023-2027 роки</t>
  </si>
  <si>
    <t>Рішення 33-ї сесії Хмельницької міської ради від 15.09.2023 року №43</t>
  </si>
  <si>
    <t>Програма підтримки і розвитку комунального підприємства "Акведук" Хмельницької міської ради на 2023 - 2027 роки (із змінами)</t>
  </si>
  <si>
    <t>Програма єдності та підтримки громад України, що постраждали внаслідок бойових дій, терористичних актів, диверсій, спричинених збройною агресією російської федерації проти України на 2023-2027 роки</t>
  </si>
  <si>
    <t>Рішення 31-ї сесії Хмельницької міської ради від 28.07.202 року №33</t>
  </si>
  <si>
    <t>2023 - 2024 роки</t>
  </si>
  <si>
    <t>Нове будівництво споруди цивільного захисту для Хмельницької спеціалізованої загальноосвітньої школи І-ІІІ ступенів №19 імені академіка Михайла Павловського на вул. Кам'янецька, 164 м.Хмельницького</t>
  </si>
  <si>
    <t>Нове будівництво споруди цивільного захисту для Хмельницького закладу дошкільної освіти №18 "Зірочка" Хмельницької міської ради Хмельницької області на вул. Кам'янецька, 65/1, м.Хмельницького</t>
  </si>
  <si>
    <t>Нове будівництво споруди цивільного захисту для Спеціалізованої загальноосвітньої школи І-ІІІ ступенів №12 м.Хмельницького на вул.Довженка, 6 м.Хмельницького</t>
  </si>
  <si>
    <t>1270</t>
  </si>
  <si>
    <t>0611270</t>
  </si>
  <si>
    <t>Виконання заходів за рахунок коштів освітньої субвенції з державного бюджету місцевим бюджетам (за спеціальним фондом державного бюджету)</t>
  </si>
  <si>
    <t>0611271</t>
  </si>
  <si>
    <t>1271</t>
  </si>
  <si>
    <t>0611272</t>
  </si>
  <si>
    <t>1272</t>
  </si>
  <si>
    <t>Реалізація заходів, що реалізуються за рахунок освітньої субвенції з державного бюджету місцевим бюджетам (за спеціальним фондом державного бюджету)</t>
  </si>
  <si>
    <t>Співфінансування заходів за рахунок освітньої субвенції з державного бюджету місцевим бюджетам (за спеціальним фондом державного бюджету)</t>
  </si>
  <si>
    <t>Рішення 29-ї сесії Хмельницької міської ради від 02.06.2023 року №27</t>
  </si>
  <si>
    <t xml:space="preserve"> Зміни обсягів депозитів і цінних паперів, що використовуються для управління ліквідністю </t>
  </si>
  <si>
    <t>Повернення бюджетних коштів з депозитів, надходження внаслідок продажу/пред'явлення цінних паперів</t>
  </si>
  <si>
    <t xml:space="preserve"> Розміщення бюджетних коштів на депозитах, придбання цінних паперів</t>
  </si>
  <si>
    <t>Надходження внаслідок продажу/пред'явлення цінних паперів</t>
  </si>
  <si>
    <t xml:space="preserve"> Придбання цінних паперів</t>
  </si>
  <si>
    <t xml:space="preserve"> Зміни обсягів депозитів і цінних паперів, що використовуються для управління ліквідністю</t>
  </si>
  <si>
    <t>Розміщення бюджетних коштів на депозитах, придбання цінних паперів</t>
  </si>
  <si>
    <t>Придбання цінних паперів</t>
  </si>
  <si>
    <t xml:space="preserve">Секретар міської ради  </t>
  </si>
  <si>
    <t>1419000</t>
  </si>
  <si>
    <t>1419700</t>
  </si>
  <si>
    <t>1419770</t>
  </si>
  <si>
    <t>80/20</t>
  </si>
  <si>
    <t>Видатки, що здійснюються згідно розпоряджень міського голови, рішень міської ради та її виконавчого комітету</t>
  </si>
  <si>
    <t>Рішення 35-ї сесії Хмельницької міської ради від 10.11.2023 року №36</t>
  </si>
  <si>
    <t>Реконструкція під'їзної дороги від вул.Вінницьке шосе до вул.Вінницьке шосе, 18 (індустріальний парк) в м.Хмеьницькому</t>
  </si>
  <si>
    <r>
      <t>Будівництво</t>
    </r>
    <r>
      <rPr>
        <b/>
        <vertAlign val="superscript"/>
        <sz val="36"/>
        <color rgb="FFFF0000"/>
        <rFont val="Times New Roman"/>
        <family val="1"/>
        <charset val="204"/>
      </rPr>
      <t>1</t>
    </r>
    <r>
      <rPr>
        <sz val="36"/>
        <color rgb="FFFF0000"/>
        <rFont val="Times New Roman"/>
        <family val="1"/>
        <charset val="204"/>
      </rPr>
      <t>  об'єктів соціально-культурного призначення</t>
    </r>
  </si>
  <si>
    <r>
      <t>Будівництво</t>
    </r>
    <r>
      <rPr>
        <b/>
        <vertAlign val="superscript"/>
        <sz val="36"/>
        <color rgb="FFFF0000"/>
        <rFont val="Times New Roman"/>
        <family val="1"/>
        <charset val="204"/>
      </rPr>
      <t>1</t>
    </r>
    <r>
      <rPr>
        <sz val="36"/>
        <color rgb="FFFF0000"/>
        <rFont val="Times New Roman"/>
        <family val="1"/>
        <charset val="204"/>
      </rPr>
      <t>  освітніх установ та закладів</t>
    </r>
  </si>
  <si>
    <r>
      <t>Будівництво</t>
    </r>
    <r>
      <rPr>
        <b/>
        <vertAlign val="superscript"/>
        <sz val="36"/>
        <color rgb="FFFF0000"/>
        <rFont val="Times New Roman"/>
        <family val="1"/>
        <charset val="204"/>
      </rPr>
      <t>1</t>
    </r>
    <r>
      <rPr>
        <sz val="36"/>
        <color rgb="FFFF0000"/>
        <rFont val="Times New Roman"/>
        <family val="1"/>
        <charset val="204"/>
      </rPr>
      <t>  об'єктів житлово-комунального господарства</t>
    </r>
  </si>
  <si>
    <r>
      <t>Будівництво</t>
    </r>
    <r>
      <rPr>
        <b/>
        <vertAlign val="superscript"/>
        <sz val="36"/>
        <color rgb="FFFF0000"/>
        <rFont val="Times New Roman"/>
        <family val="1"/>
        <charset val="204"/>
      </rPr>
      <t>1</t>
    </r>
    <r>
      <rPr>
        <sz val="36"/>
        <color rgb="FFFF0000"/>
        <rFont val="Times New Roman"/>
        <family val="1"/>
        <charset val="204"/>
      </rPr>
      <t> інших об'єктів комунальної власності</t>
    </r>
  </si>
  <si>
    <r>
      <t>Реконструкція ділянки водопроводу від вул. Партизанської до вул. Волочиської в м. Хмельницькому</t>
    </r>
    <r>
      <rPr>
        <sz val="16"/>
        <color rgb="FFFF0000"/>
        <rFont val="Times New Roman"/>
        <family val="1"/>
        <charset val="204"/>
      </rPr>
      <t xml:space="preserve"> </t>
    </r>
  </si>
  <si>
    <t>1218100</t>
  </si>
  <si>
    <t>1218110</t>
  </si>
  <si>
    <t>2020 - 2024 роки</t>
  </si>
  <si>
    <t>Нове будівництво зовнішніх газових мереж газопостачання індустріального парку "Хмельницький" по вул. Вінницьке шосе, 18 в м. Хмельницькому (в частині зовнішні мережі - нестандартне приєднання)</t>
  </si>
  <si>
    <t>2024 рік</t>
  </si>
  <si>
    <t>Заходи з озеленення</t>
  </si>
  <si>
    <t>Програма економічного і соціального розвитку Хмельницької міської територіальної громади на 2024 рік</t>
  </si>
  <si>
    <t>Програма заходів національного спротиву Хмельницької міської територіальної громади на 2024 рік</t>
  </si>
  <si>
    <r>
      <t xml:space="preserve">1 </t>
    </r>
    <r>
      <rPr>
        <sz val="20"/>
        <rFont val="Times New Roman"/>
        <family val="1"/>
        <charset val="204"/>
      </rPr>
      <t>Будівни́цтво — будівництво, реконструкція і реставрація об'єктів виробничої, комунікаційної та соціальної інфраструктури за рахунок власних коштів місцевих бюджетів.</t>
    </r>
  </si>
  <si>
    <t>Програма підтримки сім’ї на 2021-2025 роки  (із змінами)</t>
  </si>
  <si>
    <t xml:space="preserve">Програма зайнятості населення Хмельницької міської територіальної громади на 2024 - 2026 роки </t>
  </si>
  <si>
    <t>Програма висвітлення діяльності Хмельницької міської ради та її виконавчих органів на 2024 рік</t>
  </si>
  <si>
    <t>Програма шефської допомоги військовим частинам Збройних Сил України, Національної гвардії України, які розташовані на території Хмельницької міської територіальної громади на 2022-2024 роки (із змінами)</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</si>
  <si>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t>
  </si>
  <si>
    <r>
      <t xml:space="preserve">Найменування згідно
 з </t>
    </r>
    <r>
      <rPr>
        <b/>
        <u/>
        <sz val="10"/>
        <rFont val="Times New Roman"/>
        <family val="1"/>
        <charset val="204"/>
      </rPr>
      <t>Класифікацією доходів бюджету</t>
    </r>
  </si>
  <si>
    <t>Податок на доходи фізичних осіб із доходів спеціалістів резидента Дія Сіті</t>
  </si>
  <si>
    <t>Податок на доходи фізичних осіб у вигляді мінімального податкового зобов'язання, що підлягає сплаті фізичними особами</t>
  </si>
  <si>
    <t xml:space="preserve">Рентна плата за спеціальне використання лісових ресурсів в частині деревини, заготовленої в порядку рубок головного користування </t>
  </si>
  <si>
    <t>Адміністративні штрафи за адміністративні правопорушення у сфері забезпечення безпеки дорожнього руху, зафіксовані в автоматичному режимі</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</si>
  <si>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</si>
  <si>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 xml:space="preserve">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 </t>
  </si>
  <si>
    <r>
      <t xml:space="preserve">1 </t>
    </r>
    <r>
      <rPr>
        <sz val="10"/>
        <rFont val="Times New Roman"/>
        <family val="1"/>
        <charset val="204"/>
      </rPr>
      <t>Будівни́цтво — будівництво, реконструкція і реставрація об'єктів виробничої, комунікаційної та соціальної інфраструктури за рахунок власних коштів місцевих бюджетів.</t>
    </r>
  </si>
  <si>
    <t>Рішення 36-ї сесії Хмельницької міської ради від 21.12.2023 року №86</t>
  </si>
  <si>
    <t>Рішення 36-ї сесії Хмельницької міської ради від 21.12.2023 року №9</t>
  </si>
  <si>
    <t>Рішення 36-ї сесії Хмельницької міської ради від 21.12.2023 року №2</t>
  </si>
  <si>
    <t>Рішення 36-ї сесії Хмельницької міської ради від 21.12.2023 року №4</t>
  </si>
  <si>
    <t>Рішення 36-ї сесії Хмельницької міської ради від 21.12.2023 року №81</t>
  </si>
  <si>
    <t>Рішення 36-ї сесії Хмельницької міської ради від 21.12.2023 року №23</t>
  </si>
  <si>
    <t>Програма розвитку інформаційної інфраструктури туристичних послуг
на 2024 – 2026 роки</t>
  </si>
  <si>
    <t>Рішення 36-ї сесії Хмельницької міської ради від 21.12.2023 року №55</t>
  </si>
  <si>
    <t>Реалізація державної політики у молодіжній сфері та сфері з утвердження української національної та громадянської ідентичності</t>
  </si>
  <si>
    <t xml:space="preserve">Реконструкція будівлі спеціалізованої загальноосвітньої школи І-ІІІ ступенів № 7 міста Хмельницького для улаштування споруди цивільного захисту на вул. Заводська, 33 в м. Хмельницькому </t>
  </si>
  <si>
    <t>8880</t>
  </si>
  <si>
    <t>Реконструкція системи зовнішньої каналізації з влаштуванням локальних очисних споруд Позаміського дитячого закладу оздоровлення та відпочинку «Чайка» Хмельницької міської ради, для облаштування місць тимчасового розміщення внутрішньо переміщених осіб, за адресою Хмельницька область, Хмельницький р-н, с. Головчинці, вул. Підлісна, 4/1</t>
  </si>
  <si>
    <t xml:space="preserve"> Реконструкція приміщень рентгенкабінету під приміщення ангіографії з облаштуванням даху, вхідної групи центрального входу, приміщень фойє та коридору (заходи з енергозбереження та дотримання умов доступності маломобільних груп населення) першого поверху корпусу №3 комунального підприємства «Хмельницька міська лікарня» Хмельницької міської ради  за  адресою: провулок Проскурівський,1,  м.Хмельницький (коригування)</t>
  </si>
  <si>
    <t>Виконання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</si>
  <si>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0611290</t>
  </si>
  <si>
    <t>1291</t>
  </si>
  <si>
    <t>1290</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</si>
  <si>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</si>
  <si>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</si>
  <si>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</si>
  <si>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</si>
  <si>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</si>
  <si>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Реконструкція будівлі Шаровечківської ЗОШ І-ІІІ ст. за адресою: с. Шаровечка, вул. Шкільна, 10 Хмельницького району Хмельницької області (коригування)</t>
  </si>
  <si>
    <t>Нове будівництво споруди цивільного захисту для Шаровечківської ЗОШ І-ІІІ ступенів Хмельницької міської ради Хмельницької області, за адресою:
с. Шаровечка, вул. Шкільна, 10, Хмельницького району, Хмельницької області (коригування)</t>
  </si>
  <si>
    <t>Нове будівництво споруди цивільного захисту для Хмельницького закладу дошкільної освіти № 15 "Червона шапочка" Хмельницької міської ради Хмельницької області
на вул. М. Трембовецької, 23
м. Хмельницький (коригування)</t>
  </si>
  <si>
    <t>Програма підтримки і розвитку Спеціалізованого комунального підприємства «Хмельницька міська ритуальна служба» на 2023-2027 роки (із змінами)</t>
  </si>
  <si>
    <t>Будівництво ділянки водопроводу діам. 315 мм по вул. К. Степанкова
в м. Хмельницький (коригування)</t>
  </si>
  <si>
    <t xml:space="preserve">Реконструкція самопливного каналізаційного колектора діам.800 мм від ж.б №203 до колодязя №551а по вул. Проскурівського підпілля в м.Хмельницький </t>
  </si>
  <si>
    <t>Реконструкція напірного каналізаційного колектора діаметром 225 мм від КНС-22, вул.Кам`янецька, 134/1Д в м.Хмельницький (коригування)</t>
  </si>
  <si>
    <t>4122</t>
  </si>
  <si>
    <t xml:space="preserve">Повернення кредитів підприємствами, установами, організаціями </t>
  </si>
  <si>
    <t>Реконструкція самопливного каналізаційного колектора від буд. №4а по  вул. Свободи до буд.№20/2
по вул. Зарічанській в м.Хмельницький (корегування)</t>
  </si>
  <si>
    <t>Рішення 38-ї сесії Хмельницької міської ради від 13.03.2024 року №11</t>
  </si>
  <si>
    <t>Субвенція з місцевого бюджету за рахунок залишку коштів освітньої субвенції, що утворився на початок бюджетного періоду</t>
  </si>
  <si>
    <t>Рішення 39-ї сесії Хмельницької міської ради від 02.05.2024 року №6</t>
  </si>
  <si>
    <t>Програма взаємодії регіонального сервісного центру ГСЦ МВС в Хмельницькій області (філія ГСЦ МВС) із Хмельницькою міською радою в сфері надання адміністративних послуг населенню на 2024 рік</t>
  </si>
  <si>
    <t>Комплексна програма мобілізації зусиль Хмельницької міської ради та Головного управління ДПС у Хмельницькій області по забезпеченню надходжень до бюджету Хмельницької міської територіальної громади на 2024-2025 роки</t>
  </si>
  <si>
    <t xml:space="preserve">	Виконання заходів щодо створення навчально-практичних центрів сучасної професійної (професійно-технічної) освіти за рахунок субвенції з державного бюджету місцевим бюджетам</t>
  </si>
  <si>
    <t>Виконання заходів щодо облаштування безпечних умов у закладах охорони здоров'я</t>
  </si>
  <si>
    <t>0712160</t>
  </si>
  <si>
    <t>2160</t>
  </si>
  <si>
    <t>Співфінансування заходів, що реалізуються за рахунок субвенції з державного бюджету місцевим бюджетам на облаштування безпечних умов у закладах охорони здоров'я</t>
  </si>
  <si>
    <t>0712161</t>
  </si>
  <si>
    <t>2161</t>
  </si>
  <si>
    <t>Вартість по договорах - 21471498,29</t>
  </si>
  <si>
    <t>Внески до статутного капіталу 
спеціалізованого комунального підприємства «Хмельницька міська ритуальна служба», в тому числі:</t>
  </si>
  <si>
    <t>Внески до статутного капіталу 
комунального підприємства "Хмельницькводоканал", в тому числі:</t>
  </si>
  <si>
    <t>Нове будівництво поминальної колумбарної стінки Героїв російсько-української війни на кладовищі "Ракове" на вул. Народної Волі, 17/1 у м. Хмельницькому</t>
  </si>
  <si>
    <t>Програма "Моє укриття" на 2024-2025 роки</t>
  </si>
  <si>
    <t>Рішення 36-ї сесії Хмельницької міської ради від 21.12.2023 року №58</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</si>
  <si>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вул.Бажана, 2 в м.Хмельницькому (коригування)</t>
  </si>
  <si>
    <t>Програма розвитку електротранспорту Хмельницької міської територіальної громади на 2021 - 2025 роки (із змінами)</t>
  </si>
  <si>
    <t>Реконструкція нежитлового приміщення під гуртожиток для малих сімей по вул.Перемоги 13
у м. Хмельницькому</t>
  </si>
  <si>
    <t>41051100</t>
  </si>
  <si>
    <t>Програма бюджетування за участі громадськості (Бюджет участі) Хмельницької міської територіальної громади на 2024-2026 роки (із змінами)</t>
  </si>
  <si>
    <t>Рішення 36-ї сесії Хмельницької міської ради від 21.12.2023 року №10</t>
  </si>
  <si>
    <t>2713242</t>
  </si>
  <si>
    <t>0213000</t>
  </si>
  <si>
    <t>0213240</t>
  </si>
  <si>
    <t>0213241</t>
  </si>
  <si>
    <t xml:space="preserve">  </t>
  </si>
  <si>
    <t>Рішення 41-ї сесії Хмельницької міської ради від 14.06.2024 року №7</t>
  </si>
  <si>
    <t>Рішення 38-ї сесії Хмельницької міської ради від 13.03.2024 року №9</t>
  </si>
  <si>
    <t>Плата за ліцензії у сфері діяльності з організації та проведення азартних ігор і за ліцензії на випуск та проведення лотерей</t>
  </si>
  <si>
    <t>Плата за ліцензії на провадження діяльності з організації та проведення азартних ігор у залах гральних автоматів</t>
  </si>
  <si>
    <t xml:space="preserve">Реконструкція існуючих газових мереж з заміною ВОГ теплогенераторної Іванковецького ліцею Хмельницької міської ради за адресою: вул. Шкільна, 2, с. Іванківці, Хмельницький район </t>
  </si>
  <si>
    <t>Програма грантової підтримки інноваційних проєктів для підвищення обороноздатності України на 2024 - 2025 роки (із змінами)</t>
  </si>
  <si>
    <t>Нове будівництво зовнішніх мереж електропостачання індустріального парку  "Хмельницький" по вул. Вінницьке шосе, 18 в 
м. Хмельницькому (коригування)</t>
  </si>
  <si>
    <t xml:space="preserve"> Нове будівництво зовнішніх мереж водопостачання та каналізації індустріального парку "Хмельницький" по  вул. Вінницьке шосе, 18 в м. Хмельницькому (коригування)</t>
  </si>
  <si>
    <t>Програма підтримки ОСББ Хмельницької міської територіальної громади на 2023 – 2026 роки (із змінами)</t>
  </si>
  <si>
    <t>2019 - 2025 роки</t>
  </si>
  <si>
    <t>Реконструкція відділення невідкладної допомоги та реанімації комунального підприємства "Хмельницька міська дитяча лікарня" Хмельницької міської ради за адресою: м. Хмельницький, вул. Степана Разіна, 1 (коригування)</t>
  </si>
  <si>
    <t>Про затвердження Програми взаємодії Хмельницької міської ради та Хмельницького районного відділу №1 філії Державної установи «Центр пробації» у Хмельницькій області 2024-2025 роки (із змінами)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</si>
  <si>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</si>
  <si>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Виконання заходів, спрямованих на забезпечення якісної, сучасної та доступної загальної середньої освіти "Нова українська школа"</t>
  </si>
  <si>
    <t xml:space="preserve">	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</si>
  <si>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	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</si>
  <si>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1216013</t>
  </si>
  <si>
    <t>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2022 - 2025 роки (із змінами)</t>
  </si>
  <si>
    <t>0611400</t>
  </si>
  <si>
    <t>0611403</t>
  </si>
  <si>
    <t>1403</t>
  </si>
  <si>
    <t>1400</t>
  </si>
  <si>
    <t>Виконання заходів із задоволення потреб у забезпеченні безпечного освітнього середовища</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</si>
  <si>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</si>
  <si>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Субвенція з державного бюджету місцевим бюджетам на забезпечення харчуванням учнів початкових класів закладів загальної середньої освіти</t>
  </si>
  <si>
    <t>Програма підтримки і розвитку комунального підприємства по будівництву, ремонту та експлуатації доріг виконавчого комітету Хмельницької міської ради на 2023-2027 роки (із змінами)</t>
  </si>
  <si>
    <t>Програма розвитку та вдосконалення міського та приміського пасажирського транспорту  на території  Хмельницької міської територіальної громади на 2024 - 2028 роки  (із змінами)</t>
  </si>
  <si>
    <t>Рішення 36-ї сесії Хмельницької міської ради від 21.12.2023 року №70</t>
  </si>
  <si>
    <t xml:space="preserve">  до рішення №  </t>
  </si>
  <si>
    <t>2024 - 2025 роки</t>
  </si>
  <si>
    <t>Реконструкція будівлі лікувально-оздоровчого комплексу «Г-2» під спальний корпус Позаміського дитячого закладу оздоровлення та відпочинку «Чайка» Хмельницької міської ради за адресою: Хмельницька область, Хмельницький район, с. Головчинці, вул. Підлісна, 4/1 з впровадженням заходів з енергоефективності</t>
  </si>
  <si>
    <t>2023 - 2025 роки</t>
  </si>
  <si>
    <t>Хмельницької міської територіальної громади у 2025 році</t>
  </si>
  <si>
    <t>на 2025 рік</t>
  </si>
  <si>
    <t>програм у 2025 році</t>
  </si>
  <si>
    <t>у 2025 році</t>
  </si>
  <si>
    <r>
      <t>Будівництво</t>
    </r>
    <r>
      <rPr>
        <b/>
        <vertAlign val="superscript"/>
        <sz val="11"/>
        <color rgb="FFFF0000"/>
        <rFont val="Times New Roman"/>
        <family val="1"/>
        <charset val="204"/>
      </rPr>
      <t>1</t>
    </r>
    <r>
      <rPr>
        <sz val="11"/>
        <color rgb="FFFF0000"/>
        <rFont val="Times New Roman"/>
        <family val="1"/>
        <charset val="204"/>
      </rPr>
      <t>  установ та закладів соціальної сфери</t>
    </r>
  </si>
  <si>
    <r>
      <t xml:space="preserve">Нове </t>
    </r>
    <r>
      <rPr>
        <sz val="12"/>
        <color rgb="FFFF0000"/>
        <rFont val="Times New Roman"/>
        <family val="1"/>
        <charset val="204"/>
      </rPr>
      <t xml:space="preserve">будівництво споруди цивільного захисту для Хмельницької середньої загальноосвітньої школи І-ІІІ ступенів № 13 імені М.К.Чекмана на вул. Профспілковій, 39 в м.Хмельницькому </t>
    </r>
    <r>
      <rPr>
        <sz val="11"/>
        <color rgb="FFFF0000"/>
        <rFont val="Times New Roman"/>
        <family val="1"/>
        <charset val="204"/>
      </rPr>
      <t>(коригування)</t>
    </r>
  </si>
  <si>
    <t>Обсяг капітальних вкладень бюджету Хмельницької міської територіальної громади у 2025 році, гривень</t>
  </si>
  <si>
    <t>Очікуваний рівень готовності проекту на кінець 2025 року, %</t>
  </si>
  <si>
    <t>МІЖБЮДЖЕТНІ ТРАНСФЕРТИ НА 2025 РІК</t>
  </si>
  <si>
    <t>бюджету Хмельницької міської територіальної громади у 2025 році</t>
  </si>
  <si>
    <t>видатків бюджету Хмельницької міської територіальної громади на 2025 рік</t>
  </si>
  <si>
    <t>бюджету Хмельницької міської територіальної громади на 2025 рік</t>
  </si>
  <si>
    <t>бюджету Хмельницької міської територіальної громади  на 2025 рік</t>
  </si>
  <si>
    <t xml:space="preserve">Біологічна меліорація водойм </t>
  </si>
  <si>
    <t xml:space="preserve">Обслуговування та забезпечення функціонування системи моніторингу атмосферного повітря агломерації «Хмельницький» </t>
  </si>
  <si>
    <t xml:space="preserve">Придбання систем, приладів для здійснення контролю за якістю поверхневих та підземних вод на території міста </t>
  </si>
  <si>
    <t xml:space="preserve">Придбання спецтехніки для очищення водойм </t>
  </si>
  <si>
    <t xml:space="preserve">Резервування територій для заповідання. Заходи з розроблення схеми екологічної мережі території громади </t>
  </si>
  <si>
    <t xml:space="preserve">Виготовлення та розміщення інформаційних листівок екологічної реклами, відеороликів тощо на тему «Розумне поводження з відходами» </t>
  </si>
  <si>
    <t>Організація проведення оцінки впливу на довкілля та стратегічної екологічної оцінки</t>
  </si>
  <si>
    <t xml:space="preserve">Проведення науково-технічних конференцій і семінарів, організація виставок, фестивалів та інших заходів щодо пропаганди охорони навколишнього середовища, видання поліграфічної продукції з екологічної тематики тощо </t>
  </si>
  <si>
    <t>Наукові дослідження, проектні та проектно-конструкторські розроблення (в тому числі моніторингові дослідження)</t>
  </si>
  <si>
    <t>1216091</t>
  </si>
  <si>
    <t>6091</t>
  </si>
  <si>
    <r>
      <t>Будівництво</t>
    </r>
    <r>
      <rPr>
        <b/>
        <vertAlign val="superscript"/>
        <sz val="36"/>
        <rFont val="Times New Roman"/>
        <family val="1"/>
        <charset val="204"/>
      </rPr>
      <t>1</t>
    </r>
    <r>
      <rPr>
        <sz val="36"/>
        <rFont val="Times New Roman"/>
        <family val="1"/>
        <charset val="204"/>
      </rPr>
      <t>  об'єктів житлово-комунального господарства</t>
    </r>
  </si>
  <si>
    <t>1416091</t>
  </si>
  <si>
    <r>
      <t>Будівництво</t>
    </r>
    <r>
      <rPr>
        <b/>
        <vertAlign val="superscript"/>
        <sz val="11"/>
        <rFont val="Times New Roman"/>
        <family val="1"/>
        <charset val="204"/>
      </rPr>
      <t>1</t>
    </r>
    <r>
      <rPr>
        <sz val="11"/>
        <rFont val="Times New Roman"/>
        <family val="1"/>
        <charset val="204"/>
      </rPr>
      <t>  об'єктів житлово-комунального господарства</t>
    </r>
  </si>
  <si>
    <t>2022 - 2025 роки</t>
  </si>
  <si>
    <t>2021 - 2025 роки</t>
  </si>
  <si>
    <t>Програма економічного і соціального розвитку Хмельницької міської територіальної громади на 2025 рік</t>
  </si>
  <si>
    <t>1511000</t>
  </si>
  <si>
    <t>1511300</t>
  </si>
  <si>
    <t>1300</t>
  </si>
  <si>
    <r>
      <t>Будівництво</t>
    </r>
    <r>
      <rPr>
        <b/>
        <vertAlign val="superscript"/>
        <sz val="36"/>
        <rFont val="Times New Roman"/>
        <family val="1"/>
        <charset val="204"/>
      </rPr>
      <t>1</t>
    </r>
    <r>
      <rPr>
        <sz val="36"/>
        <rFont val="Times New Roman"/>
        <family val="1"/>
        <charset val="204"/>
      </rPr>
      <t>  освітніх установ та закладів</t>
    </r>
  </si>
  <si>
    <r>
      <t>Будівництво</t>
    </r>
    <r>
      <rPr>
        <b/>
        <vertAlign val="superscript"/>
        <sz val="11"/>
        <rFont val="Times New Roman"/>
        <family val="1"/>
        <charset val="204"/>
      </rPr>
      <t>1</t>
    </r>
    <r>
      <rPr>
        <sz val="11"/>
        <rFont val="Times New Roman"/>
        <family val="1"/>
        <charset val="204"/>
      </rPr>
      <t>  освітніх установ та закладів</t>
    </r>
  </si>
  <si>
    <r>
      <t>Будівництво</t>
    </r>
    <r>
      <rPr>
        <b/>
        <vertAlign val="superscript"/>
        <sz val="36"/>
        <rFont val="Times New Roman"/>
        <family val="1"/>
        <charset val="204"/>
      </rPr>
      <t>1</t>
    </r>
    <r>
      <rPr>
        <sz val="36"/>
        <rFont val="Times New Roman"/>
        <family val="1"/>
        <charset val="204"/>
      </rPr>
      <t> інших об'єктів комунальної власності</t>
    </r>
  </si>
  <si>
    <t>1514000</t>
  </si>
  <si>
    <t>1514080</t>
  </si>
  <si>
    <t>Проектування, реставрація та охорона пам'яток культурної спадщини</t>
  </si>
  <si>
    <t>1514084</t>
  </si>
  <si>
    <t>4084</t>
  </si>
  <si>
    <t>Програма підготовки мешканців Хмельницької міської територіальної  громади до національного спротиву на 2024-2025 роки (із змінами)</t>
  </si>
  <si>
    <t>Медіа (Засоби масової інформації)</t>
  </si>
  <si>
    <t>Фінансова підтримка медіа (засобів масової інформації)</t>
  </si>
  <si>
    <t>1617351</t>
  </si>
  <si>
    <t>Розроблення комплексних планів просторового розвитку територій територіальних громад</t>
  </si>
  <si>
    <t>7351</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</si>
  <si>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коштів місцевого бюджету</t>
  </si>
  <si>
    <t>Надання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</si>
  <si>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</si>
  <si>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0611300</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</si>
  <si>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 (зі змінами)</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</si>
  <si>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t>
  </si>
  <si>
    <t>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</si>
  <si>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Реконструкція будівель за адресою Хмельницька область, Хмельницький район, с.Головчинці, вул.Підлісна, 4/1 для облаштування місць проживання та реабілітації внутрішньо переміщених та евакуйованих осіб з впровадженням заходів з енергоефективності, а саме: Котельня. Теплові мережі (Коригування)</t>
  </si>
  <si>
    <t>0813250</t>
  </si>
  <si>
    <t>3250</t>
  </si>
  <si>
    <r>
      <t>Будівництво</t>
    </r>
    <r>
      <rPr>
        <b/>
        <vertAlign val="superscript"/>
        <sz val="36"/>
        <rFont val="Times New Roman"/>
        <family val="1"/>
        <charset val="204"/>
      </rPr>
      <t>1</t>
    </r>
    <r>
      <rPr>
        <sz val="36"/>
        <rFont val="Times New Roman"/>
        <family val="1"/>
        <charset val="204"/>
      </rPr>
      <t>  установ та закладів соціальної сфери</t>
    </r>
  </si>
  <si>
    <r>
      <t>Будівництво</t>
    </r>
    <r>
      <rPr>
        <b/>
        <vertAlign val="superscript"/>
        <sz val="11"/>
        <rFont val="Times New Roman"/>
        <family val="1"/>
        <charset val="204"/>
      </rPr>
      <t>1</t>
    </r>
    <r>
      <rPr>
        <sz val="11"/>
        <rFont val="Times New Roman"/>
        <family val="1"/>
        <charset val="204"/>
      </rPr>
      <t>  установ та закладів соціальної сфери</t>
    </r>
  </si>
  <si>
    <t>Нове будівництво водогону в с. Велика Калинівка Хмельницього району Хмельницької області (коригування). Водозабірна свердловина</t>
  </si>
  <si>
    <t>Програма підтримки та розвитку комунального некомерційного підприємства «Телерадіокомпанія «Місто» на 2024-2028 роки (із змінами)</t>
  </si>
  <si>
    <t>Рішення 47-ї сесії Хмельницької міської ради від 11.12.2024 року №7</t>
  </si>
  <si>
    <t>Рішення 47-ї сесії Хмельницької міської ради від 11.12.2024 року №5</t>
  </si>
  <si>
    <t>Програма співфінансування робіт з ремонту багатоквартирних будинків Хмельницької міської територіальної громади на 2025-2029 роки</t>
  </si>
  <si>
    <t>Рішення 47-ї сесії Хмельницької міської ради від 11.12.2024 року №40</t>
  </si>
  <si>
    <t>Програма забезпечення контролю за благоустроєм, санітарним станом та стихійною торгівлею на території Хмельницької міської територіальної громади на 2025-2026 роки</t>
  </si>
  <si>
    <t>Рішення 47-ї сесії Хмельницької міської ради від 11.12.2024 року №22</t>
  </si>
  <si>
    <t>до рішення №  
 від                      2025 року</t>
  </si>
  <si>
    <t>від                       2025 року</t>
  </si>
  <si>
    <t xml:space="preserve">до рішення  №             від             2025 року </t>
  </si>
  <si>
    <t>Додаток 4
до рішення  №               від                      2025 року</t>
  </si>
  <si>
    <t>до рішення №          
від                             2025 року</t>
  </si>
  <si>
    <t xml:space="preserve">Додаток 6
до рішення №         від                          2025 року
</t>
  </si>
  <si>
    <t xml:space="preserve">до рішення  №           від                 2025 року </t>
  </si>
  <si>
    <t xml:space="preserve"> від          .2025 року</t>
  </si>
  <si>
    <t>від                      2025 року</t>
  </si>
  <si>
    <t>Штрафні санкції, що застосовуються відповідно до Закону України "Про державне ругулювання виробництва і обігу спирту етилового, спиртових дистилятів, біоетанолу, алкогольних напоїв, тютюнових виробів, тютюнової сировини, рідин, що використовуються в електронних сигаретах, та пального"</t>
  </si>
  <si>
    <t>Адміністративний збір, що справляється відповідно до Закону України "Про державну реєстрацію юридичних осіб, фізичних осіб - підприємців та громадських формувань"</t>
  </si>
  <si>
    <t>Виконання заходів щодо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</si>
  <si>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</si>
  <si>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</si>
  <si>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Розвиток та надання послуг спеціалізованими службами підтримки осіб, які постраждали від домашнього насильства та/або насильства за ознакою статі</t>
  </si>
  <si>
    <t>Створення умов для творчого, інтелектуального, духовного та фізичного розвитку дітей та молоді за місцем їх проживання</t>
  </si>
  <si>
    <t>Забезпечення молодіжними центрами соціального становлення та розвитку молоді та інші заходи у сфері молодіжної політики</t>
  </si>
  <si>
    <t>Надання комплексу послуг особам/сім’ям у сфері соціального захисту та соціального забезпечення іншими надавачами соціальних послуг</t>
  </si>
  <si>
    <t>Розвиток здібностей у дітей та молоді з фізичної культури та спорту комунальними дитячо-юнацькими спортивними школами</t>
  </si>
  <si>
    <t>Регіональний розвиток та інші інвестиційні проекти</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</si>
  <si>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</si>
  <si>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</si>
  <si>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41036300</t>
  </si>
  <si>
    <t>Субвенція з місцевого бюджету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</si>
  <si>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41059700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</si>
  <si>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</si>
  <si>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</si>
  <si>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</si>
  <si>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</si>
  <si>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0611183</t>
  </si>
  <si>
    <t>0611184</t>
  </si>
  <si>
    <t>1183</t>
  </si>
  <si>
    <t>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</si>
  <si>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</si>
  <si>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</si>
  <si>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r>
      <t>Реконструкція покрівлі багатоквартирного житлового будинку по</t>
    </r>
    <r>
      <rPr>
        <sz val="11"/>
        <rFont val="Times New Roman Cyr"/>
        <charset val="204"/>
      </rPr>
      <t xml:space="preserve"> вул. Симона Петлюри, 66/2
в м. Хмельницькому</t>
    </r>
  </si>
  <si>
    <t>2025 рік</t>
  </si>
  <si>
    <t>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пров.Володимирський, 12 в м.Хмельницькому (коригування)</t>
  </si>
  <si>
    <t>Програма сприяння розвитку волонтерства на території Хмельницької міської територіальної громади на 2023-2027 роки  (із змінами)</t>
  </si>
  <si>
    <t>0213193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</si>
  <si>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</si>
  <si>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</si>
  <si>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0213190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</si>
  <si>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</si>
  <si>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41059300</t>
  </si>
  <si>
    <t>Заступник міського голови</t>
  </si>
  <si>
    <t>Михайло КРИВАК</t>
  </si>
  <si>
    <t>Закупівля засобів навчання та обладнання, комп’ютерного та мультимедійного обладнання для навчальних кабінетів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формою, з поєднанням очної та дистанційної форми здобуття освіти</t>
  </si>
  <si>
    <t>Закупівля засобів навчання та обладнання, мультимедійного та комп’ютерного обладнання, меблів для навчальних кабінетів закладів загальної середньої освіти комунальної форми власності, які реалізують інноваційний освітній проект всеукраїнського рівня за темою “Розроблення і впровадження навчально-методичного забезпечення для закладів загальної середньої освіти в умовах реалізації Державного стандарту базової середньої освіти”</t>
  </si>
  <si>
    <t xml:space="preserve">На кінець періоду </t>
  </si>
  <si>
    <t>На кінець періоду</t>
  </si>
  <si>
    <t>Рішення 48-ї сесії Хмельницької міської ради від 23.01.2025 року №3</t>
  </si>
  <si>
    <t>Вільний залишок коштів на 01.01.2025 року:</t>
  </si>
  <si>
    <t>Реконструкція існуючих газових мереж з заміною ВОГ теплогенераторної Черепівської філії Іванковецького ліцею Хмельницької міської ради по вул.Трублаїні, 25 в с. Черепівка Хмельницької області</t>
  </si>
  <si>
    <t>0617300</t>
  </si>
  <si>
    <t>0617330</t>
  </si>
  <si>
    <r>
      <t>Будівництво</t>
    </r>
    <r>
      <rPr>
        <b/>
        <vertAlign val="superscript"/>
        <sz val="36"/>
        <rFont val="Times New Roman"/>
        <family val="1"/>
        <charset val="204"/>
      </rPr>
      <t>1</t>
    </r>
    <r>
      <rPr>
        <sz val="36"/>
        <rFont val="Times New Roman"/>
        <family val="1"/>
        <charset val="204"/>
      </rPr>
      <t> закладів охорони здоров'я</t>
    </r>
  </si>
  <si>
    <t>0712170</t>
  </si>
  <si>
    <t>2170</t>
  </si>
  <si>
    <r>
      <t>Будівництво</t>
    </r>
    <r>
      <rPr>
        <b/>
        <vertAlign val="superscript"/>
        <sz val="11"/>
        <rFont val="Times New Roman"/>
        <family val="1"/>
        <charset val="204"/>
      </rPr>
      <t>1</t>
    </r>
    <r>
      <rPr>
        <sz val="11"/>
        <rFont val="Times New Roman"/>
        <family val="1"/>
        <charset val="204"/>
      </rPr>
      <t> закладів охорони здоров'я</t>
    </r>
  </si>
  <si>
    <t>2019 - 2026 роки</t>
  </si>
  <si>
    <t>0717000</t>
  </si>
  <si>
    <t>0813110</t>
  </si>
  <si>
    <t>3110</t>
  </si>
  <si>
    <t>Заклади і заходи з питань дітей та їх соціального захисту</t>
  </si>
  <si>
    <t>Забезпечення умов для догляду та виховання дітей і молоді в дитячих будинках сімейного типу, прийомних сім’ях та сім’ях патронатних вихователів</t>
  </si>
  <si>
    <t>0813114</t>
  </si>
  <si>
    <t>3114</t>
  </si>
  <si>
    <t>1217100</t>
  </si>
  <si>
    <t>1217130</t>
  </si>
  <si>
    <t>Реконструкція існуючих газових мереж з заміною ВОГ теплогенераторної Олешинської гімназії Хмельницької міської ради по вул. Шкільна, 17А в с.Олешин Хмельницької області</t>
  </si>
  <si>
    <t>Реконструкція існуючих газових мереж з заміною ВОГ теплогенераторної ЗОШ I-III ст. по вул. Шкільна, 10 в с.Шаровечка Хмельницької області (коригування)</t>
  </si>
  <si>
    <t>Реконструкція ділянки каналізаційної мережі від ж.б. №3 та №3/1 по вул.Січових стрільців з переходом даної вулиці в м.Хмельницькому (коригування)</t>
  </si>
  <si>
    <t>Внески до статутного капіталу 
комунального підприємства по будівництву, ремонту та експлуатації доріг, в тому числі:</t>
  </si>
  <si>
    <t>2018 - 2025 роки</t>
  </si>
  <si>
    <t>Видатки, пов'язані з наданням підтримки внутрішньо переміщеним та/або евакуйованим особам у зв'язку із введенням воєнного стану</t>
  </si>
  <si>
    <t>Нове будівництво багатоквартирних житлових будинків для внутрішньо переміщених осіб на вул. Озерна, 6/2-Г в м. Хмельницькому (облаштування споруди подвійного призначення із захисними властивостями протирадіаційного укриття в секції В)  (коригування )</t>
  </si>
  <si>
    <t>Заходи щодо відновлення і підтримання сприятливого гідрологічного режиму та санітарного стану річок (виготовлення проектів землеустрою щодо встановлення  меж прибережних захисних смуг поверхневих водних об‘єктів</t>
  </si>
  <si>
    <t>Забезпечення екологічно безпечного збирання, перевезення, зберігання, оброблення, утилізації, видалення, знешкодження і захоронення відходів та небезпечних хімічних речовин ( в т.ч.: ліквідація стихійних сміттєзвалищ; влаштування центру управління відходами; придбання контейнерів для сортування відходів; проведення навчання з сортування відходів)</t>
  </si>
  <si>
    <t>Придбання обладнання для збору, транспортування та складування побутових відходів</t>
  </si>
  <si>
    <t>Внески до статутного капіталу 
Хмельницького комунального підприємства «Електротранс», в тому числі:</t>
  </si>
  <si>
    <t>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Хмельницькому"(ІІ пусковий)</t>
  </si>
  <si>
    <t>Будівництво дощоприймача на колекторі зливової каналізації за адресою вул. Кармелюка, 5-А в м. Хмельницькому.</t>
  </si>
  <si>
    <t>Програма національно – патріотичного виховання мешканців Хмельницької міської територіальної громади на 2025-2026 роки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</si>
  <si>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</si>
  <si>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Рішення 50-ї сесії Хмельницької міської ради від 05.03.2025 року №4</t>
  </si>
  <si>
    <t>Рішення 51-ї сесії Хмельницької міської ради від 27.03.2025 року № 2</t>
  </si>
  <si>
    <t>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</si>
  <si>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41050200</t>
  </si>
  <si>
    <t xml:space="preserve">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t>
  </si>
  <si>
    <t>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</si>
  <si>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Програма розвитку архівної справи Хмельницької міської територіальної громади на 2025-2029 роки</t>
  </si>
  <si>
    <t>Співфінансування заходів, що реалізуються за рахунок освітньої субвенції з державного бюджету місцевим бюджетам (за спеціальним фондом державного бюджету), на створення сучасного освітнього простору</t>
  </si>
  <si>
    <t>1275</t>
  </si>
  <si>
    <t>Реалізація заходів за рахунок освітньої субвенції з державного бюджету місцевим бюджетам (за спеціальним фондом державного бюджету) на створення сучасного освітнього простору</t>
  </si>
  <si>
    <t>1276</t>
  </si>
  <si>
    <t>0713190</t>
  </si>
  <si>
    <t>0713193</t>
  </si>
  <si>
    <t>0611275</t>
  </si>
  <si>
    <t>0611276</t>
  </si>
  <si>
    <t>0813225</t>
  </si>
  <si>
    <t>3225</t>
  </si>
  <si>
    <t>Реалізація публічного інвестиційного проекту із виплати грошової компенсації за належні для отримання жилі приміщення для сімей осіб, визначених пунктами 2–5 частини першої статті 10-1 Закону України «Про статус ветеранів війни, гарантії їх соціального захисту», для осіб з інвалідністю I–II груп,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</si>
  <si>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Виплата грошової компенсації за належні для отримання жилі приміщення для сімей осіб, визначених пунктами 2–5 частини першої статті 10-1 Закону України «Про статус ветеранів війни, гарантії їх соціального захисту», для осіб з інвалідністю I–II груп,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</si>
  <si>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1213000</t>
  </si>
  <si>
    <t>1213230</t>
  </si>
  <si>
    <t>Реконструкція напірного каналізаційного колектора по вул.Північній в м.Хмельницький</t>
  </si>
  <si>
    <t>Реставрація Хмельницького міського будинку культури по вул.Проскурівській, 43
в м. Хмельницькому (коригування)</t>
  </si>
  <si>
    <r>
      <t>Будівництво</t>
    </r>
    <r>
      <rPr>
        <b/>
        <vertAlign val="superscript"/>
        <sz val="36"/>
        <rFont val="Times New Roman"/>
        <family val="1"/>
        <charset val="204"/>
      </rPr>
      <t>1</t>
    </r>
    <r>
      <rPr>
        <sz val="36"/>
        <rFont val="Times New Roman"/>
        <family val="1"/>
        <charset val="204"/>
      </rPr>
      <t>  споруд, установ та закладів фізичної культури і спорту</t>
    </r>
  </si>
  <si>
    <t>1115070</t>
  </si>
  <si>
    <t>5070</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</si>
  <si>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</si>
  <si>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Реконструкція самопливної каналізаційної мережі по
вул. С. Бандери, 22 в м. Хмельницький</t>
  </si>
  <si>
    <t>Субвенція з місцевого бюджету на реалізацію публічного інвестиційного проекту із забезпечення житлом дитячих будинків сімейного типу, дітей-сиріт та дітей, позбавлених батьківського піклування, за рахунок відповідної субвенції з державного бюджету</t>
  </si>
  <si>
    <t>Реалізація публічного інвестиційного проекту із забезпечення житлом дитячих будинків сімейного типу, дітей-сиріт та дітей, позбавлених батьківського піклування</t>
  </si>
  <si>
    <t>3245</t>
  </si>
  <si>
    <t>0813245</t>
  </si>
  <si>
    <t>Забезпечення житлом дитячих будинків сімейного типу, дітей-сиріт та дітей, позбавлених батьківського піклування</t>
  </si>
  <si>
    <t>Реконструкція відділення фізичної реабілітації та неврології комунального підприємства «Хмельницька міська дитяча лікарня» Хмельницької міської ради  за адресую: м. Хмельницький, вул. Олега Ольжича, 1</t>
  </si>
  <si>
    <t>в тому числі виготовлення ПКД !!!!!</t>
  </si>
  <si>
    <t>Програма заходів національного спротиву Хмельницької міської територіальної громади на 2025 рік (із змінами)</t>
  </si>
  <si>
    <t>Програма заходів національного спротиву Хмельницької міської територіальної громади на 2025 рік  (із змінами)</t>
  </si>
  <si>
    <t>Рішення 54-ї сесії Хмельницької міської ради від 27.06.2025 року № 1</t>
  </si>
  <si>
    <t>Програма підтримки Сил безпеки і оборони України на 2025 рік (із змінами)</t>
  </si>
  <si>
    <t>2020 - 2026 роки</t>
  </si>
  <si>
    <t xml:space="preserve">Проведення робіт, пов'язаних з поліпшенням технічного стану та благоустрою водойм на території територіальної громади </t>
  </si>
  <si>
    <t>2023 - 2026 роки</t>
  </si>
  <si>
    <t>2021 - 2026 роки</t>
  </si>
  <si>
    <t>2018 - 2026 роки</t>
  </si>
  <si>
    <t xml:space="preserve">Реконструкція з добудовою їдальні до існуючого приміщення спеціалізованої загальноосвітньої школи І-ІІІ ступенів № 8 по вул. Я. Гальчевського, 34 в м.Хмельницькому </t>
  </si>
  <si>
    <t>44 763,27710 тис. грн - субвенція з ДБ на квартири
15 857,130 тис. грн - субвенція з ДБ на дитячі будинки
50,0 тис - меблі МВК
23,400 тис - кондиціонери УПСЗН
17,0 тис. грн - переносна зарядна станція для електромобіля УКІ</t>
  </si>
  <si>
    <t>Реконструкція частини будівлі спального корпусу (А-2) РЦ "Берег надії" з забезпеченням доступності, встановлення ліфта та енергоефективності за адресою: Хмельницька обл., Хмельницький район, с. Головчинці, вул. Підлісна, 4/1</t>
  </si>
  <si>
    <t>2025 - 2026 роки</t>
  </si>
  <si>
    <t>0217630</t>
  </si>
  <si>
    <t>0618100</t>
  </si>
  <si>
    <t>0618110</t>
  </si>
  <si>
    <t>0719000</t>
  </si>
  <si>
    <t>0719700</t>
  </si>
  <si>
    <t>Програма забезпечення підтримання громадського порядку в суді, припинення проявів неповаги до суду, охорони приміщень суду, органів та установ системи правосуддя, виконання функцій щодо державного забезпечення особистої безпеки суддів та членів їх сімей, працівників суду, забезпечення у суді безпеки учасників судового процесу на території Хмельницької міської територіальної громади на 2025-2026 роки</t>
  </si>
  <si>
    <t>Рішення 50-ї сесії Хмельницької міської ради від 05.03.2025 року №3</t>
  </si>
  <si>
    <t>РІЗНИЦЯ</t>
  </si>
  <si>
    <t>РІЗНИЦЯ ДОХОДІВ</t>
  </si>
  <si>
    <t>Програма забезпечення антитерористичного та протидиверсійного захисту важливих державних об’єктів, місць масового перебування людей, об’єктів критичної та транспортної інфраструктури Хмельницької міської територіальної громади на 2025-2026 роки  (із змінами)</t>
  </si>
  <si>
    <t>Програма "Безпечна громада на 2025 – 2026 роки" (із змінами)</t>
  </si>
  <si>
    <t>Рішення 54 сесії Хмельницької міської ради від 27.06.2025 року № 16</t>
  </si>
  <si>
    <t>Програма фінансової підтримки комунальної установи Хмельницької міської ради «Агенція розвитку Хмельницького» на 2025 рік (із змінами)</t>
  </si>
  <si>
    <t>Василь НОВАЧОК</t>
  </si>
  <si>
    <t>Заступник міського голови –
директор департаменту інфраструктури міста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</si>
</sst>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00_₴_-;\-* #,##0.00_₴_-;_-* &quot;-&quot;??_₴_-;_-@_-"/>
    <numFmt numFmtId="166" formatCode="#,##0.0"/>
    <numFmt numFmtId="167" formatCode="0.0"/>
    <numFmt numFmtId="168" formatCode="#,##0.00000"/>
    <numFmt numFmtId="169" formatCode="_-* #,##0.00_₴_-;\-* #,##0.00_₴_-;_-* \-??_₴_-;_-@_-"/>
  </numFmts>
  <fonts count="198" x14ac:knownFonts="1">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10"/>
      <name val="MS Sans Serif"/>
      <family val="2"/>
      <charset val="204"/>
    </font>
    <font>
      <sz val="10"/>
      <name val="Times New Roman"/>
      <family val="1"/>
      <charset val="204"/>
    </font>
    <font>
      <sz val="10"/>
      <name val="Times New Roman Cyr"/>
      <family val="1"/>
      <charset val="204"/>
    </font>
    <font>
      <b/>
      <sz val="10"/>
      <name val="Times New Roman Cyr"/>
      <family val="1"/>
      <charset val="204"/>
    </font>
    <font>
      <b/>
      <sz val="10"/>
      <name val="Arial Cyr"/>
      <charset val="204"/>
    </font>
    <font>
      <sz val="12"/>
      <name val="Times New Roman"/>
      <family val="1"/>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b/>
      <sz val="36"/>
      <name val="Times New Roman"/>
      <family val="1"/>
      <charset val="204"/>
    </font>
    <font>
      <sz val="36"/>
      <name val="Times New Roman"/>
      <family val="1"/>
      <charset val="204"/>
    </font>
    <font>
      <b/>
      <sz val="37"/>
      <name val="Times New Roman"/>
      <family val="1"/>
      <charset val="204"/>
    </font>
    <font>
      <sz val="37"/>
      <name val="Times New Roman"/>
      <family val="1"/>
      <charset val="204"/>
    </font>
    <font>
      <sz val="36"/>
      <name val="Arial Cyr"/>
      <charset val="204"/>
    </font>
    <font>
      <sz val="10"/>
      <color indexed="8"/>
      <name val="Arial"/>
      <family val="2"/>
      <charset val="204"/>
    </font>
    <font>
      <sz val="10"/>
      <name val="Arial Cyr"/>
      <charset val="204"/>
    </font>
    <font>
      <i/>
      <sz val="10"/>
      <name val="Arial Cyr"/>
      <charset val="204"/>
    </font>
    <font>
      <b/>
      <sz val="36"/>
      <name val="Times New Roman Cyr"/>
      <family val="1"/>
      <charset val="204"/>
    </font>
    <font>
      <sz val="10"/>
      <name val="Arial"/>
      <family val="2"/>
      <charset val="204"/>
    </font>
    <font>
      <b/>
      <sz val="12.5"/>
      <name val="Times New Roman"/>
      <family val="1"/>
      <charset val="204"/>
    </font>
    <font>
      <sz val="12"/>
      <name val="Arial Cyr"/>
      <charset val="204"/>
    </font>
    <font>
      <sz val="28"/>
      <name val="Arial Cyr"/>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b/>
      <sz val="48"/>
      <name val="Times New Roman Cyr"/>
      <family val="1"/>
      <charset val="204"/>
    </font>
    <font>
      <vertAlign val="superscript"/>
      <sz val="20"/>
      <name val="Times New Roman"/>
      <family val="1"/>
      <charset val="204"/>
    </font>
    <font>
      <sz val="20"/>
      <name val="Arial Cyr"/>
      <charset val="204"/>
    </font>
    <font>
      <sz val="10"/>
      <name val="Arial Cyr"/>
      <family val="2"/>
      <charset val="204"/>
    </font>
    <font>
      <sz val="36"/>
      <name val="Times New Roman Cyr"/>
      <family val="1"/>
      <charset val="204"/>
    </font>
    <font>
      <sz val="50"/>
      <name val="Arial Cyr"/>
      <charset val="204"/>
    </font>
    <font>
      <sz val="11"/>
      <color theme="1"/>
      <name val="Calibri"/>
      <family val="2"/>
      <scheme val="minor"/>
    </font>
    <font>
      <u/>
      <sz val="10"/>
      <name val="Arial Cyr"/>
      <charset val="204"/>
    </font>
    <font>
      <sz val="28"/>
      <name val="Times New Roman Cyr"/>
      <family val="1"/>
      <charset val="204"/>
    </font>
    <font>
      <b/>
      <sz val="36"/>
      <color rgb="FFFF0000"/>
      <name val="Times New Roman"/>
      <family val="1"/>
      <charset val="204"/>
    </font>
    <font>
      <sz val="10"/>
      <color rgb="FFFF0000"/>
      <name val="Arial Cyr"/>
      <charset val="204"/>
    </font>
    <font>
      <b/>
      <sz val="10"/>
      <color rgb="FFFF0000"/>
      <name val="Arial Cyr"/>
      <charset val="204"/>
    </font>
    <font>
      <b/>
      <i/>
      <sz val="36"/>
      <color rgb="FFFF0000"/>
      <name val="Times New Roman"/>
      <family val="1"/>
      <charset val="204"/>
    </font>
    <font>
      <sz val="36"/>
      <color rgb="FFFF0000"/>
      <name val="Times New Roman"/>
      <family val="1"/>
      <charset val="204"/>
    </font>
    <font>
      <sz val="37"/>
      <color rgb="FFFF0000"/>
      <name val="Times New Roman"/>
      <family val="1"/>
      <charset val="204"/>
    </font>
    <font>
      <b/>
      <sz val="12.5"/>
      <color rgb="FFFF0000"/>
      <name val="Times New Roman"/>
      <family val="1"/>
      <charset val="204"/>
    </font>
    <font>
      <sz val="11"/>
      <color rgb="FFFF0000"/>
      <name val="Times New Roman"/>
      <family val="1"/>
      <charset val="204"/>
    </font>
    <font>
      <b/>
      <sz val="37"/>
      <color rgb="FFFF0000"/>
      <name val="Times New Roman"/>
      <family val="1"/>
      <charset val="204"/>
    </font>
    <font>
      <b/>
      <i/>
      <sz val="36"/>
      <name val="Times New Roman"/>
      <family val="1"/>
      <charset val="204"/>
    </font>
    <font>
      <i/>
      <sz val="10"/>
      <color rgb="FFFF0000"/>
      <name val="Arial Cyr"/>
      <charset val="204"/>
    </font>
    <font>
      <sz val="36"/>
      <color rgb="FFFF0000"/>
      <name val="Arial Cyr"/>
      <charset val="204"/>
    </font>
    <font>
      <b/>
      <sz val="36"/>
      <color rgb="FFFF0000"/>
      <name val="Arial Cyr"/>
      <charset val="204"/>
    </font>
    <font>
      <b/>
      <sz val="48"/>
      <color rgb="FFFF0000"/>
      <name val="Times New Roman Cyr"/>
      <family val="1"/>
      <charset val="204"/>
    </font>
    <font>
      <b/>
      <sz val="36"/>
      <color theme="1"/>
      <name val="Times New Roman"/>
      <family val="1"/>
      <charset val="204"/>
    </font>
    <font>
      <sz val="10"/>
      <color rgb="FFFF0000"/>
      <name val="Times New Roman"/>
      <family val="1"/>
      <charset val="204"/>
    </font>
    <font>
      <sz val="10"/>
      <color rgb="FFFF0000"/>
      <name val="Times New Roman CYR"/>
      <charset val="204"/>
    </font>
    <font>
      <b/>
      <sz val="14"/>
      <color rgb="FFFF0000"/>
      <name val="Times New Roman CYR"/>
      <charset val="204"/>
    </font>
    <font>
      <sz val="10"/>
      <color rgb="FFFF0000"/>
      <name val="Arial"/>
      <family val="2"/>
      <charset val="204"/>
    </font>
    <font>
      <b/>
      <sz val="14"/>
      <color rgb="FFFF0000"/>
      <name val="Times New Roman"/>
      <family val="1"/>
      <charset val="204"/>
    </font>
    <font>
      <b/>
      <i/>
      <sz val="37"/>
      <color rgb="FFFF0000"/>
      <name val="Times New Roman"/>
      <family val="1"/>
      <charset val="204"/>
    </font>
    <font>
      <sz val="36"/>
      <color theme="1"/>
      <name val="Times New Roman"/>
      <family val="1"/>
      <charset val="204"/>
    </font>
    <font>
      <b/>
      <i/>
      <sz val="37"/>
      <name val="Times New Roman"/>
      <family val="1"/>
      <charset val="204"/>
    </font>
    <font>
      <b/>
      <sz val="37"/>
      <color theme="1"/>
      <name val="Times New Roman"/>
      <family val="1"/>
      <charset val="204"/>
    </font>
    <font>
      <sz val="10"/>
      <color rgb="FFFF0000"/>
      <name val="Times New Roman Cyr"/>
      <family val="1"/>
      <charset val="204"/>
    </font>
    <font>
      <sz val="48"/>
      <name val="Times New Roman Cyr"/>
      <family val="1"/>
      <charset val="204"/>
    </font>
    <font>
      <i/>
      <sz val="37"/>
      <name val="Times New Roman"/>
      <family val="1"/>
      <charset val="204"/>
    </font>
    <font>
      <b/>
      <i/>
      <sz val="10"/>
      <name val="Arial Cyr"/>
      <charset val="204"/>
    </font>
    <font>
      <b/>
      <i/>
      <sz val="36"/>
      <color rgb="FFFF0000"/>
      <name val="Arial Cyr"/>
      <charset val="204"/>
    </font>
    <font>
      <i/>
      <sz val="36"/>
      <color rgb="FFFF0000"/>
      <name val="Times New Roman"/>
      <family val="1"/>
      <charset val="204"/>
    </font>
    <font>
      <u/>
      <sz val="10"/>
      <name val="Times New Roman"/>
      <family val="1"/>
      <charset val="204"/>
    </font>
    <font>
      <sz val="12"/>
      <color rgb="FF000000"/>
      <name val="Times New Roman"/>
      <family val="1"/>
      <charset val="204"/>
    </font>
    <font>
      <sz val="11"/>
      <color theme="1"/>
      <name val="Calibri"/>
      <family val="2"/>
      <charset val="204"/>
      <scheme val="minor"/>
    </font>
    <font>
      <b/>
      <sz val="18"/>
      <color indexed="62"/>
      <name val="Cambria"/>
      <family val="2"/>
      <charset val="204"/>
    </font>
    <font>
      <sz val="10"/>
      <color rgb="FF00FFCC"/>
      <name val="Arial Cyr"/>
      <charset val="204"/>
    </font>
    <font>
      <b/>
      <sz val="48"/>
      <color rgb="FF00FFCC"/>
      <name val="Times New Roman Cyr"/>
      <family val="1"/>
      <charset val="204"/>
    </font>
    <font>
      <sz val="36"/>
      <color rgb="FF00FFCC"/>
      <name val="Times New Roman"/>
      <family val="1"/>
      <charset val="204"/>
    </font>
    <font>
      <sz val="36"/>
      <color rgb="FF00FFCC"/>
      <name val="Arial Cyr"/>
      <charset val="204"/>
    </font>
    <font>
      <b/>
      <sz val="37"/>
      <color rgb="FF00FFCC"/>
      <name val="Times New Roman"/>
      <family val="1"/>
      <charset val="204"/>
    </font>
    <font>
      <b/>
      <i/>
      <sz val="37"/>
      <color rgb="FF00FFCC"/>
      <name val="Times New Roman"/>
      <family val="1"/>
      <charset val="204"/>
    </font>
    <font>
      <sz val="48"/>
      <color rgb="FF00FFCC"/>
      <name val="Arial Cyr"/>
      <charset val="204"/>
    </font>
    <font>
      <sz val="36"/>
      <color rgb="FF00FFCC"/>
      <name val="Times New Roman Cyr"/>
      <family val="1"/>
      <charset val="204"/>
    </font>
    <font>
      <sz val="48"/>
      <color rgb="FF00FFCC"/>
      <name val="Times New Roman Cyr"/>
      <family val="1"/>
      <charset val="204"/>
    </font>
    <font>
      <sz val="22"/>
      <color rgb="FF00FFCC"/>
      <name val="Times New Roman Cyr"/>
      <family val="1"/>
      <charset val="204"/>
    </font>
    <font>
      <b/>
      <sz val="10"/>
      <color rgb="FF00FFCC"/>
      <name val="Times New Roman Cyr"/>
      <family val="1"/>
      <charset val="204"/>
    </font>
    <font>
      <sz val="10"/>
      <color rgb="FF00FFCC"/>
      <name val="Times New Roman Cyr"/>
      <family val="1"/>
      <charset val="204"/>
    </font>
    <font>
      <sz val="22"/>
      <color rgb="FF00FFCC"/>
      <name val="Times New Roman"/>
      <family val="1"/>
      <charset val="204"/>
    </font>
    <font>
      <sz val="12"/>
      <color rgb="FFFF0000"/>
      <name val="Times New Roman"/>
      <family val="1"/>
      <charset val="204"/>
    </font>
    <font>
      <b/>
      <sz val="12"/>
      <color rgb="FFFF0000"/>
      <name val="Times New Roman"/>
      <family val="1"/>
      <charset val="204"/>
    </font>
    <font>
      <b/>
      <sz val="10"/>
      <color rgb="FFFF0000"/>
      <name val="Times New Roman"/>
      <family val="1"/>
      <charset val="204"/>
    </font>
    <font>
      <b/>
      <sz val="11"/>
      <color rgb="FFFF0000"/>
      <name val="Times New Roman"/>
      <family val="1"/>
      <charset val="204"/>
    </font>
    <font>
      <sz val="9"/>
      <color rgb="FFFF0000"/>
      <name val="Times New Roman"/>
      <family val="1"/>
      <charset val="204"/>
    </font>
    <font>
      <b/>
      <i/>
      <sz val="10"/>
      <color rgb="FFFF0000"/>
      <name val="Times New Roman"/>
      <family val="1"/>
      <charset val="204"/>
    </font>
    <font>
      <i/>
      <sz val="10"/>
      <color rgb="FFFF0000"/>
      <name val="Times New Roman"/>
      <family val="1"/>
      <charset val="204"/>
    </font>
    <font>
      <b/>
      <i/>
      <sz val="11"/>
      <color rgb="FFFF0000"/>
      <name val="Times New Roman"/>
      <family val="1"/>
      <charset val="204"/>
    </font>
    <font>
      <i/>
      <sz val="37"/>
      <color rgb="FFFF0000"/>
      <name val="Times New Roman"/>
      <family val="1"/>
      <charset val="204"/>
    </font>
    <font>
      <i/>
      <sz val="36"/>
      <color rgb="FFFF0000"/>
      <name val="Arial Cyr"/>
      <charset val="204"/>
    </font>
    <font>
      <b/>
      <vertAlign val="superscript"/>
      <sz val="36"/>
      <color rgb="FFFF0000"/>
      <name val="Times New Roman"/>
      <family val="1"/>
      <charset val="204"/>
    </font>
    <font>
      <b/>
      <i/>
      <sz val="10"/>
      <color rgb="FFFF0000"/>
      <name val="Arial Cyr"/>
      <charset val="204"/>
    </font>
    <font>
      <vertAlign val="superscript"/>
      <sz val="20"/>
      <color rgb="FFFF0000"/>
      <name val="Times New Roman"/>
      <family val="1"/>
      <charset val="204"/>
    </font>
    <font>
      <sz val="20"/>
      <color rgb="FFFF0000"/>
      <name val="Arial Cyr"/>
      <charset val="204"/>
    </font>
    <font>
      <sz val="9"/>
      <color rgb="FFFF0000"/>
      <name val="Times New Roman CYR"/>
      <charset val="204"/>
    </font>
    <font>
      <sz val="11"/>
      <color rgb="FFFF0000"/>
      <name val="Times New Roman Cyr"/>
      <family val="1"/>
      <charset val="204"/>
    </font>
    <font>
      <b/>
      <sz val="11"/>
      <color rgb="FFFF0000"/>
      <name val="Times New Roman Cyr"/>
      <family val="1"/>
      <charset val="204"/>
    </font>
    <font>
      <i/>
      <sz val="11"/>
      <color rgb="FFFF0000"/>
      <name val="Times New Roman Cyr"/>
      <family val="1"/>
      <charset val="204"/>
    </font>
    <font>
      <sz val="11"/>
      <color rgb="FFFF0000"/>
      <name val="Times New Roman Cyr"/>
      <charset val="204"/>
    </font>
    <font>
      <sz val="72"/>
      <color rgb="FFFF0000"/>
      <name val="Arial Cyr"/>
      <charset val="204"/>
    </font>
    <font>
      <sz val="22"/>
      <color rgb="FFFF0000"/>
      <name val="Arial Cyr"/>
      <charset val="204"/>
    </font>
    <font>
      <b/>
      <sz val="28"/>
      <color rgb="FFFF0000"/>
      <name val="Arial Cyr"/>
      <charset val="204"/>
    </font>
    <font>
      <b/>
      <sz val="28"/>
      <color rgb="FFFF0000"/>
      <name val="Times New Roman"/>
      <family val="1"/>
      <charset val="204"/>
    </font>
    <font>
      <b/>
      <vertAlign val="superscript"/>
      <sz val="11"/>
      <color rgb="FFFF0000"/>
      <name val="Times New Roman"/>
      <family val="1"/>
      <charset val="204"/>
    </font>
    <font>
      <b/>
      <i/>
      <sz val="14"/>
      <color rgb="FFFF0000"/>
      <name val="Times New Roman"/>
      <family val="1"/>
      <charset val="204"/>
    </font>
    <font>
      <sz val="14"/>
      <color rgb="FFFF0000"/>
      <name val="Times New Roman"/>
      <family val="1"/>
      <charset val="204"/>
    </font>
    <font>
      <sz val="48"/>
      <color rgb="FFFF0000"/>
      <name val="Times New Roman"/>
      <family val="1"/>
      <charset val="204"/>
    </font>
    <font>
      <sz val="34"/>
      <color rgb="FFFF0000"/>
      <name val="Times New Roman"/>
      <family val="1"/>
      <charset val="204"/>
    </font>
    <font>
      <sz val="72"/>
      <color rgb="FFFF0000"/>
      <name val="Times New Roman"/>
      <family val="1"/>
      <charset val="204"/>
    </font>
    <font>
      <b/>
      <sz val="72"/>
      <color rgb="FFFF0000"/>
      <name val="Times New Roman"/>
      <family val="1"/>
      <charset val="204"/>
    </font>
    <font>
      <sz val="36"/>
      <color rgb="FFFF0000"/>
      <name val="Times New Roman Cyr"/>
      <family val="1"/>
      <charset val="204"/>
    </font>
    <font>
      <b/>
      <sz val="36"/>
      <color rgb="FFFF0000"/>
      <name val="Times New Roman Cyr"/>
      <family val="1"/>
      <charset val="204"/>
    </font>
    <font>
      <b/>
      <sz val="10"/>
      <color rgb="FFFF0000"/>
      <name val="Times New Roman Cyr"/>
      <family val="1"/>
      <charset val="204"/>
    </font>
    <font>
      <sz val="50"/>
      <color rgb="FFFF0000"/>
      <name val="Arial Cyr"/>
      <charset val="204"/>
    </font>
    <font>
      <sz val="12.5"/>
      <color rgb="FFFF0000"/>
      <name val="Times New Roman"/>
      <family val="1"/>
      <charset val="204"/>
    </font>
    <font>
      <b/>
      <i/>
      <sz val="10"/>
      <color rgb="FFFF0000"/>
      <name val="Arial"/>
      <family val="2"/>
      <charset val="204"/>
    </font>
    <font>
      <sz val="12"/>
      <name val="Arial"/>
      <family val="2"/>
      <charset val="204"/>
    </font>
    <font>
      <u/>
      <sz val="36"/>
      <name val="Times New Roman"/>
      <family val="1"/>
      <charset val="204"/>
    </font>
    <font>
      <u/>
      <sz val="36"/>
      <name val="Arial Cyr"/>
      <charset val="204"/>
    </font>
    <font>
      <sz val="10"/>
      <color rgb="FF00FFCC"/>
      <name val="Times New Roman"/>
      <family val="1"/>
      <charset val="204"/>
    </font>
    <font>
      <b/>
      <sz val="10"/>
      <name val="Times New Roman"/>
      <family val="1"/>
      <charset val="204"/>
    </font>
    <font>
      <b/>
      <sz val="14"/>
      <name val="Times New Roman"/>
      <family val="1"/>
      <charset val="204"/>
    </font>
    <font>
      <sz val="11"/>
      <name val="Times New Roman"/>
      <family val="1"/>
      <charset val="204"/>
    </font>
    <font>
      <b/>
      <sz val="18"/>
      <name val="Times New Roman"/>
      <family val="1"/>
      <charset val="204"/>
    </font>
    <font>
      <b/>
      <i/>
      <sz val="11"/>
      <name val="Times New Roman"/>
      <family val="1"/>
      <charset val="204"/>
    </font>
    <font>
      <b/>
      <sz val="11"/>
      <name val="Times New Roman"/>
      <family val="1"/>
      <charset val="204"/>
    </font>
    <font>
      <sz val="11"/>
      <name val="Arial Cyr"/>
      <charset val="204"/>
    </font>
    <font>
      <i/>
      <sz val="10"/>
      <color rgb="FF00FFCC"/>
      <name val="Times New Roman"/>
      <family val="1"/>
      <charset val="204"/>
    </font>
    <font>
      <sz val="14"/>
      <name val="Times New Roman"/>
      <family val="1"/>
      <charset val="204"/>
    </font>
    <font>
      <i/>
      <sz val="11"/>
      <color rgb="FFFF0000"/>
      <name val="Times New Roman"/>
      <family val="1"/>
      <charset val="204"/>
    </font>
    <font>
      <sz val="36"/>
      <color rgb="FF000000"/>
      <name val="Times New Roman"/>
      <family val="1"/>
      <charset val="204"/>
    </font>
    <font>
      <sz val="11"/>
      <color rgb="FF000000"/>
      <name val="Times New Roman"/>
      <family val="1"/>
      <charset val="204"/>
    </font>
    <font>
      <sz val="16"/>
      <color rgb="FFFF0000"/>
      <name val="Times New Roman"/>
      <family val="1"/>
      <charset val="204"/>
    </font>
    <font>
      <b/>
      <i/>
      <sz val="12.5"/>
      <color rgb="FFFF0000"/>
      <name val="Times New Roman"/>
      <family val="1"/>
      <charset val="204"/>
    </font>
    <font>
      <b/>
      <sz val="12"/>
      <name val="Times New Roman"/>
      <family val="1"/>
      <charset val="204"/>
    </font>
    <font>
      <sz val="10"/>
      <name val="Times New Roman CYR"/>
      <charset val="204"/>
    </font>
    <font>
      <sz val="8"/>
      <name val="Times New Roman"/>
      <family val="1"/>
      <charset val="204"/>
    </font>
    <font>
      <b/>
      <sz val="10"/>
      <name val="Times New Roman CYR"/>
      <charset val="204"/>
    </font>
    <font>
      <u/>
      <sz val="9"/>
      <name val="Times New Roman"/>
      <family val="1"/>
      <charset val="204"/>
    </font>
    <font>
      <u/>
      <sz val="9"/>
      <name val="Arial Cyr"/>
      <charset val="204"/>
    </font>
    <font>
      <sz val="9"/>
      <name val="Times New Roman"/>
      <family val="1"/>
      <charset val="204"/>
    </font>
    <font>
      <sz val="9"/>
      <name val="Arial Cyr"/>
      <charset val="204"/>
    </font>
    <font>
      <b/>
      <sz val="9"/>
      <name val="Times New Roman"/>
      <family val="1"/>
      <charset val="204"/>
    </font>
    <font>
      <i/>
      <sz val="10"/>
      <name val="Times New Roman"/>
      <family val="1"/>
      <charset val="204"/>
    </font>
    <font>
      <b/>
      <i/>
      <sz val="10"/>
      <name val="Times New Roman"/>
      <family val="1"/>
      <charset val="204"/>
    </font>
    <font>
      <sz val="20"/>
      <name val="Times New Roman"/>
      <family val="1"/>
      <charset val="204"/>
    </font>
    <font>
      <b/>
      <sz val="28"/>
      <color rgb="FF00FFCC"/>
      <name val="Times New Roman"/>
      <family val="1"/>
      <charset val="204"/>
    </font>
    <font>
      <sz val="22"/>
      <name val="Times New Roman"/>
      <family val="1"/>
      <charset val="204"/>
    </font>
    <font>
      <b/>
      <sz val="36"/>
      <color rgb="FF00FFCC"/>
      <name val="Times New Roman"/>
      <family val="1"/>
      <charset val="204"/>
    </font>
    <font>
      <b/>
      <sz val="16"/>
      <name val="Times New Roman"/>
      <family val="1"/>
      <charset val="204"/>
    </font>
    <font>
      <b/>
      <u/>
      <sz val="16"/>
      <name val="Times New Roman"/>
      <family val="1"/>
      <charset val="204"/>
    </font>
    <font>
      <b/>
      <u/>
      <sz val="10"/>
      <name val="Times New Roman"/>
      <family val="1"/>
      <charset val="204"/>
    </font>
    <font>
      <vertAlign val="superscript"/>
      <sz val="10"/>
      <name val="Times New Roman"/>
      <family val="1"/>
      <charset val="204"/>
    </font>
    <font>
      <b/>
      <sz val="36"/>
      <color rgb="FFCCFF99"/>
      <name val="Times New Roman"/>
      <family val="1"/>
      <charset val="204"/>
    </font>
    <font>
      <b/>
      <sz val="28"/>
      <color rgb="FFCCFF99"/>
      <name val="Times New Roman"/>
      <family val="1"/>
      <charset val="204"/>
    </font>
    <font>
      <b/>
      <sz val="48"/>
      <color rgb="FFCCFF99"/>
      <name val="Times New Roman Cyr"/>
      <family val="1"/>
      <charset val="204"/>
    </font>
    <font>
      <sz val="36"/>
      <color rgb="FFCCFF99"/>
      <name val="Times New Roman Cyr"/>
      <family val="1"/>
      <charset val="204"/>
    </font>
    <font>
      <b/>
      <sz val="12"/>
      <color rgb="FFCCFF99"/>
      <name val="Times New Roman"/>
      <family val="1"/>
      <charset val="204"/>
    </font>
    <font>
      <b/>
      <sz val="10"/>
      <color rgb="FFCCFF99"/>
      <name val="Times New Roman"/>
      <family val="1"/>
      <charset val="204"/>
    </font>
    <font>
      <b/>
      <sz val="14"/>
      <color rgb="FFCCFF99"/>
      <name val="Times New Roman"/>
      <family val="1"/>
      <charset val="204"/>
    </font>
    <font>
      <b/>
      <sz val="72"/>
      <color rgb="FFCCFF99"/>
      <name val="Times New Roman"/>
      <family val="1"/>
      <charset val="204"/>
    </font>
    <font>
      <b/>
      <sz val="16"/>
      <color rgb="FFCCFF99"/>
      <name val="Times New Roman"/>
      <family val="1"/>
      <charset val="204"/>
    </font>
    <font>
      <b/>
      <sz val="12"/>
      <color rgb="FFCCFF99"/>
      <name val="Times New Roman CYR"/>
      <charset val="204"/>
    </font>
    <font>
      <b/>
      <vertAlign val="superscript"/>
      <sz val="36"/>
      <name val="Times New Roman"/>
      <family val="1"/>
      <charset val="204"/>
    </font>
    <font>
      <i/>
      <sz val="36"/>
      <name val="Times New Roman"/>
      <family val="1"/>
      <charset val="204"/>
    </font>
    <font>
      <b/>
      <vertAlign val="superscript"/>
      <sz val="11"/>
      <name val="Times New Roman"/>
      <family val="1"/>
      <charset val="204"/>
    </font>
    <font>
      <sz val="11"/>
      <name val="Times New Roman Cyr"/>
      <charset val="204"/>
    </font>
    <font>
      <i/>
      <sz val="11"/>
      <name val="Times New Roman"/>
      <family val="1"/>
      <charset val="204"/>
    </font>
    <font>
      <sz val="12.5"/>
      <name val="Times New Roman"/>
      <family val="1"/>
      <charset val="204"/>
    </font>
    <font>
      <b/>
      <i/>
      <sz val="12.5"/>
      <name val="Times New Roman"/>
      <family val="1"/>
      <charset val="204"/>
    </font>
    <font>
      <b/>
      <sz val="18"/>
      <color rgb="FF00FFCC"/>
      <name val="Times New Roman"/>
      <family val="1"/>
      <charset val="204"/>
    </font>
  </fonts>
  <fills count="54">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gradientFill type="path" left="0.5" right="0.5" top="0.5" bottom="0.5">
        <stop position="0">
          <color theme="0"/>
        </stop>
        <stop position="1">
          <color rgb="FFCCFFCC"/>
        </stop>
      </gradientFill>
    </fill>
    <fill>
      <patternFill patternType="solid">
        <fgColor rgb="FFFF0000"/>
        <bgColor indexed="64"/>
      </patternFill>
    </fill>
    <fill>
      <patternFill patternType="solid">
        <fgColor rgb="FF66FF99"/>
        <bgColor indexed="64"/>
      </patternFill>
    </fill>
    <fill>
      <patternFill patternType="solid">
        <fgColor rgb="FF00FF99"/>
        <bgColor indexed="64"/>
      </patternFill>
    </fill>
    <fill>
      <patternFill patternType="solid">
        <fgColor rgb="FF00FF99"/>
        <bgColor auto="1"/>
      </patternFill>
    </fill>
    <fill>
      <patternFill patternType="solid">
        <fgColor rgb="FF00CCFF"/>
        <bgColor indexed="64"/>
      </patternFill>
    </fill>
    <fill>
      <gradientFill degree="270">
        <stop position="0">
          <color theme="0"/>
        </stop>
        <stop position="1">
          <color rgb="FF00CCFF"/>
        </stop>
      </gradientFill>
    </fill>
    <fill>
      <patternFill patternType="solid">
        <fgColor rgb="FFCCFF99"/>
        <bgColor indexed="64"/>
      </patternFill>
    </fill>
    <fill>
      <gradientFill degree="270">
        <stop position="0">
          <color theme="0"/>
        </stop>
        <stop position="1">
          <color rgb="FFCCFF99"/>
        </stop>
      </gradientFill>
    </fill>
    <fill>
      <gradientFill degree="225">
        <stop position="0">
          <color theme="0"/>
        </stop>
        <stop position="1">
          <color rgb="FFFFFF99"/>
        </stop>
      </gradientFill>
    </fill>
    <fill>
      <gradientFill degree="270">
        <stop position="0">
          <color theme="0"/>
        </stop>
        <stop position="1">
          <color rgb="FF00FFCC"/>
        </stop>
      </gradientFill>
    </fill>
    <fill>
      <patternFill patternType="solid">
        <fgColor theme="0"/>
        <bgColor indexed="64"/>
      </patternFill>
    </fill>
    <fill>
      <patternFill patternType="solid">
        <fgColor theme="5" tint="0.79998168889431442"/>
        <bgColor auto="1"/>
      </patternFill>
    </fill>
    <fill>
      <gradientFill type="path" left="0.5" right="0.5" top="0.5" bottom="0.5">
        <stop position="0">
          <color theme="0"/>
        </stop>
        <stop position="1">
          <color theme="5" tint="0.80001220740379042"/>
        </stop>
      </gradientFill>
    </fill>
    <fill>
      <patternFill patternType="solid">
        <fgColor theme="3" tint="0.39997558519241921"/>
        <bgColor indexed="64"/>
      </patternFill>
    </fill>
    <fill>
      <patternFill patternType="solid">
        <fgColor theme="9" tint="-0.249977111117893"/>
        <bgColor indexed="64"/>
      </patternFill>
    </fill>
    <fill>
      <patternFill patternType="solid">
        <fgColor rgb="FF00FFCC"/>
        <bgColor indexed="64"/>
      </patternFill>
    </fill>
    <fill>
      <gradientFill degree="90">
        <stop position="0">
          <color theme="0"/>
        </stop>
        <stop position="0.5">
          <color rgb="FFCCECFF"/>
        </stop>
        <stop position="1">
          <color theme="0"/>
        </stop>
      </gradientFill>
    </fill>
    <fill>
      <patternFill patternType="solid">
        <fgColor rgb="FFFFFF00"/>
        <bgColor indexed="64"/>
      </patternFill>
    </fill>
    <fill>
      <patternFill patternType="solid">
        <fgColor theme="8" tint="0.79998168889431442"/>
        <bgColor indexed="64"/>
      </patternFill>
    </fill>
    <fill>
      <gradientFill type="path" left="0.5" right="0.5" top="0.5" bottom="0.5">
        <stop position="0">
          <color theme="0"/>
        </stop>
        <stop position="1">
          <color theme="8" tint="0.80001220740379042"/>
        </stop>
      </gradientFill>
    </fill>
    <fill>
      <gradientFill type="path" left="0.5" right="0.5" top="0.5" bottom="0.5">
        <stop position="0">
          <color theme="0"/>
        </stop>
        <stop position="1">
          <color rgb="FFCCFF66"/>
        </stop>
      </gradientFill>
    </fill>
    <fill>
      <gradientFill degree="90">
        <stop position="0">
          <color theme="0"/>
        </stop>
        <stop position="0.5">
          <color rgb="FFFFCC00"/>
        </stop>
        <stop position="1">
          <color theme="0"/>
        </stop>
      </gradientFill>
    </fill>
    <fill>
      <gradientFill degree="90">
        <stop position="0">
          <color rgb="FFCCFF66"/>
        </stop>
        <stop position="1">
          <color rgb="FFCCFF66"/>
        </stop>
      </gradientFill>
    </fill>
    <fill>
      <gradientFill degree="90">
        <stop position="0">
          <color rgb="FFCCFF66"/>
        </stop>
        <stop position="1">
          <color auto="1"/>
        </stop>
      </gradientFill>
    </fill>
    <fill>
      <gradientFill type="path" left="0.5" right="0.5" top="0.5" bottom="0.5">
        <stop position="0">
          <color theme="0"/>
        </stop>
        <stop position="1">
          <color rgb="FFFFCC00"/>
        </stop>
      </gradientFill>
    </fill>
    <fill>
      <patternFill patternType="solid">
        <fgColor rgb="FFCCFF66"/>
        <bgColor indexed="64"/>
      </patternFill>
    </fill>
    <fill>
      <patternFill patternType="solid">
        <fgColor rgb="FFFFAFAF"/>
        <bgColor indexed="64"/>
      </patternFill>
    </fill>
    <fill>
      <patternFill patternType="solid">
        <fgColor rgb="FF00B05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bottom/>
      <diagonal/>
    </border>
    <border>
      <left style="double">
        <color theme="0" tint="-0.499984740745262"/>
      </left>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thin">
        <color indexed="64"/>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bottom/>
      <diagonal/>
    </border>
    <border>
      <left style="double">
        <color indexed="64"/>
      </left>
      <right style="double">
        <color indexed="64"/>
      </right>
      <top style="double">
        <color indexed="64"/>
      </top>
      <bottom style="double">
        <color indexed="64"/>
      </bottom>
      <diagonal/>
    </border>
    <border>
      <left/>
      <right/>
      <top/>
      <bottom style="double">
        <color indexed="10"/>
      </bottom>
      <diagonal/>
    </border>
    <border>
      <left style="double">
        <color theme="0" tint="-0.499984740745262"/>
      </left>
      <right/>
      <top style="double">
        <color theme="0" tint="-0.499984740745262"/>
      </top>
      <bottom/>
      <diagonal/>
    </border>
    <border>
      <left/>
      <right style="double">
        <color theme="0" tint="-0.499984740745262"/>
      </right>
      <top style="double">
        <color theme="0" tint="-0.499984740745262"/>
      </top>
      <bottom/>
      <diagonal/>
    </border>
    <border>
      <left/>
      <right/>
      <top style="double">
        <color theme="0" tint="-0.499984740745262"/>
      </top>
      <bottom/>
      <diagonal/>
    </border>
  </borders>
  <cellStyleXfs count="191">
    <xf numFmtId="0" fontId="0" fillId="0" borderId="0"/>
    <xf numFmtId="0" fontId="10"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35" fillId="0" borderId="0"/>
    <xf numFmtId="0" fontId="27" fillId="0" borderId="0"/>
    <xf numFmtId="0" fontId="10" fillId="0" borderId="0"/>
    <xf numFmtId="0" fontId="35" fillId="0" borderId="0"/>
    <xf numFmtId="0" fontId="10" fillId="0" borderId="0"/>
    <xf numFmtId="0" fontId="35" fillId="0" borderId="0"/>
    <xf numFmtId="0" fontId="27" fillId="0" borderId="0"/>
    <xf numFmtId="0" fontId="27" fillId="0" borderId="0"/>
    <xf numFmtId="0" fontId="27" fillId="0" borderId="0"/>
    <xf numFmtId="0" fontId="27" fillId="0" borderId="0"/>
    <xf numFmtId="0" fontId="27" fillId="0" borderId="0"/>
    <xf numFmtId="0" fontId="34" fillId="0" borderId="0">
      <alignment vertical="top"/>
    </xf>
    <xf numFmtId="0" fontId="21" fillId="5" borderId="5" applyNumberFormat="0" applyAlignment="0" applyProtection="0"/>
    <xf numFmtId="0" fontId="22" fillId="0" borderId="0" applyNumberFormat="0" applyFill="0" applyBorder="0" applyAlignment="0" applyProtection="0"/>
    <xf numFmtId="0" fontId="10" fillId="0" borderId="0"/>
    <xf numFmtId="0" fontId="35" fillId="0" borderId="0"/>
    <xf numFmtId="0" fontId="12" fillId="0" borderId="0"/>
    <xf numFmtId="0" fontId="38" fillId="0" borderId="0" applyNumberFormat="0" applyFont="0" applyFill="0" applyBorder="0" applyAlignment="0" applyProtection="0">
      <alignment vertical="top"/>
    </xf>
    <xf numFmtId="0" fontId="26" fillId="0" borderId="0"/>
    <xf numFmtId="0" fontId="11" fillId="0" borderId="0" applyNumberFormat="0" applyFont="0" applyFill="0" applyBorder="0" applyAlignment="0" applyProtection="0">
      <alignment vertical="top"/>
    </xf>
    <xf numFmtId="0" fontId="12" fillId="0" borderId="0"/>
    <xf numFmtId="0" fontId="26"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10" fillId="0" borderId="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3" borderId="0" applyNumberFormat="0" applyBorder="0" applyAlignment="0" applyProtection="0"/>
    <xf numFmtId="0" fontId="43" fillId="2"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4" fillId="15"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22" borderId="0" applyNumberFormat="0" applyBorder="0" applyAlignment="0" applyProtection="0"/>
    <xf numFmtId="0" fontId="17" fillId="2" borderId="1" applyNumberFormat="0" applyAlignment="0" applyProtection="0"/>
    <xf numFmtId="0" fontId="45" fillId="23" borderId="11" applyNumberFormat="0" applyAlignment="0" applyProtection="0"/>
    <xf numFmtId="0" fontId="46" fillId="23" borderId="1" applyNumberFormat="0" applyAlignment="0" applyProtection="0"/>
    <xf numFmtId="0" fontId="42" fillId="0" borderId="0" applyNumberFormat="0" applyFill="0" applyBorder="0" applyAlignment="0" applyProtection="0">
      <alignment vertical="top"/>
      <protection locked="0"/>
    </xf>
    <xf numFmtId="0" fontId="47" fillId="0" borderId="12"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48" fillId="4" borderId="0" applyNumberFormat="0" applyBorder="0" applyAlignment="0" applyProtection="0"/>
    <xf numFmtId="0" fontId="49" fillId="8" borderId="0" applyNumberFormat="0" applyBorder="0" applyAlignment="0" applyProtection="0"/>
    <xf numFmtId="0" fontId="50" fillId="0" borderId="0" applyNumberFormat="0" applyFill="0" applyBorder="0" applyAlignment="0" applyProtection="0"/>
    <xf numFmtId="0" fontId="43" fillId="24" borderId="13"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54" fillId="0" borderId="0"/>
    <xf numFmtId="0" fontId="10" fillId="0" borderId="0"/>
    <xf numFmtId="0" fontId="9" fillId="0" borderId="0"/>
    <xf numFmtId="0" fontId="8" fillId="0" borderId="0"/>
    <xf numFmtId="0" fontId="10" fillId="0" borderId="0"/>
    <xf numFmtId="0" fontId="10" fillId="0" borderId="0"/>
    <xf numFmtId="0" fontId="10" fillId="0" borderId="0"/>
    <xf numFmtId="0" fontId="10" fillId="0" borderId="0"/>
    <xf numFmtId="0" fontId="10" fillId="0" borderId="0"/>
    <xf numFmtId="0" fontId="7" fillId="0" borderId="0"/>
    <xf numFmtId="0" fontId="57"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43" fillId="0" borderId="0"/>
    <xf numFmtId="0" fontId="17" fillId="4" borderId="1" applyNumberFormat="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4" fillId="0" borderId="25" applyNumberFormat="0" applyFill="0" applyAlignment="0" applyProtection="0"/>
    <xf numFmtId="0" fontId="93" fillId="0" borderId="0" applyNumberFormat="0" applyFill="0" applyBorder="0" applyAlignment="0" applyProtection="0"/>
    <xf numFmtId="0" fontId="34" fillId="0" borderId="0"/>
    <xf numFmtId="0" fontId="43" fillId="0" borderId="0"/>
    <xf numFmtId="0" fontId="57" fillId="0" borderId="0"/>
    <xf numFmtId="0" fontId="38" fillId="0" borderId="0"/>
    <xf numFmtId="0" fontId="2" fillId="0" borderId="0"/>
    <xf numFmtId="0" fontId="2" fillId="0" borderId="0"/>
    <xf numFmtId="0" fontId="38" fillId="0" borderId="0"/>
    <xf numFmtId="0" fontId="54" fillId="0" borderId="0"/>
    <xf numFmtId="0" fontId="38" fillId="0" borderId="0"/>
    <xf numFmtId="0" fontId="54" fillId="0" borderId="0"/>
    <xf numFmtId="0" fontId="12" fillId="0" borderId="0"/>
    <xf numFmtId="0" fontId="16" fillId="0" borderId="0"/>
    <xf numFmtId="0" fontId="38" fillId="0" borderId="0"/>
    <xf numFmtId="0" fontId="43" fillId="0" borderId="0"/>
    <xf numFmtId="0" fontId="43" fillId="0" borderId="0"/>
    <xf numFmtId="0" fontId="16" fillId="0" borderId="0"/>
    <xf numFmtId="0" fontId="16" fillId="0" borderId="0"/>
    <xf numFmtId="0" fontId="43" fillId="0" borderId="0"/>
    <xf numFmtId="0" fontId="10" fillId="0" borderId="0"/>
    <xf numFmtId="0" fontId="2" fillId="0" borderId="0"/>
    <xf numFmtId="0" fontId="2" fillId="0" borderId="0"/>
    <xf numFmtId="0" fontId="54" fillId="0" borderId="0"/>
    <xf numFmtId="0" fontId="92" fillId="0" borderId="0"/>
    <xf numFmtId="165"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9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2" fillId="0" borderId="0"/>
    <xf numFmtId="0" fontId="2" fillId="0" borderId="0"/>
    <xf numFmtId="0" fontId="2" fillId="0" borderId="0"/>
    <xf numFmtId="0" fontId="2" fillId="0" borderId="0"/>
    <xf numFmtId="0" fontId="2" fillId="0" borderId="0"/>
    <xf numFmtId="169" fontId="54" fillId="0" borderId="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17" fillId="2" borderId="1" applyNumberFormat="0" applyAlignment="0" applyProtection="0"/>
    <xf numFmtId="0" fontId="2" fillId="0" borderId="0"/>
    <xf numFmtId="0" fontId="2" fillId="0" borderId="0"/>
    <xf numFmtId="0" fontId="23" fillId="0" borderId="6"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92" fillId="0" borderId="0"/>
    <xf numFmtId="0" fontId="10" fillId="0" borderId="0"/>
    <xf numFmtId="0" fontId="12" fillId="0" borderId="0"/>
    <xf numFmtId="0" fontId="24" fillId="0" borderId="0" applyNumberFormat="0" applyFill="0" applyBorder="0" applyAlignment="0" applyProtection="0"/>
    <xf numFmtId="0" fontId="1" fillId="0" borderId="0"/>
  </cellStyleXfs>
  <cellXfs count="962">
    <xf numFmtId="0" fontId="0" fillId="0" borderId="0" xfId="0"/>
    <xf numFmtId="0" fontId="16" fillId="0" borderId="0" xfId="39" applyFont="1"/>
    <xf numFmtId="0" fontId="30" fillId="0" borderId="0" xfId="0" applyFont="1" applyAlignment="1">
      <alignment horizontal="left" vertical="center"/>
    </xf>
    <xf numFmtId="0" fontId="30" fillId="0" borderId="0" xfId="39" applyFont="1"/>
    <xf numFmtId="0" fontId="62" fillId="0" borderId="0" xfId="0" applyFont="1"/>
    <xf numFmtId="0" fontId="70" fillId="0" borderId="0" xfId="0" applyFont="1"/>
    <xf numFmtId="0" fontId="71" fillId="0" borderId="0" xfId="0" applyFont="1"/>
    <xf numFmtId="0" fontId="76" fillId="0" borderId="0" xfId="35" applyFont="1"/>
    <xf numFmtId="0" fontId="77" fillId="0" borderId="0" xfId="35" applyFont="1" applyAlignment="1">
      <alignment horizontal="center" vertical="center"/>
    </xf>
    <xf numFmtId="0" fontId="65" fillId="0" borderId="0" xfId="0" applyFont="1"/>
    <xf numFmtId="2" fontId="79" fillId="0" borderId="0" xfId="36" applyNumberFormat="1" applyFont="1" applyFill="1" applyAlignment="1">
      <alignment horizontal="center" vertical="top"/>
    </xf>
    <xf numFmtId="0" fontId="75" fillId="0" borderId="0" xfId="35" applyFont="1" applyAlignment="1">
      <alignment horizontal="center" vertical="center"/>
    </xf>
    <xf numFmtId="0" fontId="65" fillId="0" borderId="0" xfId="36" applyFont="1">
      <alignment vertical="top"/>
    </xf>
    <xf numFmtId="0" fontId="61" fillId="0" borderId="0" xfId="0" applyFont="1"/>
    <xf numFmtId="0" fontId="91"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horizontal="left" vertical="center"/>
    </xf>
    <xf numFmtId="4" fontId="29" fillId="0" borderId="0" xfId="36" applyNumberFormat="1" applyFont="1" applyFill="1" applyBorder="1" applyAlignment="1">
      <alignment horizontal="center" vertical="center" wrapText="1"/>
    </xf>
    <xf numFmtId="0" fontId="13" fillId="28" borderId="0" xfId="0" applyFont="1" applyFill="1" applyAlignment="1">
      <alignment vertical="center"/>
    </xf>
    <xf numFmtId="0" fontId="30" fillId="28" borderId="0" xfId="0" applyFont="1" applyFill="1" applyAlignment="1">
      <alignment vertical="center"/>
    </xf>
    <xf numFmtId="0" fontId="61" fillId="28" borderId="0" xfId="0" applyFont="1" applyFill="1"/>
    <xf numFmtId="0" fontId="0" fillId="28" borderId="0" xfId="0" applyFill="1"/>
    <xf numFmtId="0" fontId="30" fillId="28" borderId="0" xfId="0" applyFont="1" applyFill="1" applyAlignment="1">
      <alignment horizontal="right" vertical="center"/>
    </xf>
    <xf numFmtId="0" fontId="64" fillId="28" borderId="0" xfId="38" applyFont="1" applyFill="1" applyBorder="1" applyAlignment="1" applyProtection="1">
      <alignment horizontal="center" vertical="center" wrapText="1"/>
      <protection locked="0"/>
    </xf>
    <xf numFmtId="0" fontId="15" fillId="28" borderId="0" xfId="0" applyFont="1" applyFill="1"/>
    <xf numFmtId="0" fontId="62" fillId="28" borderId="0" xfId="0" applyFont="1" applyFill="1"/>
    <xf numFmtId="4" fontId="29" fillId="28" borderId="0" xfId="0" applyNumberFormat="1" applyFont="1" applyFill="1" applyAlignment="1">
      <alignment horizontal="left" vertical="center"/>
    </xf>
    <xf numFmtId="4" fontId="69" fillId="28" borderId="0" xfId="0" applyNumberFormat="1" applyFont="1" applyFill="1" applyAlignment="1">
      <alignment horizontal="left" vertical="center"/>
    </xf>
    <xf numFmtId="0" fontId="87" fillId="28" borderId="0" xfId="0" applyFont="1" applyFill="1"/>
    <xf numFmtId="4" fontId="74" fillId="28" borderId="0" xfId="0" applyNumberFormat="1" applyFont="1" applyFill="1" applyAlignment="1">
      <alignment horizontal="left" vertical="center"/>
    </xf>
    <xf numFmtId="4" fontId="60" fillId="28" borderId="0" xfId="0" applyNumberFormat="1" applyFont="1" applyFill="1" applyAlignment="1">
      <alignment horizontal="left" vertical="center"/>
    </xf>
    <xf numFmtId="4" fontId="63" fillId="28" borderId="0" xfId="0" applyNumberFormat="1" applyFont="1" applyFill="1" applyAlignment="1">
      <alignment horizontal="left" vertical="center"/>
    </xf>
    <xf numFmtId="4" fontId="89" fillId="28" borderId="0" xfId="0" applyNumberFormat="1" applyFont="1" applyFill="1" applyAlignment="1">
      <alignment horizontal="left" vertical="center"/>
    </xf>
    <xf numFmtId="0" fontId="36" fillId="28" borderId="0" xfId="0" applyFont="1" applyFill="1"/>
    <xf numFmtId="4" fontId="81" fillId="28" borderId="0" xfId="0" applyNumberFormat="1" applyFont="1" applyFill="1" applyAlignment="1">
      <alignment horizontal="left" vertical="center"/>
    </xf>
    <xf numFmtId="4" fontId="64" fillId="28" borderId="0" xfId="0" applyNumberFormat="1" applyFont="1" applyFill="1" applyAlignment="1">
      <alignment horizontal="left" vertical="center"/>
    </xf>
    <xf numFmtId="0" fontId="70" fillId="28" borderId="0" xfId="0" applyFont="1" applyFill="1"/>
    <xf numFmtId="4" fontId="30" fillId="28" borderId="0" xfId="0" applyNumberFormat="1" applyFont="1" applyFill="1" applyAlignment="1">
      <alignment horizontal="left" vertical="center"/>
    </xf>
    <xf numFmtId="4" fontId="41" fillId="28" borderId="0" xfId="0" applyNumberFormat="1" applyFont="1" applyFill="1"/>
    <xf numFmtId="4" fontId="72" fillId="28" borderId="0" xfId="0" applyNumberFormat="1" applyFont="1" applyFill="1" applyAlignment="1">
      <alignment horizontal="left" vertical="center"/>
    </xf>
    <xf numFmtId="4" fontId="88" fillId="28" borderId="0" xfId="0" applyNumberFormat="1" applyFont="1" applyFill="1" applyAlignment="1">
      <alignment horizontal="left" vertical="center"/>
    </xf>
    <xf numFmtId="49" fontId="64" fillId="28" borderId="15" xfId="0" applyNumberFormat="1" applyFont="1" applyFill="1" applyBorder="1" applyAlignment="1">
      <alignment horizontal="center" vertical="center" wrapText="1"/>
    </xf>
    <xf numFmtId="4" fontId="68"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xf>
    <xf numFmtId="4" fontId="31" fillId="28" borderId="0" xfId="0" applyNumberFormat="1" applyFont="1" applyFill="1" applyAlignment="1">
      <alignment horizontal="center" vertical="center" wrapText="1"/>
    </xf>
    <xf numFmtId="4" fontId="31" fillId="28" borderId="0" xfId="0" applyNumberFormat="1" applyFont="1" applyFill="1" applyAlignment="1">
      <alignment horizontal="left" vertical="center" wrapText="1"/>
    </xf>
    <xf numFmtId="4" fontId="68" fillId="28" borderId="0" xfId="0" applyNumberFormat="1" applyFont="1" applyFill="1" applyAlignment="1">
      <alignment horizontal="center" vertical="center" wrapText="1"/>
    </xf>
    <xf numFmtId="4" fontId="32" fillId="28" borderId="0" xfId="0" applyNumberFormat="1" applyFont="1" applyFill="1" applyAlignment="1">
      <alignment horizontal="left" vertical="center" wrapText="1"/>
    </xf>
    <xf numFmtId="4" fontId="32" fillId="28" borderId="0" xfId="0" applyNumberFormat="1" applyFont="1" applyFill="1" applyAlignment="1">
      <alignment horizontal="center" vertical="center" wrapText="1"/>
    </xf>
    <xf numFmtId="4" fontId="68" fillId="28" borderId="0" xfId="0" applyNumberFormat="1" applyFont="1" applyFill="1" applyAlignment="1">
      <alignment horizontal="left" vertical="center" wrapText="1"/>
    </xf>
    <xf numFmtId="4" fontId="80" fillId="28" borderId="0" xfId="0" applyNumberFormat="1" applyFont="1" applyFill="1" applyAlignment="1">
      <alignment horizontal="left" vertical="center" wrapText="1"/>
    </xf>
    <xf numFmtId="4" fontId="86" fillId="28" borderId="0" xfId="0" applyNumberFormat="1" applyFont="1" applyFill="1" applyAlignment="1">
      <alignment horizontal="left" vertical="center" wrapText="1"/>
    </xf>
    <xf numFmtId="4" fontId="82" fillId="28" borderId="0" xfId="0" applyNumberFormat="1" applyFont="1" applyFill="1" applyAlignment="1">
      <alignment horizontal="left" vertical="center" wrapText="1"/>
    </xf>
    <xf numFmtId="4" fontId="83" fillId="28" borderId="0" xfId="0" applyNumberFormat="1" applyFont="1" applyFill="1" applyAlignment="1">
      <alignment horizontal="center" vertical="center" wrapText="1"/>
    </xf>
    <xf numFmtId="4" fontId="51" fillId="28" borderId="0" xfId="0" applyNumberFormat="1" applyFont="1" applyFill="1" applyAlignment="1">
      <alignment vertical="center"/>
    </xf>
    <xf numFmtId="4" fontId="64" fillId="28" borderId="0" xfId="0" applyNumberFormat="1" applyFont="1" applyFill="1" applyAlignment="1">
      <alignment horizontal="center" vertical="center"/>
    </xf>
    <xf numFmtId="0" fontId="14" fillId="28" borderId="0" xfId="0" applyFont="1" applyFill="1" applyAlignment="1">
      <alignment vertical="center"/>
    </xf>
    <xf numFmtId="0" fontId="84" fillId="28" borderId="0" xfId="0" applyFont="1" applyFill="1" applyAlignment="1">
      <alignment vertical="center"/>
    </xf>
    <xf numFmtId="4" fontId="14" fillId="28" borderId="0" xfId="0" applyNumberFormat="1" applyFont="1" applyFill="1" applyAlignment="1">
      <alignment vertical="center"/>
    </xf>
    <xf numFmtId="4" fontId="13" fillId="28" borderId="0" xfId="0" applyNumberFormat="1" applyFont="1" applyFill="1" applyAlignment="1">
      <alignment vertical="center"/>
    </xf>
    <xf numFmtId="0" fontId="85" fillId="28" borderId="0" xfId="0" applyFont="1" applyFill="1" applyAlignment="1">
      <alignment vertical="center"/>
    </xf>
    <xf numFmtId="4" fontId="55" fillId="28" borderId="0" xfId="0" applyNumberFormat="1" applyFont="1" applyFill="1" applyAlignment="1">
      <alignment vertical="center"/>
    </xf>
    <xf numFmtId="168" fontId="37" fillId="28" borderId="0" xfId="0" applyNumberFormat="1" applyFont="1" applyFill="1" applyAlignment="1">
      <alignment vertical="center"/>
    </xf>
    <xf numFmtId="4" fontId="29" fillId="29" borderId="0" xfId="36" applyNumberFormat="1" applyFont="1" applyFill="1" applyBorder="1" applyAlignment="1">
      <alignment horizontal="center" vertical="center" wrapText="1"/>
    </xf>
    <xf numFmtId="4" fontId="73" fillId="28" borderId="0" xfId="0" applyNumberFormat="1" applyFont="1" applyFill="1" applyAlignment="1">
      <alignment vertical="center"/>
    </xf>
    <xf numFmtId="0" fontId="29" fillId="28" borderId="0" xfId="0" applyFont="1" applyFill="1" applyAlignment="1">
      <alignment horizontal="right" vertical="center"/>
    </xf>
    <xf numFmtId="0" fontId="55" fillId="28" borderId="0" xfId="0" applyFont="1" applyFill="1" applyAlignment="1">
      <alignment vertical="center"/>
    </xf>
    <xf numFmtId="4" fontId="59" fillId="28" borderId="0" xfId="0" applyNumberFormat="1" applyFont="1" applyFill="1" applyAlignment="1">
      <alignment vertical="center"/>
    </xf>
    <xf numFmtId="4" fontId="37" fillId="28" borderId="0" xfId="0" applyNumberFormat="1" applyFont="1" applyFill="1" applyAlignment="1">
      <alignment vertical="center"/>
    </xf>
    <xf numFmtId="0" fontId="56" fillId="28" borderId="0" xfId="0" applyFont="1" applyFill="1"/>
    <xf numFmtId="10" fontId="37" fillId="28" borderId="0" xfId="0" applyNumberFormat="1" applyFont="1" applyFill="1" applyAlignment="1">
      <alignment vertical="center"/>
    </xf>
    <xf numFmtId="0" fontId="37" fillId="28" borderId="0" xfId="0" applyFont="1" applyFill="1" applyAlignment="1">
      <alignment vertical="center"/>
    </xf>
    <xf numFmtId="4" fontId="64" fillId="28" borderId="15" xfId="0" applyNumberFormat="1" applyFont="1" applyFill="1" applyBorder="1" applyAlignment="1">
      <alignment horizontal="center" vertical="center" wrapText="1"/>
    </xf>
    <xf numFmtId="2" fontId="78" fillId="28" borderId="0" xfId="36" applyNumberFormat="1" applyFont="1" applyFill="1" applyAlignment="1">
      <alignment horizontal="center" vertical="top"/>
    </xf>
    <xf numFmtId="0" fontId="13" fillId="0" borderId="0" xfId="0" applyFont="1" applyAlignment="1">
      <alignment vertical="center"/>
    </xf>
    <xf numFmtId="0" fontId="30"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horizontal="center" vertical="center"/>
    </xf>
    <xf numFmtId="4" fontId="95" fillId="28" borderId="0" xfId="0" applyNumberFormat="1" applyFont="1" applyFill="1" applyAlignment="1">
      <alignment vertical="center"/>
    </xf>
    <xf numFmtId="0" fontId="94" fillId="0" borderId="0" xfId="0" applyFont="1"/>
    <xf numFmtId="0" fontId="94" fillId="28" borderId="0" xfId="0" applyFont="1" applyFill="1"/>
    <xf numFmtId="4" fontId="97" fillId="28" borderId="0" xfId="0" applyNumberFormat="1" applyFont="1" applyFill="1"/>
    <xf numFmtId="4" fontId="96" fillId="28" borderId="0" xfId="0" applyNumberFormat="1" applyFont="1" applyFill="1" applyAlignment="1">
      <alignment horizontal="center" vertical="center"/>
    </xf>
    <xf numFmtId="4" fontId="98" fillId="29" borderId="15" xfId="0" applyNumberFormat="1" applyFont="1" applyFill="1" applyBorder="1" applyAlignment="1">
      <alignment horizontal="center" vertical="center"/>
    </xf>
    <xf numFmtId="4" fontId="100" fillId="28" borderId="0" xfId="0" applyNumberFormat="1" applyFont="1" applyFill="1" applyAlignment="1">
      <alignment vertical="center"/>
    </xf>
    <xf numFmtId="4" fontId="101" fillId="28" borderId="0" xfId="0" applyNumberFormat="1" applyFont="1" applyFill="1" applyAlignment="1">
      <alignment vertical="center"/>
    </xf>
    <xf numFmtId="0" fontId="102" fillId="28" borderId="0" xfId="0" applyFont="1" applyFill="1" applyAlignment="1">
      <alignment vertical="center"/>
    </xf>
    <xf numFmtId="0" fontId="103" fillId="28" borderId="0" xfId="0" applyFont="1" applyFill="1" applyAlignment="1">
      <alignment vertical="center"/>
    </xf>
    <xf numFmtId="166" fontId="104" fillId="28" borderId="0" xfId="0" applyNumberFormat="1" applyFont="1" applyFill="1" applyAlignment="1">
      <alignment horizontal="right" vertical="center" wrapText="1"/>
    </xf>
    <xf numFmtId="166" fontId="105" fillId="28" borderId="0" xfId="0" applyNumberFormat="1" applyFont="1" applyFill="1" applyAlignment="1">
      <alignment horizontal="right" vertical="center" wrapText="1"/>
    </xf>
    <xf numFmtId="0" fontId="105" fillId="28" borderId="0" xfId="0" applyFont="1" applyFill="1" applyAlignment="1">
      <alignment vertical="center"/>
    </xf>
    <xf numFmtId="0" fontId="104" fillId="28" borderId="0" xfId="0" applyFont="1" applyFill="1" applyAlignment="1">
      <alignment vertical="center"/>
    </xf>
    <xf numFmtId="4" fontId="104" fillId="28" borderId="0" xfId="0" applyNumberFormat="1" applyFont="1" applyFill="1" applyAlignment="1">
      <alignment vertical="center"/>
    </xf>
    <xf numFmtId="2" fontId="106" fillId="28" borderId="0" xfId="0" applyNumberFormat="1" applyFont="1" applyFill="1" applyAlignment="1">
      <alignment horizontal="center" vertical="center"/>
    </xf>
    <xf numFmtId="4" fontId="99" fillId="29" borderId="14" xfId="0" applyNumberFormat="1" applyFont="1" applyFill="1" applyBorder="1" applyAlignment="1">
      <alignment horizontal="center" vertical="center" wrapText="1"/>
    </xf>
    <xf numFmtId="0" fontId="39" fillId="0" borderId="0" xfId="36" applyFont="1" applyAlignment="1">
      <alignment horizontal="center" vertical="center"/>
    </xf>
    <xf numFmtId="0" fontId="78" fillId="0" borderId="0" xfId="36" applyFont="1">
      <alignment vertical="top"/>
    </xf>
    <xf numFmtId="0" fontId="39" fillId="0" borderId="0" xfId="36" applyFont="1" applyAlignment="1">
      <alignment horizontal="center"/>
    </xf>
    <xf numFmtId="0" fontId="39" fillId="0" borderId="0" xfId="0" applyFont="1" applyAlignment="1">
      <alignment horizontal="center"/>
    </xf>
    <xf numFmtId="0" fontId="39" fillId="0" borderId="0" xfId="36" applyFont="1" applyAlignment="1">
      <alignment horizontal="center" vertical="top"/>
    </xf>
    <xf numFmtId="49" fontId="30" fillId="0" borderId="15" xfId="0" applyNumberFormat="1" applyFont="1" applyBorder="1" applyAlignment="1">
      <alignment horizontal="center" vertical="center" wrapText="1"/>
    </xf>
    <xf numFmtId="0" fontId="75" fillId="0" borderId="0" xfId="39" applyFont="1"/>
    <xf numFmtId="0" fontId="67" fillId="0" borderId="0" xfId="39" applyFont="1" applyAlignment="1">
      <alignment wrapText="1"/>
    </xf>
    <xf numFmtId="0" fontId="110" fillId="0" borderId="0" xfId="39" applyFont="1" applyAlignment="1">
      <alignment wrapText="1"/>
    </xf>
    <xf numFmtId="0" fontId="111" fillId="0" borderId="0" xfId="39" applyFont="1" applyAlignment="1">
      <alignment wrapText="1"/>
    </xf>
    <xf numFmtId="0" fontId="75" fillId="0" borderId="0" xfId="39" applyFont="1" applyAlignment="1">
      <alignment wrapText="1"/>
    </xf>
    <xf numFmtId="0" fontId="114" fillId="0" borderId="0" xfId="39" applyFont="1" applyAlignment="1">
      <alignment wrapText="1"/>
    </xf>
    <xf numFmtId="4" fontId="112" fillId="28" borderId="24" xfId="39" applyNumberFormat="1" applyFont="1" applyFill="1" applyBorder="1" applyAlignment="1">
      <alignment horizontal="center" vertical="center" wrapText="1"/>
    </xf>
    <xf numFmtId="4" fontId="113" fillId="28" borderId="24" xfId="39" applyNumberFormat="1" applyFont="1" applyFill="1" applyBorder="1" applyAlignment="1">
      <alignment horizontal="center" vertical="center" wrapText="1"/>
    </xf>
    <xf numFmtId="0" fontId="75" fillId="0" borderId="0" xfId="39" applyFont="1" applyAlignment="1">
      <alignment vertical="center"/>
    </xf>
    <xf numFmtId="4" fontId="75" fillId="0" borderId="0" xfId="39" applyNumberFormat="1" applyFont="1"/>
    <xf numFmtId="0" fontId="107" fillId="0" borderId="0" xfId="0" applyFont="1" applyAlignment="1">
      <alignment horizontal="justify" vertical="center"/>
    </xf>
    <xf numFmtId="0" fontId="108" fillId="0" borderId="0" xfId="39" applyFont="1"/>
    <xf numFmtId="4" fontId="61" fillId="28" borderId="0" xfId="0" applyNumberFormat="1" applyFont="1" applyFill="1"/>
    <xf numFmtId="4" fontId="61" fillId="0" borderId="0" xfId="0" applyNumberFormat="1" applyFont="1"/>
    <xf numFmtId="0" fontId="75" fillId="28" borderId="24" xfId="0" applyFont="1" applyFill="1" applyBorder="1" applyAlignment="1">
      <alignment horizontal="center" vertical="center" wrapText="1"/>
    </xf>
    <xf numFmtId="0" fontId="75" fillId="28" borderId="24" xfId="0" applyFont="1" applyFill="1" applyBorder="1" applyAlignment="1">
      <alignment horizontal="left" vertical="center" wrapText="1"/>
    </xf>
    <xf numFmtId="4" fontId="75" fillId="28" borderId="24" xfId="0" applyNumberFormat="1" applyFont="1" applyFill="1" applyBorder="1" applyAlignment="1">
      <alignment horizontal="center" vertical="center" wrapText="1"/>
    </xf>
    <xf numFmtId="4" fontId="62" fillId="28" borderId="0" xfId="0" applyNumberFormat="1" applyFont="1" applyFill="1"/>
    <xf numFmtId="4" fontId="62" fillId="0" borderId="0" xfId="0" applyNumberFormat="1" applyFont="1"/>
    <xf numFmtId="0" fontId="75" fillId="0" borderId="0" xfId="0" applyFont="1"/>
    <xf numFmtId="0" fontId="64" fillId="0" borderId="0" xfId="0" applyFont="1"/>
    <xf numFmtId="49" fontId="60" fillId="0" borderId="15" xfId="0" applyNumberFormat="1" applyFont="1" applyBorder="1" applyAlignment="1">
      <alignment horizontal="center" vertical="center" wrapText="1"/>
    </xf>
    <xf numFmtId="49" fontId="64" fillId="28" borderId="0" xfId="0" applyNumberFormat="1" applyFont="1" applyFill="1" applyAlignment="1">
      <alignment horizontal="center" vertical="center" wrapText="1"/>
    </xf>
    <xf numFmtId="4" fontId="68" fillId="0" borderId="15" xfId="0" applyNumberFormat="1" applyFont="1" applyBorder="1" applyAlignment="1">
      <alignment horizontal="center" vertical="center" wrapText="1"/>
    </xf>
    <xf numFmtId="49" fontId="64" fillId="0" borderId="15" xfId="0" applyNumberFormat="1" applyFont="1" applyBorder="1" applyAlignment="1">
      <alignment horizontal="center" vertical="center" wrapText="1"/>
    </xf>
    <xf numFmtId="4" fontId="65" fillId="0" borderId="15" xfId="38" applyNumberFormat="1" applyFont="1" applyFill="1" applyBorder="1" applyAlignment="1" applyProtection="1">
      <alignment horizontal="center" vertical="center" wrapText="1"/>
      <protection locked="0"/>
    </xf>
    <xf numFmtId="4" fontId="65" fillId="0" borderId="15" xfId="38" applyNumberFormat="1" applyFont="1" applyFill="1" applyBorder="1" applyAlignment="1">
      <alignment horizontal="center" vertical="center" wrapText="1"/>
    </xf>
    <xf numFmtId="4" fontId="68" fillId="0" borderId="15" xfId="38" applyNumberFormat="1" applyFont="1" applyFill="1" applyBorder="1" applyAlignment="1">
      <alignment horizontal="center" vertical="center" wrapText="1"/>
    </xf>
    <xf numFmtId="4" fontId="65" fillId="0" borderId="15" xfId="0" applyNumberFormat="1" applyFont="1" applyBorder="1" applyAlignment="1">
      <alignment horizontal="center" vertical="center"/>
    </xf>
    <xf numFmtId="0" fontId="109" fillId="28" borderId="0" xfId="0" applyFont="1" applyFill="1"/>
    <xf numFmtId="4" fontId="65" fillId="0" borderId="15" xfId="0" applyNumberFormat="1" applyFont="1" applyBorder="1" applyAlignment="1">
      <alignment horizontal="center" vertical="center" wrapText="1"/>
    </xf>
    <xf numFmtId="0" fontId="112" fillId="28" borderId="0" xfId="0" applyFont="1" applyFill="1"/>
    <xf numFmtId="49" fontId="63" fillId="0" borderId="15" xfId="0" applyNumberFormat="1" applyFont="1" applyBorder="1" applyAlignment="1">
      <alignment horizontal="center" vertical="center" wrapText="1"/>
    </xf>
    <xf numFmtId="4" fontId="80" fillId="0" borderId="15" xfId="0" applyNumberFormat="1" applyFont="1" applyBorder="1" applyAlignment="1">
      <alignment horizontal="center" vertical="center" wrapText="1"/>
    </xf>
    <xf numFmtId="0" fontId="113" fillId="28" borderId="0" xfId="0" applyFont="1" applyFill="1"/>
    <xf numFmtId="0" fontId="75" fillId="28" borderId="0" xfId="0" applyFont="1" applyFill="1"/>
    <xf numFmtId="49" fontId="89" fillId="0" borderId="15" xfId="0" applyNumberFormat="1" applyFont="1" applyBorder="1" applyAlignment="1">
      <alignment horizontal="center" vertical="center" wrapText="1"/>
    </xf>
    <xf numFmtId="4" fontId="115" fillId="0" borderId="15" xfId="0" applyNumberFormat="1" applyFont="1" applyBorder="1" applyAlignment="1">
      <alignment horizontal="center" vertical="center" wrapText="1"/>
    </xf>
    <xf numFmtId="4" fontId="116" fillId="28" borderId="0" xfId="0" applyNumberFormat="1" applyFont="1" applyFill="1" applyAlignment="1">
      <alignment horizontal="center" vertical="center"/>
    </xf>
    <xf numFmtId="4" fontId="71" fillId="28" borderId="0" xfId="0" applyNumberFormat="1" applyFont="1" applyFill="1"/>
    <xf numFmtId="49" fontId="89" fillId="28" borderId="15" xfId="0" applyNumberFormat="1" applyFont="1" applyFill="1" applyBorder="1" applyAlignment="1">
      <alignment horizontal="center" vertical="center" wrapText="1"/>
    </xf>
    <xf numFmtId="4" fontId="115" fillId="28" borderId="15" xfId="0" applyNumberFormat="1" applyFont="1" applyFill="1" applyBorder="1" applyAlignment="1">
      <alignment horizontal="center" vertical="center" wrapText="1"/>
    </xf>
    <xf numFmtId="49" fontId="60" fillId="28" borderId="15" xfId="0" applyNumberFormat="1" applyFont="1" applyFill="1" applyBorder="1" applyAlignment="1">
      <alignment horizontal="center" vertical="center" wrapText="1"/>
    </xf>
    <xf numFmtId="49" fontId="63" fillId="28" borderId="15" xfId="0" applyNumberFormat="1" applyFont="1" applyFill="1" applyBorder="1" applyAlignment="1">
      <alignment horizontal="center" vertical="center" wrapText="1"/>
    </xf>
    <xf numFmtId="4" fontId="80" fillId="28" borderId="15" xfId="0" applyNumberFormat="1" applyFont="1" applyFill="1" applyBorder="1" applyAlignment="1">
      <alignment horizontal="center" vertical="center" wrapText="1"/>
    </xf>
    <xf numFmtId="0" fontId="118" fillId="28" borderId="0" xfId="0" applyFont="1" applyFill="1"/>
    <xf numFmtId="4" fontId="65" fillId="28" borderId="0" xfId="0" applyNumberFormat="1" applyFont="1" applyFill="1" applyAlignment="1">
      <alignment horizontal="center" vertical="center" wrapText="1"/>
    </xf>
    <xf numFmtId="0" fontId="64" fillId="0" borderId="15" xfId="0" applyFont="1" applyBorder="1" applyAlignment="1">
      <alignment horizontal="center" vertical="center" wrapText="1"/>
    </xf>
    <xf numFmtId="4" fontId="68" fillId="0" borderId="15" xfId="38" applyNumberFormat="1" applyFont="1" applyFill="1" applyBorder="1" applyAlignment="1" applyProtection="1">
      <alignment horizontal="center" vertical="center" wrapText="1"/>
      <protection locked="0"/>
    </xf>
    <xf numFmtId="0" fontId="89" fillId="0" borderId="15" xfId="38" applyFont="1" applyFill="1" applyBorder="1" applyAlignment="1" applyProtection="1">
      <alignment horizontal="center" vertical="center" wrapText="1"/>
      <protection locked="0"/>
    </xf>
    <xf numFmtId="0" fontId="64" fillId="0" borderId="0" xfId="38" applyFont="1" applyFill="1" applyBorder="1" applyAlignment="1" applyProtection="1">
      <alignment horizontal="center" wrapText="1"/>
      <protection locked="0"/>
    </xf>
    <xf numFmtId="0" fontId="64" fillId="0" borderId="17" xfId="38" applyFont="1" applyFill="1" applyBorder="1" applyAlignment="1" applyProtection="1">
      <alignment horizontal="center" vertical="top" wrapText="1"/>
      <protection locked="0"/>
    </xf>
    <xf numFmtId="4" fontId="115" fillId="28" borderId="0" xfId="0" applyNumberFormat="1" applyFont="1" applyFill="1" applyAlignment="1">
      <alignment horizontal="center" vertical="center" wrapText="1"/>
    </xf>
    <xf numFmtId="4" fontId="115" fillId="0" borderId="15" xfId="38" applyNumberFormat="1" applyFont="1" applyFill="1" applyBorder="1" applyAlignment="1" applyProtection="1">
      <alignment horizontal="center" vertical="center" wrapText="1"/>
      <protection locked="0"/>
    </xf>
    <xf numFmtId="4" fontId="80" fillId="0" borderId="15" xfId="38" applyNumberFormat="1" applyFont="1" applyFill="1" applyBorder="1" applyAlignment="1" applyProtection="1">
      <alignment horizontal="center" vertical="center" wrapText="1"/>
      <protection locked="0"/>
    </xf>
    <xf numFmtId="4" fontId="68" fillId="28" borderId="15" xfId="38" applyNumberFormat="1" applyFont="1" applyFill="1" applyBorder="1" applyAlignment="1" applyProtection="1">
      <alignment horizontal="center" vertical="center" wrapText="1"/>
      <protection locked="0"/>
    </xf>
    <xf numFmtId="4" fontId="65" fillId="28" borderId="15" xfId="38" applyNumberFormat="1" applyFont="1" applyFill="1" applyBorder="1" applyAlignment="1" applyProtection="1">
      <alignment horizontal="center" vertical="center" wrapText="1"/>
      <protection locked="0"/>
    </xf>
    <xf numFmtId="0" fontId="107" fillId="28" borderId="0" xfId="0" applyFont="1" applyFill="1"/>
    <xf numFmtId="0" fontId="64" fillId="28" borderId="0" xfId="38" applyFont="1" applyFill="1" applyBorder="1" applyAlignment="1" applyProtection="1">
      <alignment horizontal="center" wrapText="1"/>
      <protection locked="0"/>
    </xf>
    <xf numFmtId="0" fontId="64" fillId="28" borderId="17" xfId="38" applyFont="1" applyFill="1" applyBorder="1" applyAlignment="1" applyProtection="1">
      <alignment horizontal="center" vertical="top" wrapText="1"/>
      <protection locked="0"/>
    </xf>
    <xf numFmtId="4" fontId="63" fillId="0" borderId="15" xfId="38" applyNumberFormat="1" applyFont="1" applyFill="1" applyBorder="1" applyAlignment="1" applyProtection="1">
      <alignment horizontal="center" vertical="center" wrapText="1"/>
      <protection locked="0"/>
    </xf>
    <xf numFmtId="0" fontId="63" fillId="0" borderId="15" xfId="0" applyFont="1" applyBorder="1" applyAlignment="1">
      <alignment horizontal="center" vertical="center" wrapText="1"/>
    </xf>
    <xf numFmtId="0" fontId="89" fillId="0" borderId="15" xfId="0" applyFont="1" applyBorder="1" applyAlignment="1">
      <alignment horizontal="center" vertical="center" wrapText="1"/>
    </xf>
    <xf numFmtId="0" fontId="119" fillId="0" borderId="0" xfId="0" applyFont="1" applyAlignment="1">
      <alignment horizontal="left" vertical="center"/>
    </xf>
    <xf numFmtId="0" fontId="120" fillId="0" borderId="0" xfId="0" applyFont="1" applyAlignment="1">
      <alignment horizontal="left" vertical="center"/>
    </xf>
    <xf numFmtId="0" fontId="75" fillId="0" borderId="0" xfId="35" applyFont="1"/>
    <xf numFmtId="0" fontId="76" fillId="0" borderId="9" xfId="35" applyFont="1" applyBorder="1"/>
    <xf numFmtId="0" fontId="76" fillId="0" borderId="10" xfId="35" applyFont="1" applyBorder="1"/>
    <xf numFmtId="0" fontId="111" fillId="0" borderId="0" xfId="35" applyFont="1"/>
    <xf numFmtId="0" fontId="121" fillId="0" borderId="0" xfId="35" applyFont="1"/>
    <xf numFmtId="0" fontId="67" fillId="0" borderId="0" xfId="35" applyFont="1" applyAlignment="1">
      <alignment horizontal="center" vertical="center" wrapText="1"/>
    </xf>
    <xf numFmtId="4" fontId="110" fillId="0" borderId="0" xfId="35" applyNumberFormat="1" applyFont="1" applyAlignment="1">
      <alignment horizontal="center" vertical="center"/>
    </xf>
    <xf numFmtId="0" fontId="122" fillId="0" borderId="0" xfId="0" applyFont="1" applyAlignment="1">
      <alignment vertical="center"/>
    </xf>
    <xf numFmtId="4" fontId="123" fillId="0" borderId="0" xfId="0" applyNumberFormat="1" applyFont="1" applyAlignment="1">
      <alignment vertical="center"/>
    </xf>
    <xf numFmtId="4" fontId="124" fillId="0" borderId="0" xfId="0" applyNumberFormat="1" applyFont="1" applyAlignment="1">
      <alignment vertical="center"/>
    </xf>
    <xf numFmtId="0" fontId="124" fillId="0" borderId="0" xfId="0" applyFont="1" applyAlignment="1">
      <alignment vertical="center"/>
    </xf>
    <xf numFmtId="4" fontId="122" fillId="0" borderId="0" xfId="0" applyNumberFormat="1" applyFont="1" applyAlignment="1">
      <alignment vertical="center"/>
    </xf>
    <xf numFmtId="0" fontId="123" fillId="0" borderId="0" xfId="0" applyFont="1" applyAlignment="1">
      <alignment vertical="center"/>
    </xf>
    <xf numFmtId="0" fontId="125" fillId="0" borderId="0" xfId="35" applyFont="1"/>
    <xf numFmtId="0" fontId="65" fillId="0" borderId="0" xfId="35" applyFont="1"/>
    <xf numFmtId="0" fontId="126" fillId="0" borderId="0" xfId="35" applyFont="1"/>
    <xf numFmtId="0" fontId="84" fillId="0" borderId="0" xfId="0" applyFont="1" applyAlignment="1">
      <alignment vertical="center"/>
    </xf>
    <xf numFmtId="0" fontId="127" fillId="27" borderId="0" xfId="0" applyFont="1" applyFill="1"/>
    <xf numFmtId="0" fontId="61" fillId="27" borderId="0" xfId="0" applyFont="1" applyFill="1"/>
    <xf numFmtId="0" fontId="62" fillId="27" borderId="0" xfId="0" applyFont="1" applyFill="1"/>
    <xf numFmtId="4" fontId="64" fillId="0" borderId="15" xfId="0" applyNumberFormat="1" applyFont="1" applyBorder="1" applyAlignment="1">
      <alignment horizontal="center" vertical="center" wrapText="1"/>
    </xf>
    <xf numFmtId="0" fontId="128" fillId="27" borderId="0" xfId="0" applyFont="1" applyFill="1"/>
    <xf numFmtId="49" fontId="64" fillId="27" borderId="15" xfId="0" applyNumberFormat="1" applyFont="1" applyFill="1" applyBorder="1" applyAlignment="1">
      <alignment horizontal="center" vertical="center" wrapText="1"/>
    </xf>
    <xf numFmtId="4" fontId="64" fillId="27" borderId="15" xfId="0" applyNumberFormat="1" applyFont="1" applyFill="1" applyBorder="1" applyAlignment="1">
      <alignment horizontal="center" vertical="center" wrapText="1"/>
    </xf>
    <xf numFmtId="49" fontId="64" fillId="27" borderId="15" xfId="0" applyNumberFormat="1" applyFont="1" applyFill="1" applyBorder="1" applyAlignment="1">
      <alignment horizontal="left" vertical="center" wrapText="1"/>
    </xf>
    <xf numFmtId="0" fontId="64" fillId="0" borderId="0" xfId="39" applyFont="1"/>
    <xf numFmtId="0" fontId="64" fillId="0" borderId="0" xfId="0" applyFont="1" applyAlignment="1">
      <alignment horizontal="left" vertical="center"/>
    </xf>
    <xf numFmtId="0" fontId="71" fillId="27" borderId="0" xfId="0" applyFont="1" applyFill="1"/>
    <xf numFmtId="0" fontId="84" fillId="27" borderId="0" xfId="0" applyFont="1" applyFill="1" applyAlignment="1">
      <alignment vertical="center"/>
    </xf>
    <xf numFmtId="0" fontId="75" fillId="28" borderId="0" xfId="35" applyFont="1" applyFill="1"/>
    <xf numFmtId="49" fontId="114" fillId="30" borderId="15" xfId="0" applyNumberFormat="1" applyFont="1" applyFill="1" applyBorder="1" applyAlignment="1">
      <alignment horizontal="center" vertical="center" wrapText="1"/>
    </xf>
    <xf numFmtId="0" fontId="114" fillId="30" borderId="15" xfId="38" applyFont="1" applyFill="1" applyBorder="1" applyAlignment="1" applyProtection="1">
      <alignment horizontal="center" vertical="center" wrapText="1"/>
      <protection locked="0"/>
    </xf>
    <xf numFmtId="4" fontId="114" fillId="30" borderId="15" xfId="0" applyNumberFormat="1" applyFont="1" applyFill="1" applyBorder="1" applyAlignment="1">
      <alignment horizontal="center" vertical="center" wrapText="1"/>
    </xf>
    <xf numFmtId="49" fontId="110" fillId="31" borderId="15" xfId="0" applyNumberFormat="1" applyFont="1" applyFill="1" applyBorder="1" applyAlignment="1">
      <alignment horizontal="center" vertical="center" wrapText="1"/>
    </xf>
    <xf numFmtId="0" fontId="110" fillId="31" borderId="15" xfId="38" applyFont="1" applyFill="1" applyBorder="1" applyAlignment="1" applyProtection="1">
      <alignment horizontal="center" vertical="center" wrapText="1"/>
      <protection locked="0"/>
    </xf>
    <xf numFmtId="4" fontId="110" fillId="31" borderId="15" xfId="0" applyNumberFormat="1" applyFont="1" applyFill="1" applyBorder="1" applyAlignment="1">
      <alignment horizontal="center" vertical="center" wrapText="1"/>
    </xf>
    <xf numFmtId="49" fontId="67" fillId="28" borderId="15" xfId="0" applyNumberFormat="1" applyFont="1" applyFill="1" applyBorder="1" applyAlignment="1">
      <alignment horizontal="center" vertical="center" wrapText="1"/>
    </xf>
    <xf numFmtId="0" fontId="67" fillId="28" borderId="15" xfId="18" applyFont="1" applyFill="1" applyBorder="1" applyAlignment="1">
      <alignment horizontal="center" vertical="center" wrapText="1"/>
    </xf>
    <xf numFmtId="0" fontId="110" fillId="28" borderId="15" xfId="35" applyFont="1" applyFill="1" applyBorder="1" applyAlignment="1">
      <alignment horizontal="center" vertical="center" wrapText="1"/>
    </xf>
    <xf numFmtId="4" fontId="110" fillId="28" borderId="15" xfId="35" applyNumberFormat="1" applyFont="1" applyFill="1" applyBorder="1" applyAlignment="1">
      <alignment horizontal="center" vertical="center" wrapText="1"/>
    </xf>
    <xf numFmtId="4" fontId="67" fillId="28" borderId="15" xfId="0" applyNumberFormat="1" applyFont="1" applyFill="1" applyBorder="1" applyAlignment="1">
      <alignment horizontal="center" vertical="center" wrapText="1"/>
    </xf>
    <xf numFmtId="166" fontId="67" fillId="28" borderId="15" xfId="30" applyNumberFormat="1" applyFont="1" applyFill="1" applyBorder="1" applyAlignment="1">
      <alignment horizontal="center" vertical="center"/>
    </xf>
    <xf numFmtId="4" fontId="67" fillId="28" borderId="15" xfId="30" applyNumberFormat="1" applyFont="1" applyFill="1" applyBorder="1" applyAlignment="1">
      <alignment horizontal="center" vertical="center"/>
    </xf>
    <xf numFmtId="9" fontId="67" fillId="28" borderId="15" xfId="0" applyNumberFormat="1" applyFont="1" applyFill="1" applyBorder="1" applyAlignment="1">
      <alignment horizontal="center" vertical="center" wrapText="1"/>
    </xf>
    <xf numFmtId="49" fontId="67" fillId="0" borderId="15" xfId="0" applyNumberFormat="1" applyFont="1" applyBorder="1" applyAlignment="1">
      <alignment horizontal="center" vertical="center" wrapText="1"/>
    </xf>
    <xf numFmtId="166" fontId="67" fillId="0" borderId="15" xfId="30" applyNumberFormat="1" applyFont="1" applyBorder="1" applyAlignment="1">
      <alignment horizontal="center" vertical="center" wrapText="1"/>
    </xf>
    <xf numFmtId="166" fontId="67" fillId="0" borderId="15" xfId="30" applyNumberFormat="1" applyFont="1" applyBorder="1" applyAlignment="1">
      <alignment horizontal="center" vertical="center"/>
    </xf>
    <xf numFmtId="4" fontId="67" fillId="0" borderId="15" xfId="30" applyNumberFormat="1" applyFont="1" applyBorder="1" applyAlignment="1">
      <alignment horizontal="center" vertical="center"/>
    </xf>
    <xf numFmtId="4" fontId="67" fillId="0" borderId="15" xfId="0" applyNumberFormat="1" applyFont="1" applyBorder="1" applyAlignment="1">
      <alignment horizontal="center" vertical="center" wrapText="1"/>
    </xf>
    <xf numFmtId="9" fontId="67" fillId="0" borderId="15" xfId="0" applyNumberFormat="1" applyFont="1" applyBorder="1" applyAlignment="1">
      <alignment horizontal="center" vertical="center" wrapText="1"/>
    </xf>
    <xf numFmtId="0" fontId="129" fillId="28" borderId="0" xfId="35" applyFont="1" applyFill="1" applyAlignment="1">
      <alignment horizontal="left" vertical="center"/>
    </xf>
    <xf numFmtId="4" fontId="75" fillId="28" borderId="0" xfId="35" applyNumberFormat="1" applyFont="1" applyFill="1" applyAlignment="1">
      <alignment horizontal="left" vertical="center"/>
    </xf>
    <xf numFmtId="0" fontId="109" fillId="28" borderId="0" xfId="35" applyFont="1" applyFill="1" applyAlignment="1">
      <alignment horizontal="left" vertical="center"/>
    </xf>
    <xf numFmtId="0" fontId="67" fillId="0" borderId="15" xfId="100" applyFont="1" applyBorder="1" applyAlignment="1">
      <alignment horizontal="center" vertical="center" wrapText="1"/>
    </xf>
    <xf numFmtId="0" fontId="67" fillId="28" borderId="15" xfId="100" applyFont="1" applyFill="1" applyBorder="1" applyAlignment="1">
      <alignment horizontal="center" vertical="center" wrapText="1"/>
    </xf>
    <xf numFmtId="49" fontId="114" fillId="32" borderId="15" xfId="0" applyNumberFormat="1" applyFont="1" applyFill="1" applyBorder="1" applyAlignment="1">
      <alignment horizontal="center" vertical="center" wrapText="1"/>
    </xf>
    <xf numFmtId="0" fontId="114" fillId="32" borderId="15" xfId="38" applyFont="1" applyFill="1" applyBorder="1" applyAlignment="1" applyProtection="1">
      <alignment horizontal="center" vertical="center" wrapText="1"/>
      <protection locked="0"/>
    </xf>
    <xf numFmtId="4" fontId="114" fillId="32" borderId="15" xfId="0" applyNumberFormat="1" applyFont="1" applyFill="1" applyBorder="1" applyAlignment="1">
      <alignment horizontal="center" vertical="center" wrapText="1"/>
    </xf>
    <xf numFmtId="9" fontId="114" fillId="32" borderId="15" xfId="0" applyNumberFormat="1" applyFont="1" applyFill="1" applyBorder="1" applyAlignment="1">
      <alignment horizontal="center" vertical="center" wrapText="1"/>
    </xf>
    <xf numFmtId="49" fontId="110" fillId="33" borderId="15" xfId="0" applyNumberFormat="1" applyFont="1" applyFill="1" applyBorder="1" applyAlignment="1">
      <alignment horizontal="center" vertical="center" wrapText="1"/>
    </xf>
    <xf numFmtId="0" fontId="110" fillId="33" borderId="15" xfId="38" applyFont="1" applyFill="1" applyBorder="1" applyAlignment="1" applyProtection="1">
      <alignment horizontal="center" vertical="center" wrapText="1"/>
      <protection locked="0"/>
    </xf>
    <xf numFmtId="4" fontId="110" fillId="33" borderId="15" xfId="0" applyNumberFormat="1" applyFont="1" applyFill="1" applyBorder="1" applyAlignment="1">
      <alignment horizontal="center" vertical="center" wrapText="1"/>
    </xf>
    <xf numFmtId="9" fontId="110" fillId="33" borderId="15" xfId="0" applyNumberFormat="1" applyFont="1" applyFill="1" applyBorder="1" applyAlignment="1">
      <alignment horizontal="center" vertical="center" wrapText="1"/>
    </xf>
    <xf numFmtId="9" fontId="67" fillId="0" borderId="15" xfId="30" applyNumberFormat="1" applyFont="1" applyBorder="1" applyAlignment="1">
      <alignment horizontal="center" vertical="center"/>
    </xf>
    <xf numFmtId="0" fontId="67" fillId="0" borderId="15" xfId="18" applyFont="1" applyBorder="1" applyAlignment="1">
      <alignment horizontal="center" vertical="center" wrapText="1"/>
    </xf>
    <xf numFmtId="0" fontId="113" fillId="28" borderId="0" xfId="35" applyFont="1" applyFill="1"/>
    <xf numFmtId="0" fontId="131" fillId="28" borderId="0" xfId="35" applyFont="1" applyFill="1" applyAlignment="1">
      <alignment vertical="center"/>
    </xf>
    <xf numFmtId="0" fontId="67" fillId="0" borderId="15" xfId="0" applyFont="1" applyBorder="1" applyAlignment="1">
      <alignment horizontal="center" vertical="center" wrapText="1"/>
    </xf>
    <xf numFmtId="0" fontId="67" fillId="0" borderId="15" xfId="45" applyFont="1" applyBorder="1" applyAlignment="1">
      <alignment horizontal="center" vertical="center" wrapText="1"/>
    </xf>
    <xf numFmtId="4" fontId="107" fillId="28" borderId="0" xfId="35" applyNumberFormat="1" applyFont="1" applyFill="1" applyAlignment="1">
      <alignment horizontal="center" vertical="center"/>
    </xf>
    <xf numFmtId="0" fontId="107" fillId="0" borderId="0" xfId="35" applyFont="1"/>
    <xf numFmtId="0" fontId="75" fillId="6" borderId="0" xfId="35" applyFont="1" applyFill="1"/>
    <xf numFmtId="0" fontId="75" fillId="25" borderId="0" xfId="35" applyFont="1" applyFill="1"/>
    <xf numFmtId="0" fontId="113" fillId="0" borderId="0" xfId="35" applyFont="1"/>
    <xf numFmtId="0" fontId="75" fillId="26" borderId="0" xfId="35" applyFont="1" applyFill="1" applyAlignment="1">
      <alignment horizontal="center" vertical="center"/>
    </xf>
    <xf numFmtId="4" fontId="80" fillId="29" borderId="14" xfId="0" applyNumberFormat="1" applyFont="1" applyFill="1" applyBorder="1" applyAlignment="1">
      <alignment horizontal="center" vertical="center" wrapText="1"/>
    </xf>
    <xf numFmtId="166" fontId="64" fillId="0" borderId="15" xfId="30" applyNumberFormat="1" applyFont="1" applyBorder="1" applyAlignment="1">
      <alignment horizontal="center" vertical="center" wrapText="1"/>
    </xf>
    <xf numFmtId="4" fontId="64" fillId="0" borderId="15" xfId="38" applyNumberFormat="1" applyFont="1" applyFill="1" applyBorder="1" applyAlignment="1" applyProtection="1">
      <alignment horizontal="center" vertical="center" wrapText="1"/>
      <protection locked="0"/>
    </xf>
    <xf numFmtId="4" fontId="80" fillId="29" borderId="0" xfId="0" applyNumberFormat="1" applyFont="1" applyFill="1" applyAlignment="1">
      <alignment horizontal="center" vertical="center" wrapText="1"/>
    </xf>
    <xf numFmtId="166" fontId="64" fillId="28" borderId="15" xfId="30" applyNumberFormat="1" applyFont="1" applyFill="1" applyBorder="1" applyAlignment="1">
      <alignment horizontal="center" vertical="center" wrapText="1"/>
    </xf>
    <xf numFmtId="4" fontId="64" fillId="28" borderId="15" xfId="38" applyNumberFormat="1" applyFont="1" applyFill="1" applyBorder="1" applyAlignment="1" applyProtection="1">
      <alignment horizontal="center" vertical="center" wrapText="1"/>
      <protection locked="0"/>
    </xf>
    <xf numFmtId="4" fontId="133" fillId="28" borderId="0" xfId="0" applyNumberFormat="1" applyFont="1" applyFill="1" applyAlignment="1">
      <alignment horizontal="center" vertical="center" wrapText="1"/>
    </xf>
    <xf numFmtId="4" fontId="80" fillId="29" borderId="8" xfId="0" applyNumberFormat="1" applyFont="1" applyFill="1" applyBorder="1" applyAlignment="1">
      <alignment horizontal="center" vertical="center" wrapText="1"/>
    </xf>
    <xf numFmtId="0" fontId="80" fillId="28" borderId="0" xfId="0" applyFont="1" applyFill="1" applyAlignment="1">
      <alignment horizontal="center" vertical="center"/>
    </xf>
    <xf numFmtId="0" fontId="64" fillId="28" borderId="15" xfId="0" applyFont="1" applyFill="1" applyBorder="1" applyAlignment="1">
      <alignment horizontal="center" vertical="center" wrapText="1"/>
    </xf>
    <xf numFmtId="166" fontId="64" fillId="28" borderId="0" xfId="30" applyNumberFormat="1" applyFont="1" applyFill="1" applyAlignment="1">
      <alignment horizontal="center" vertical="center" wrapText="1"/>
    </xf>
    <xf numFmtId="166" fontId="64" fillId="26" borderId="15" xfId="30" applyNumberFormat="1" applyFont="1" applyFill="1" applyBorder="1" applyAlignment="1">
      <alignment horizontal="center" vertical="center" wrapText="1"/>
    </xf>
    <xf numFmtId="4" fontId="64" fillId="26" borderId="15" xfId="0" applyNumberFormat="1" applyFont="1" applyFill="1" applyBorder="1" applyAlignment="1">
      <alignment horizontal="center" vertical="center" wrapText="1"/>
    </xf>
    <xf numFmtId="4" fontId="64" fillId="28" borderId="0" xfId="30" applyNumberFormat="1" applyFont="1" applyFill="1" applyAlignment="1">
      <alignment horizontal="center" vertical="center" wrapText="1"/>
    </xf>
    <xf numFmtId="4" fontId="134" fillId="0" borderId="15" xfId="0" applyNumberFormat="1" applyFont="1" applyBorder="1" applyAlignment="1">
      <alignment horizontal="center" vertical="center" wrapText="1"/>
    </xf>
    <xf numFmtId="4" fontId="64" fillId="0" borderId="16" xfId="0" applyNumberFormat="1" applyFont="1" applyBorder="1" applyAlignment="1">
      <alignment horizontal="center" vertical="center" wrapText="1"/>
    </xf>
    <xf numFmtId="4" fontId="134" fillId="28" borderId="15" xfId="0" applyNumberFormat="1" applyFont="1" applyFill="1" applyBorder="1" applyAlignment="1">
      <alignment horizontal="center" vertical="center" wrapText="1"/>
    </xf>
    <xf numFmtId="4" fontId="64" fillId="28" borderId="16" xfId="0" applyNumberFormat="1" applyFont="1" applyFill="1" applyBorder="1" applyAlignment="1">
      <alignment horizontal="center" vertical="center" wrapText="1"/>
    </xf>
    <xf numFmtId="4" fontId="63" fillId="28" borderId="0" xfId="38" applyNumberFormat="1" applyFont="1" applyFill="1" applyBorder="1" applyAlignment="1" applyProtection="1">
      <alignment horizontal="center" vertical="center" wrapText="1"/>
      <protection locked="0"/>
    </xf>
    <xf numFmtId="4" fontId="64" fillId="0" borderId="15" xfId="38" applyNumberFormat="1" applyFont="1" applyFill="1" applyBorder="1" applyAlignment="1">
      <alignment horizontal="center" vertical="center" wrapText="1"/>
    </xf>
    <xf numFmtId="4" fontId="64" fillId="28" borderId="15" xfId="38" applyNumberFormat="1" applyFont="1" applyFill="1" applyBorder="1" applyAlignment="1">
      <alignment horizontal="center" vertical="center" wrapText="1"/>
    </xf>
    <xf numFmtId="4" fontId="64" fillId="0" borderId="16" xfId="38" applyNumberFormat="1" applyFont="1" applyFill="1" applyBorder="1" applyAlignment="1" applyProtection="1">
      <alignment horizontal="center" vertical="center" wrapText="1"/>
      <protection locked="0"/>
    </xf>
    <xf numFmtId="4" fontId="64" fillId="0" borderId="16" xfId="38" applyNumberFormat="1" applyFont="1" applyFill="1" applyBorder="1" applyAlignment="1">
      <alignment horizontal="center" vertical="center" wrapText="1"/>
    </xf>
    <xf numFmtId="0" fontId="135" fillId="28" borderId="0" xfId="0" applyFont="1" applyFill="1" applyAlignment="1">
      <alignment horizontal="center" vertical="center"/>
    </xf>
    <xf numFmtId="0" fontId="136" fillId="28" borderId="0" xfId="0" applyFont="1" applyFill="1"/>
    <xf numFmtId="4" fontId="60" fillId="0" borderId="0" xfId="36" applyNumberFormat="1" applyFont="1" applyFill="1" applyBorder="1" applyAlignment="1">
      <alignment horizontal="center" vertical="center" wrapText="1"/>
    </xf>
    <xf numFmtId="4" fontId="137" fillId="0" borderId="0" xfId="0" applyNumberFormat="1" applyFont="1" applyAlignment="1">
      <alignment vertical="center"/>
    </xf>
    <xf numFmtId="4" fontId="138" fillId="0" borderId="0" xfId="0" applyNumberFormat="1" applyFont="1" applyAlignment="1">
      <alignment vertical="center"/>
    </xf>
    <xf numFmtId="0" fontId="137" fillId="0" borderId="0" xfId="0" applyFont="1" applyAlignment="1">
      <alignment vertical="center"/>
    </xf>
    <xf numFmtId="4" fontId="139" fillId="0" borderId="0" xfId="0" applyNumberFormat="1" applyFont="1" applyAlignment="1">
      <alignment vertical="center"/>
    </xf>
    <xf numFmtId="4" fontId="84" fillId="0" borderId="0" xfId="0" applyNumberFormat="1" applyFont="1" applyAlignment="1">
      <alignment vertical="center"/>
    </xf>
    <xf numFmtId="0" fontId="139" fillId="0" borderId="0" xfId="0" applyFont="1" applyAlignment="1">
      <alignment vertical="center"/>
    </xf>
    <xf numFmtId="0" fontId="140" fillId="0" borderId="0" xfId="0" applyFont="1"/>
    <xf numFmtId="0" fontId="138" fillId="0" borderId="0" xfId="0" applyFont="1" applyAlignment="1">
      <alignment vertical="center"/>
    </xf>
    <xf numFmtId="2" fontId="78" fillId="0" borderId="0" xfId="36" applyNumberFormat="1" applyFont="1" applyAlignment="1">
      <alignment horizontal="center" vertical="top"/>
    </xf>
    <xf numFmtId="2" fontId="107" fillId="0" borderId="15" xfId="36" applyNumberFormat="1" applyFont="1" applyFill="1" applyBorder="1" applyAlignment="1">
      <alignment horizontal="center" vertical="center" wrapText="1"/>
    </xf>
    <xf numFmtId="0" fontId="66" fillId="0" borderId="0" xfId="0" applyFont="1" applyAlignment="1">
      <alignment horizontal="center" vertical="center"/>
    </xf>
    <xf numFmtId="2" fontId="66" fillId="0" borderId="0" xfId="36" applyNumberFormat="1" applyFont="1" applyFill="1" applyBorder="1" applyAlignment="1">
      <alignment horizontal="left" vertical="center" wrapText="1"/>
    </xf>
    <xf numFmtId="0" fontId="61" fillId="0" borderId="0" xfId="0" applyFont="1" applyAlignment="1">
      <alignment horizontal="left"/>
    </xf>
    <xf numFmtId="4" fontId="66" fillId="0" borderId="0" xfId="36" applyNumberFormat="1" applyFont="1" applyFill="1" applyBorder="1" applyAlignment="1">
      <alignment horizontal="center" vertical="center" wrapText="1"/>
    </xf>
    <xf numFmtId="2" fontId="78" fillId="0" borderId="0" xfId="36" applyNumberFormat="1" applyFont="1" applyFill="1" applyAlignment="1">
      <alignment horizontal="center" vertical="top"/>
    </xf>
    <xf numFmtId="0" fontId="132" fillId="0" borderId="0" xfId="36" applyFont="1">
      <alignment vertical="top"/>
    </xf>
    <xf numFmtId="2" fontId="132" fillId="0" borderId="0" xfId="36" applyNumberFormat="1" applyFont="1">
      <alignment vertical="top"/>
    </xf>
    <xf numFmtId="0" fontId="141" fillId="0" borderId="0" xfId="36" applyFont="1" applyAlignment="1">
      <alignment horizontal="center" vertical="top" wrapText="1"/>
    </xf>
    <xf numFmtId="2" fontId="141" fillId="0" borderId="0" xfId="36" applyNumberFormat="1" applyFont="1" applyAlignment="1">
      <alignment horizontal="center" vertical="top" wrapText="1"/>
    </xf>
    <xf numFmtId="167" fontId="107" fillId="0" borderId="0" xfId="36" applyNumberFormat="1" applyFont="1" applyAlignment="1">
      <alignment horizontal="center" vertical="top"/>
    </xf>
    <xf numFmtId="0" fontId="142" fillId="0" borderId="0" xfId="38" applyFont="1" applyAlignment="1" applyProtection="1">
      <alignment horizontal="left" vertical="center" wrapText="1"/>
      <protection locked="0"/>
    </xf>
    <xf numFmtId="0" fontId="141" fillId="0" borderId="0" xfId="36" applyFont="1" applyAlignment="1">
      <alignment horizontal="left" vertical="top" wrapText="1"/>
    </xf>
    <xf numFmtId="0" fontId="126" fillId="0" borderId="0" xfId="36" applyFont="1">
      <alignment vertical="top"/>
    </xf>
    <xf numFmtId="0" fontId="108" fillId="0" borderId="0" xfId="0" applyFont="1"/>
    <xf numFmtId="0" fontId="126" fillId="0" borderId="0" xfId="0" applyFont="1"/>
    <xf numFmtId="0" fontId="38" fillId="0" borderId="0" xfId="36" applyFont="1">
      <alignment vertical="top"/>
    </xf>
    <xf numFmtId="0" fontId="143" fillId="0" borderId="0" xfId="36" applyFont="1">
      <alignment vertical="top"/>
    </xf>
    <xf numFmtId="0" fontId="10" fillId="0" borderId="0" xfId="0" applyFont="1" applyAlignment="1">
      <alignment horizontal="center"/>
    </xf>
    <xf numFmtId="0" fontId="10" fillId="0" borderId="0" xfId="0" applyFont="1" applyAlignment="1">
      <alignment vertical="center"/>
    </xf>
    <xf numFmtId="0" fontId="10" fillId="0" borderId="0" xfId="0" applyFont="1" applyAlignment="1">
      <alignment vertical="top"/>
    </xf>
    <xf numFmtId="49" fontId="29" fillId="0" borderId="15" xfId="0" applyNumberFormat="1" applyFont="1" applyBorder="1" applyAlignment="1">
      <alignment horizontal="center" vertical="center" wrapText="1"/>
    </xf>
    <xf numFmtId="4" fontId="31" fillId="0" borderId="15" xfId="38" applyNumberFormat="1" applyFont="1" applyFill="1" applyBorder="1" applyAlignment="1" applyProtection="1">
      <alignment horizontal="center" vertical="center" wrapText="1"/>
      <protection locked="0"/>
    </xf>
    <xf numFmtId="0" fontId="30" fillId="0" borderId="0" xfId="0" applyFont="1" applyAlignment="1">
      <alignment horizontal="right" vertical="center"/>
    </xf>
    <xf numFmtId="0" fontId="29" fillId="0" borderId="15" xfId="0" applyFont="1" applyBorder="1" applyAlignment="1">
      <alignment horizontal="center" vertical="top" wrapText="1"/>
    </xf>
    <xf numFmtId="4" fontId="30" fillId="0" borderId="15" xfId="0" applyNumberFormat="1" applyFont="1" applyBorder="1" applyAlignment="1">
      <alignment horizontal="center" vertical="center" wrapText="1"/>
    </xf>
    <xf numFmtId="0" fontId="33" fillId="0" borderId="0" xfId="0" applyFont="1"/>
    <xf numFmtId="0" fontId="30" fillId="0" borderId="15" xfId="0" applyFont="1" applyBorder="1" applyAlignment="1">
      <alignment horizontal="center" vertical="top" wrapText="1"/>
    </xf>
    <xf numFmtId="166" fontId="30" fillId="0" borderId="15" xfId="30" applyNumberFormat="1" applyFont="1" applyBorder="1" applyAlignment="1">
      <alignment horizontal="center" vertical="center" wrapText="1"/>
    </xf>
    <xf numFmtId="4" fontId="30" fillId="0" borderId="15" xfId="38" applyNumberFormat="1" applyFont="1" applyFill="1" applyBorder="1" applyAlignment="1" applyProtection="1">
      <alignment horizontal="center" vertical="center" wrapText="1"/>
      <protection locked="0"/>
    </xf>
    <xf numFmtId="0" fontId="148" fillId="0" borderId="0" xfId="0" applyFont="1" applyAlignment="1">
      <alignment horizontal="center" vertical="center" wrapText="1"/>
    </xf>
    <xf numFmtId="4" fontId="32" fillId="0" borderId="15" xfId="38" applyNumberFormat="1" applyFont="1" applyFill="1" applyBorder="1" applyAlignment="1" applyProtection="1">
      <alignment horizontal="center" vertical="center" wrapText="1"/>
      <protection locked="0"/>
    </xf>
    <xf numFmtId="4" fontId="30" fillId="0" borderId="16" xfId="0" applyNumberFormat="1" applyFont="1" applyBorder="1" applyAlignment="1">
      <alignment horizontal="center" vertical="center" wrapText="1"/>
    </xf>
    <xf numFmtId="4" fontId="31" fillId="0" borderId="15" xfId="0" applyNumberFormat="1" applyFont="1" applyBorder="1" applyAlignment="1">
      <alignment horizontal="center" vertical="center" wrapText="1"/>
    </xf>
    <xf numFmtId="0" fontId="30" fillId="0" borderId="15" xfId="0" applyFont="1" applyBorder="1" applyAlignment="1">
      <alignment horizontal="center" vertical="center" wrapText="1"/>
    </xf>
    <xf numFmtId="0" fontId="12" fillId="0" borderId="0" xfId="35" applyAlignment="1">
      <alignment horizontal="center" vertical="center"/>
    </xf>
    <xf numFmtId="0" fontId="149" fillId="0" borderId="0" xfId="35" applyFont="1" applyAlignment="1">
      <alignment horizontal="center" vertical="center" wrapText="1"/>
    </xf>
    <xf numFmtId="0" fontId="148" fillId="0" borderId="0" xfId="35" applyFont="1" applyAlignment="1">
      <alignment horizontal="center" vertical="center" wrapText="1"/>
    </xf>
    <xf numFmtId="0" fontId="149" fillId="0" borderId="15" xfId="0" applyFont="1" applyBorder="1" applyAlignment="1">
      <alignment horizontal="center" vertical="center" wrapText="1"/>
    </xf>
    <xf numFmtId="0" fontId="149" fillId="0" borderId="15" xfId="35" applyFont="1" applyBorder="1" applyAlignment="1">
      <alignment horizontal="center" vertical="center" wrapText="1"/>
    </xf>
    <xf numFmtId="0" fontId="12" fillId="0" borderId="0" xfId="35"/>
    <xf numFmtId="49" fontId="30" fillId="0" borderId="16" xfId="0" applyNumberFormat="1" applyFont="1" applyBorder="1" applyAlignment="1">
      <alignment horizontal="center" vertical="center" wrapText="1"/>
    </xf>
    <xf numFmtId="0" fontId="149" fillId="0" borderId="0" xfId="39" applyFont="1"/>
    <xf numFmtId="0" fontId="153" fillId="0" borderId="0" xfId="0" applyFont="1"/>
    <xf numFmtId="0" fontId="149" fillId="0" borderId="0" xfId="0" applyFont="1" applyAlignment="1">
      <alignment horizontal="left" vertical="center"/>
    </xf>
    <xf numFmtId="4" fontId="30" fillId="0" borderId="16" xfId="38" applyNumberFormat="1" applyFont="1" applyFill="1" applyBorder="1" applyAlignment="1" applyProtection="1">
      <alignment horizontal="center" vertical="center" wrapText="1"/>
      <protection locked="0"/>
    </xf>
    <xf numFmtId="0" fontId="146" fillId="28" borderId="0" xfId="35" applyFont="1" applyFill="1" applyAlignment="1">
      <alignment horizontal="center" vertical="center"/>
    </xf>
    <xf numFmtId="4" fontId="154" fillId="28" borderId="0" xfId="35" applyNumberFormat="1" applyFont="1" applyFill="1"/>
    <xf numFmtId="0" fontId="149" fillId="0" borderId="0" xfId="0" applyFont="1"/>
    <xf numFmtId="0" fontId="16" fillId="0" borderId="0" xfId="0" applyFont="1"/>
    <xf numFmtId="0" fontId="55" fillId="0" borderId="0" xfId="0" applyFont="1" applyAlignment="1">
      <alignment vertical="center"/>
    </xf>
    <xf numFmtId="4" fontId="55" fillId="0" borderId="0" xfId="0" applyNumberFormat="1" applyFont="1" applyAlignment="1">
      <alignment vertical="center"/>
    </xf>
    <xf numFmtId="4" fontId="37" fillId="0" borderId="0" xfId="0" applyNumberFormat="1" applyFont="1" applyAlignment="1">
      <alignment vertical="center"/>
    </xf>
    <xf numFmtId="4" fontId="109" fillId="0" borderId="24" xfId="0" applyNumberFormat="1" applyFont="1" applyBorder="1" applyAlignment="1">
      <alignment horizontal="center" vertical="center" wrapText="1"/>
    </xf>
    <xf numFmtId="4" fontId="75" fillId="0" borderId="24" xfId="0" applyNumberFormat="1" applyFont="1" applyBorder="1" applyAlignment="1">
      <alignment horizontal="center" vertical="center" wrapText="1"/>
    </xf>
    <xf numFmtId="4" fontId="75" fillId="28" borderId="0" xfId="35" applyNumberFormat="1" applyFont="1" applyFill="1"/>
    <xf numFmtId="0" fontId="157" fillId="0" borderId="0" xfId="0" applyFont="1" applyAlignment="1">
      <alignment horizontal="left" vertical="center"/>
    </xf>
    <xf numFmtId="0" fontId="30" fillId="0" borderId="0" xfId="39" applyFont="1" applyAlignment="1">
      <alignment vertical="center"/>
    </xf>
    <xf numFmtId="4" fontId="129" fillId="27" borderId="15" xfId="0" applyNumberFormat="1" applyFont="1" applyFill="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wrapText="1"/>
    </xf>
    <xf numFmtId="0" fontId="16" fillId="0" borderId="0" xfId="0" applyFont="1" applyAlignment="1">
      <alignment horizontal="justify" vertical="center"/>
    </xf>
    <xf numFmtId="0" fontId="16" fillId="0" borderId="0" xfId="0" applyFont="1" applyAlignment="1">
      <alignment horizontal="left" vertical="center"/>
    </xf>
    <xf numFmtId="0" fontId="158" fillId="0" borderId="0" xfId="0" applyFont="1" applyAlignment="1">
      <alignment horizontal="left" vertical="center"/>
    </xf>
    <xf numFmtId="49" fontId="64" fillId="0" borderId="16" xfId="0" applyNumberFormat="1" applyFont="1" applyBorder="1" applyAlignment="1">
      <alignment horizontal="center" vertical="center" wrapText="1"/>
    </xf>
    <xf numFmtId="0" fontId="109" fillId="0" borderId="24" xfId="39" applyFont="1" applyBorder="1" applyAlignment="1">
      <alignment horizontal="center" vertical="center" wrapText="1"/>
    </xf>
    <xf numFmtId="4" fontId="109" fillId="0" borderId="24" xfId="39" applyNumberFormat="1" applyFont="1" applyBorder="1" applyAlignment="1">
      <alignment horizontal="center" vertical="center" wrapText="1"/>
    </xf>
    <xf numFmtId="4" fontId="112" fillId="0" borderId="24" xfId="39" applyNumberFormat="1" applyFont="1" applyBorder="1" applyAlignment="1">
      <alignment horizontal="center" vertical="center" wrapText="1"/>
    </xf>
    <xf numFmtId="0" fontId="75" fillId="0" borderId="24" xfId="39" applyFont="1" applyBorder="1" applyAlignment="1">
      <alignment horizontal="center" vertical="center" wrapText="1"/>
    </xf>
    <xf numFmtId="0" fontId="75" fillId="0" borderId="24" xfId="39" applyFont="1" applyBorder="1" applyAlignment="1">
      <alignment vertical="center" wrapText="1"/>
    </xf>
    <xf numFmtId="4" fontId="75" fillId="0" borderId="24" xfId="39" applyNumberFormat="1" applyFont="1" applyBorder="1" applyAlignment="1">
      <alignment horizontal="center" vertical="center" wrapText="1"/>
    </xf>
    <xf numFmtId="0" fontId="75" fillId="0" borderId="24" xfId="37" applyFont="1" applyBorder="1" applyAlignment="1">
      <alignment horizontal="justify" vertical="center" wrapText="1"/>
    </xf>
    <xf numFmtId="0" fontId="109" fillId="0" borderId="24" xfId="37" applyFont="1" applyBorder="1" applyAlignment="1">
      <alignment horizontal="center" vertical="center" wrapText="1"/>
    </xf>
    <xf numFmtId="4" fontId="113" fillId="0" borderId="24" xfId="39" applyNumberFormat="1" applyFont="1" applyBorder="1" applyAlignment="1">
      <alignment horizontal="center" vertical="center" wrapText="1"/>
    </xf>
    <xf numFmtId="0" fontId="75" fillId="28" borderId="24" xfId="39" applyFont="1" applyFill="1" applyBorder="1" applyAlignment="1">
      <alignment horizontal="center" vertical="center" wrapText="1"/>
    </xf>
    <xf numFmtId="0" fontId="75" fillId="28" borderId="24" xfId="39" applyFont="1" applyFill="1" applyBorder="1" applyAlignment="1">
      <alignment vertical="center" wrapText="1"/>
    </xf>
    <xf numFmtId="4" fontId="109" fillId="28" borderId="24" xfId="39" applyNumberFormat="1" applyFont="1" applyFill="1" applyBorder="1" applyAlignment="1">
      <alignment horizontal="center" vertical="center" wrapText="1"/>
    </xf>
    <xf numFmtId="4" fontId="75" fillId="28" borderId="24" xfId="39" applyNumberFormat="1" applyFont="1" applyFill="1" applyBorder="1" applyAlignment="1">
      <alignment horizontal="center" vertical="center" wrapText="1"/>
    </xf>
    <xf numFmtId="0" fontId="113" fillId="28" borderId="24" xfId="39" applyFont="1" applyFill="1" applyBorder="1" applyAlignment="1">
      <alignment vertical="center" wrapText="1"/>
    </xf>
    <xf numFmtId="0" fontId="107" fillId="0" borderId="0" xfId="0" applyFont="1" applyAlignment="1">
      <alignment horizontal="left" vertical="center"/>
    </xf>
    <xf numFmtId="0" fontId="107" fillId="0" borderId="0" xfId="39" applyFont="1"/>
    <xf numFmtId="4" fontId="109" fillId="28" borderId="0" xfId="0" applyNumberFormat="1" applyFont="1" applyFill="1"/>
    <xf numFmtId="4" fontId="112" fillId="0" borderId="24" xfId="0" applyNumberFormat="1" applyFont="1" applyBorder="1" applyAlignment="1">
      <alignment horizontal="center" vertical="center" wrapText="1"/>
    </xf>
    <xf numFmtId="0" fontId="75" fillId="0" borderId="24" xfId="0" applyFont="1" applyBorder="1" applyAlignment="1">
      <alignment horizontal="center" vertical="center" wrapText="1"/>
    </xf>
    <xf numFmtId="0" fontId="75" fillId="0" borderId="24" xfId="0" applyFont="1" applyBorder="1" applyAlignment="1">
      <alignment horizontal="left" vertical="center" wrapText="1"/>
    </xf>
    <xf numFmtId="0" fontId="113" fillId="0" borderId="24" xfId="0" applyFont="1" applyBorder="1" applyAlignment="1">
      <alignment horizontal="center" vertical="center" wrapText="1"/>
    </xf>
    <xf numFmtId="4" fontId="113" fillId="0" borderId="24" xfId="0" applyNumberFormat="1" applyFont="1" applyBorder="1" applyAlignment="1">
      <alignment horizontal="center" vertical="center" wrapText="1"/>
    </xf>
    <xf numFmtId="0" fontId="113" fillId="0" borderId="24" xfId="0" applyFont="1" applyBorder="1" applyAlignment="1">
      <alignment horizontal="left" vertical="center" wrapText="1"/>
    </xf>
    <xf numFmtId="0" fontId="60" fillId="0" borderId="0" xfId="0" applyFont="1" applyAlignment="1">
      <alignment horizontal="center" vertical="center"/>
    </xf>
    <xf numFmtId="0" fontId="64" fillId="0" borderId="0" xfId="0" applyFont="1" applyAlignment="1">
      <alignment horizontal="center" vertical="center"/>
    </xf>
    <xf numFmtId="0" fontId="64" fillId="0" borderId="16" xfId="38" applyFont="1" applyFill="1" applyBorder="1" applyAlignment="1" applyProtection="1">
      <alignment horizontal="center" wrapText="1"/>
      <protection locked="0"/>
    </xf>
    <xf numFmtId="0" fontId="64" fillId="0" borderId="0" xfId="38" applyFont="1" applyFill="1" applyBorder="1" applyAlignment="1" applyProtection="1">
      <alignment horizontal="center" vertical="top" wrapText="1"/>
      <protection locked="0"/>
    </xf>
    <xf numFmtId="0" fontId="64" fillId="0" borderId="15" xfId="38" applyFont="1" applyFill="1" applyBorder="1" applyAlignment="1" applyProtection="1">
      <alignment horizontal="center" vertical="center" wrapText="1"/>
      <protection locked="0"/>
    </xf>
    <xf numFmtId="49" fontId="64" fillId="28" borderId="16" xfId="0" applyNumberFormat="1" applyFont="1" applyFill="1" applyBorder="1" applyAlignment="1">
      <alignment horizontal="center" wrapText="1"/>
    </xf>
    <xf numFmtId="49" fontId="64" fillId="28" borderId="17" xfId="0" applyNumberFormat="1" applyFont="1" applyFill="1" applyBorder="1" applyAlignment="1">
      <alignment horizontal="center" vertical="top" wrapText="1"/>
    </xf>
    <xf numFmtId="0" fontId="60" fillId="0" borderId="15" xfId="38" applyFont="1" applyFill="1" applyBorder="1" applyAlignment="1" applyProtection="1">
      <alignment horizontal="center" vertical="center" wrapText="1"/>
      <protection locked="0"/>
    </xf>
    <xf numFmtId="49" fontId="89" fillId="0" borderId="15" xfId="0" applyNumberFormat="1" applyFont="1" applyBorder="1" applyAlignment="1">
      <alignment horizontal="center" vertical="center"/>
    </xf>
    <xf numFmtId="49" fontId="64" fillId="0" borderId="15" xfId="0" applyNumberFormat="1" applyFont="1" applyBorder="1" applyAlignment="1">
      <alignment horizontal="center" vertical="center"/>
    </xf>
    <xf numFmtId="49" fontId="114" fillId="37" borderId="15" xfId="0" applyNumberFormat="1" applyFont="1" applyFill="1" applyBorder="1" applyAlignment="1">
      <alignment horizontal="center" vertical="center" wrapText="1"/>
    </xf>
    <xf numFmtId="0" fontId="114" fillId="37" borderId="15" xfId="38" applyFont="1" applyFill="1" applyBorder="1" applyAlignment="1" applyProtection="1">
      <alignment horizontal="center" vertical="center" wrapText="1"/>
      <protection locked="0"/>
    </xf>
    <xf numFmtId="4" fontId="114" fillId="37" borderId="15" xfId="0" applyNumberFormat="1" applyFont="1" applyFill="1" applyBorder="1" applyAlignment="1">
      <alignment horizontal="center" vertical="center" wrapText="1"/>
    </xf>
    <xf numFmtId="4" fontId="114" fillId="37" borderId="15" xfId="38" applyNumberFormat="1" applyFont="1" applyFill="1" applyBorder="1" applyAlignment="1" applyProtection="1">
      <alignment horizontal="center" vertical="center" wrapText="1"/>
      <protection locked="0"/>
    </xf>
    <xf numFmtId="49" fontId="110" fillId="38" borderId="15" xfId="0" applyNumberFormat="1" applyFont="1" applyFill="1" applyBorder="1" applyAlignment="1">
      <alignment horizontal="center" vertical="center" wrapText="1"/>
    </xf>
    <xf numFmtId="0" fontId="110" fillId="38" borderId="15" xfId="38" applyFont="1" applyFill="1" applyBorder="1" applyAlignment="1" applyProtection="1">
      <alignment horizontal="center" vertical="center" wrapText="1"/>
      <protection locked="0"/>
    </xf>
    <xf numFmtId="4" fontId="110" fillId="38" borderId="15" xfId="38" applyNumberFormat="1" applyFont="1" applyFill="1" applyBorder="1" applyAlignment="1" applyProtection="1">
      <alignment horizontal="center" vertical="center" wrapText="1"/>
      <protection locked="0"/>
    </xf>
    <xf numFmtId="4" fontId="110" fillId="38" borderId="15" xfId="0" applyNumberFormat="1" applyFont="1" applyFill="1" applyBorder="1" applyAlignment="1">
      <alignment horizontal="center" vertical="center" wrapText="1"/>
    </xf>
    <xf numFmtId="49" fontId="110" fillId="0" borderId="15" xfId="0" applyNumberFormat="1" applyFont="1" applyBorder="1" applyAlignment="1">
      <alignment horizontal="center" vertical="center" wrapText="1"/>
    </xf>
    <xf numFmtId="0" fontId="110" fillId="0" borderId="15" xfId="38" applyFont="1" applyFill="1" applyBorder="1" applyAlignment="1" applyProtection="1">
      <alignment horizontal="center" vertical="center" wrapText="1"/>
      <protection locked="0"/>
    </xf>
    <xf numFmtId="4" fontId="110" fillId="0" borderId="15" xfId="0" applyNumberFormat="1" applyFont="1" applyBorder="1" applyAlignment="1">
      <alignment horizontal="center" vertical="center" wrapText="1"/>
    </xf>
    <xf numFmtId="49" fontId="114" fillId="0" borderId="15" xfId="0" applyNumberFormat="1" applyFont="1" applyBorder="1" applyAlignment="1">
      <alignment horizontal="center" vertical="center" wrapText="1"/>
    </xf>
    <xf numFmtId="0" fontId="114" fillId="0" borderId="15" xfId="38" applyFont="1" applyFill="1" applyBorder="1" applyAlignment="1" applyProtection="1">
      <alignment horizontal="center" vertical="center" wrapText="1"/>
      <protection locked="0"/>
    </xf>
    <xf numFmtId="4" fontId="114" fillId="0" borderId="15" xfId="0" applyNumberFormat="1" applyFont="1" applyBorder="1" applyAlignment="1">
      <alignment horizontal="center" vertical="center" wrapText="1"/>
    </xf>
    <xf numFmtId="49" fontId="67" fillId="0" borderId="15" xfId="35" applyNumberFormat="1" applyFont="1" applyBorder="1" applyAlignment="1">
      <alignment horizontal="center" vertical="center" wrapText="1"/>
    </xf>
    <xf numFmtId="49" fontId="156" fillId="0" borderId="15" xfId="0" applyNumberFormat="1" applyFont="1" applyBorder="1" applyAlignment="1">
      <alignment horizontal="center" vertical="center" wrapText="1"/>
    </xf>
    <xf numFmtId="0" fontId="156" fillId="0" borderId="15" xfId="38" applyFont="1" applyFill="1" applyBorder="1" applyAlignment="1" applyProtection="1">
      <alignment horizontal="center" vertical="center" wrapText="1"/>
      <protection locked="0"/>
    </xf>
    <xf numFmtId="4" fontId="156" fillId="0" borderId="15" xfId="0" applyNumberFormat="1" applyFont="1" applyBorder="1" applyAlignment="1">
      <alignment horizontal="center" vertical="center" wrapText="1"/>
    </xf>
    <xf numFmtId="0" fontId="67" fillId="0" borderId="15" xfId="35" applyFont="1" applyBorder="1" applyAlignment="1">
      <alignment horizontal="center" vertical="center" wrapText="1"/>
    </xf>
    <xf numFmtId="4" fontId="67" fillId="0" borderId="15" xfId="35" applyNumberFormat="1" applyFont="1" applyBorder="1" applyAlignment="1">
      <alignment horizontal="center" vertical="center"/>
    </xf>
    <xf numFmtId="0" fontId="110" fillId="0" borderId="0" xfId="0" applyFont="1" applyAlignment="1">
      <alignment horizontal="center" vertical="center"/>
    </xf>
    <xf numFmtId="0" fontId="110" fillId="0" borderId="0" xfId="0" applyFont="1" applyAlignment="1">
      <alignment horizontal="left" vertical="center"/>
    </xf>
    <xf numFmtId="4" fontId="110" fillId="0" borderId="0" xfId="0" applyNumberFormat="1" applyFont="1" applyAlignment="1">
      <alignment horizontal="center" vertical="center"/>
    </xf>
    <xf numFmtId="0" fontId="67" fillId="0" borderId="0" xfId="0" applyFont="1" applyAlignment="1">
      <alignment horizontal="left" vertical="center"/>
    </xf>
    <xf numFmtId="0" fontId="67" fillId="0" borderId="0" xfId="39" applyFont="1"/>
    <xf numFmtId="0" fontId="67" fillId="0" borderId="0" xfId="0" applyFont="1" applyAlignment="1">
      <alignment horizontal="center" vertical="center"/>
    </xf>
    <xf numFmtId="49" fontId="64" fillId="0" borderId="19" xfId="0" applyNumberFormat="1" applyFont="1" applyBorder="1" applyAlignment="1">
      <alignment horizontal="center" vertical="center" wrapText="1"/>
    </xf>
    <xf numFmtId="4" fontId="60" fillId="0" borderId="22" xfId="0" applyNumberFormat="1" applyFont="1" applyBorder="1" applyAlignment="1">
      <alignment horizontal="center" vertical="center" wrapText="1"/>
    </xf>
    <xf numFmtId="49" fontId="64" fillId="0" borderId="19" xfId="0" applyNumberFormat="1" applyFont="1" applyBorder="1" applyAlignment="1">
      <alignment horizontal="left" vertical="center" wrapText="1"/>
    </xf>
    <xf numFmtId="4" fontId="64" fillId="0" borderId="22" xfId="0" applyNumberFormat="1" applyFont="1" applyBorder="1" applyAlignment="1">
      <alignment horizontal="center" vertical="center" wrapText="1"/>
    </xf>
    <xf numFmtId="4" fontId="64" fillId="27" borderId="22" xfId="0" applyNumberFormat="1" applyFont="1" applyFill="1" applyBorder="1" applyAlignment="1">
      <alignment horizontal="center" vertical="center" wrapText="1"/>
    </xf>
    <xf numFmtId="49" fontId="64" fillId="0" borderId="15" xfId="0" applyNumberFormat="1" applyFont="1" applyBorder="1" applyAlignment="1">
      <alignment horizontal="left" vertical="center" wrapText="1"/>
    </xf>
    <xf numFmtId="4" fontId="64" fillId="0" borderId="19" xfId="0" applyNumberFormat="1" applyFont="1" applyBorder="1" applyAlignment="1">
      <alignment horizontal="center" vertical="center" wrapText="1"/>
    </xf>
    <xf numFmtId="0" fontId="128" fillId="0" borderId="0" xfId="0" applyFont="1"/>
    <xf numFmtId="4" fontId="67" fillId="0" borderId="16" xfId="30" applyNumberFormat="1" applyFont="1" applyBorder="1" applyAlignment="1">
      <alignment horizontal="center" vertical="center"/>
    </xf>
    <xf numFmtId="0" fontId="156" fillId="0" borderId="15" xfId="100" applyFont="1" applyBorder="1" applyAlignment="1">
      <alignment horizontal="center" vertical="center" wrapText="1"/>
    </xf>
    <xf numFmtId="49" fontId="67" fillId="0" borderId="15" xfId="18" applyNumberFormat="1" applyFont="1" applyBorder="1" applyAlignment="1">
      <alignment horizontal="center" vertical="center" wrapText="1"/>
    </xf>
    <xf numFmtId="0" fontId="67" fillId="0" borderId="15" xfId="92" applyFont="1" applyBorder="1" applyAlignment="1">
      <alignment horizontal="center" vertical="center" wrapText="1"/>
    </xf>
    <xf numFmtId="4" fontId="67" fillId="39" borderId="15" xfId="30" applyNumberFormat="1" applyFont="1" applyFill="1" applyBorder="1" applyAlignment="1">
      <alignment horizontal="center" vertical="center"/>
    </xf>
    <xf numFmtId="0" fontId="67" fillId="0" borderId="15" xfId="40" applyFont="1" applyBorder="1" applyAlignment="1">
      <alignment horizontal="center" vertical="center" wrapText="1"/>
    </xf>
    <xf numFmtId="0" fontId="67" fillId="0" borderId="15" xfId="84" applyFont="1" applyBorder="1" applyAlignment="1">
      <alignment horizontal="center" vertical="center" wrapText="1"/>
    </xf>
    <xf numFmtId="4" fontId="64" fillId="0" borderId="22" xfId="38" applyNumberFormat="1" applyFont="1" applyFill="1" applyBorder="1" applyAlignment="1" applyProtection="1">
      <alignment horizontal="center" vertical="center" wrapText="1"/>
      <protection locked="0"/>
    </xf>
    <xf numFmtId="166" fontId="64" fillId="0" borderId="16" xfId="30" applyNumberFormat="1" applyFont="1" applyBorder="1" applyAlignment="1">
      <alignment horizontal="center" vertical="center" wrapText="1"/>
    </xf>
    <xf numFmtId="166" fontId="64" fillId="40" borderId="15" xfId="30" applyNumberFormat="1" applyFont="1" applyFill="1" applyBorder="1" applyAlignment="1">
      <alignment horizontal="center" vertical="center" wrapText="1"/>
    </xf>
    <xf numFmtId="4" fontId="64" fillId="40" borderId="15" xfId="0" applyNumberFormat="1" applyFont="1" applyFill="1" applyBorder="1" applyAlignment="1">
      <alignment horizontal="center" vertical="center" wrapText="1"/>
    </xf>
    <xf numFmtId="4" fontId="160" fillId="0" borderId="15" xfId="36" applyNumberFormat="1" applyFont="1" applyFill="1" applyBorder="1" applyAlignment="1">
      <alignment horizontal="center" vertical="center" wrapText="1"/>
    </xf>
    <xf numFmtId="4" fontId="32" fillId="0" borderId="15" xfId="38" applyNumberFormat="1" applyFont="1" applyFill="1" applyBorder="1" applyAlignment="1">
      <alignment horizontal="center" vertical="center" wrapText="1"/>
    </xf>
    <xf numFmtId="4" fontId="32" fillId="0" borderId="15" xfId="0" applyNumberFormat="1" applyFont="1" applyBorder="1" applyAlignment="1">
      <alignment horizontal="center" vertical="center"/>
    </xf>
    <xf numFmtId="4" fontId="30" fillId="0" borderId="15" xfId="38" applyNumberFormat="1" applyFont="1" applyFill="1" applyBorder="1" applyAlignment="1">
      <alignment horizontal="center" vertical="center" wrapText="1"/>
    </xf>
    <xf numFmtId="4" fontId="99" fillId="36" borderId="8" xfId="0" applyNumberFormat="1" applyFont="1" applyFill="1" applyBorder="1" applyAlignment="1">
      <alignment horizontal="center" vertical="center" wrapText="1"/>
    </xf>
    <xf numFmtId="4" fontId="32" fillId="0" borderId="15" xfId="0" applyNumberFormat="1" applyFont="1" applyBorder="1" applyAlignment="1">
      <alignment horizontal="center" vertical="center" wrapText="1"/>
    </xf>
    <xf numFmtId="4" fontId="99" fillId="29" borderId="8" xfId="0" applyNumberFormat="1" applyFont="1" applyFill="1" applyBorder="1" applyAlignment="1">
      <alignment horizontal="center" vertical="center" wrapText="1"/>
    </xf>
    <xf numFmtId="0" fontId="12" fillId="0" borderId="0" xfId="0" applyFont="1" applyAlignment="1">
      <alignment horizontal="center" vertical="top"/>
    </xf>
    <xf numFmtId="0" fontId="10" fillId="0" borderId="0" xfId="0" applyFont="1" applyAlignment="1">
      <alignment horizontal="center" vertical="center"/>
    </xf>
    <xf numFmtId="0" fontId="16" fillId="0" borderId="0" xfId="0" applyFont="1" applyAlignment="1">
      <alignment horizontal="center" vertical="center"/>
    </xf>
    <xf numFmtId="0" fontId="16" fillId="0" borderId="0" xfId="39" applyFont="1" applyAlignment="1">
      <alignment vertical="center" wrapText="1"/>
    </xf>
    <xf numFmtId="0" fontId="30" fillId="0" borderId="0" xfId="0" applyFont="1" applyAlignment="1">
      <alignment horizontal="center" vertical="top"/>
    </xf>
    <xf numFmtId="0" fontId="90" fillId="0" borderId="0" xfId="0" applyFont="1" applyAlignment="1">
      <alignment horizontal="center"/>
    </xf>
    <xf numFmtId="0" fontId="0" fillId="0" borderId="0" xfId="0" applyAlignment="1">
      <alignment horizontal="center"/>
    </xf>
    <xf numFmtId="0" fontId="10" fillId="0" borderId="0" xfId="0" applyFont="1"/>
    <xf numFmtId="0" fontId="12" fillId="0" borderId="0" xfId="0" applyFont="1"/>
    <xf numFmtId="0" fontId="161" fillId="0" borderId="0" xfId="0" applyFont="1"/>
    <xf numFmtId="4" fontId="16" fillId="0" borderId="15" xfId="0" applyNumberFormat="1" applyFont="1" applyBorder="1" applyAlignment="1">
      <alignment horizontal="center" vertical="center"/>
    </xf>
    <xf numFmtId="4" fontId="16" fillId="0" borderId="22" xfId="0" applyNumberFormat="1" applyFont="1" applyBorder="1" applyAlignment="1">
      <alignment horizontal="center" vertical="center"/>
    </xf>
    <xf numFmtId="0" fontId="161" fillId="0" borderId="15" xfId="0" applyFont="1" applyBorder="1" applyAlignment="1">
      <alignment horizontal="center" vertical="top" wrapText="1"/>
    </xf>
    <xf numFmtId="0" fontId="161" fillId="0" borderId="15" xfId="35" applyFont="1" applyBorder="1" applyAlignment="1">
      <alignment horizontal="center" vertical="top" wrapText="1"/>
    </xf>
    <xf numFmtId="0" fontId="161" fillId="0" borderId="15" xfId="0" applyFont="1" applyBorder="1" applyAlignment="1">
      <alignment horizontal="center" vertical="top"/>
    </xf>
    <xf numFmtId="0" fontId="16" fillId="0" borderId="15" xfId="0" applyFont="1" applyBorder="1" applyAlignment="1">
      <alignment horizontal="center" vertical="center"/>
    </xf>
    <xf numFmtId="49" fontId="16" fillId="0" borderId="15" xfId="0" applyNumberFormat="1" applyFont="1" applyBorder="1" applyAlignment="1">
      <alignment horizontal="center" vertical="center" wrapText="1"/>
    </xf>
    <xf numFmtId="0" fontId="16" fillId="0" borderId="15" xfId="0" applyFont="1" applyBorder="1" applyAlignment="1">
      <alignment horizontal="center" vertical="center" wrapText="1"/>
    </xf>
    <xf numFmtId="0" fontId="161" fillId="0" borderId="0" xfId="0" applyFont="1" applyAlignment="1">
      <alignment horizontal="center" vertical="center"/>
    </xf>
    <xf numFmtId="4" fontId="161" fillId="0" borderId="0" xfId="0" applyNumberFormat="1" applyFont="1" applyAlignment="1">
      <alignment horizontal="center" vertical="center"/>
    </xf>
    <xf numFmtId="0" fontId="40" fillId="0" borderId="0" xfId="0" applyFont="1"/>
    <xf numFmtId="0" fontId="16" fillId="0" borderId="0" xfId="0" applyFont="1" applyAlignment="1">
      <alignment horizontal="right" vertical="center"/>
    </xf>
    <xf numFmtId="4" fontId="16" fillId="0" borderId="0" xfId="0" applyNumberFormat="1" applyFont="1" applyAlignment="1">
      <alignment horizontal="left" vertical="center"/>
    </xf>
    <xf numFmtId="4" fontId="16" fillId="0" borderId="0" xfId="0" applyNumberFormat="1" applyFont="1" applyAlignment="1">
      <alignment horizontal="center" vertical="center"/>
    </xf>
    <xf numFmtId="0" fontId="149" fillId="0" borderId="0" xfId="0" applyFont="1" applyAlignment="1">
      <alignment horizontal="justify" vertical="center"/>
    </xf>
    <xf numFmtId="4" fontId="98" fillId="28" borderId="0" xfId="0" applyNumberFormat="1" applyFont="1" applyFill="1" applyAlignment="1">
      <alignment horizontal="center" vertical="center" wrapText="1"/>
    </xf>
    <xf numFmtId="0" fontId="162" fillId="0" borderId="0" xfId="35" applyFont="1"/>
    <xf numFmtId="0" fontId="163" fillId="0" borderId="0" xfId="35" applyFont="1" applyAlignment="1">
      <alignment horizontal="center" vertical="center" wrapText="1"/>
    </xf>
    <xf numFmtId="0" fontId="12" fillId="0" borderId="0" xfId="0" applyFont="1" applyAlignment="1">
      <alignment horizontal="center" vertical="center"/>
    </xf>
    <xf numFmtId="0" fontId="162" fillId="0" borderId="0" xfId="35" applyFont="1" applyAlignment="1">
      <alignment horizontal="center"/>
    </xf>
    <xf numFmtId="0" fontId="163" fillId="0" borderId="0" xfId="35" applyFont="1" applyAlignment="1">
      <alignment horizontal="right"/>
    </xf>
    <xf numFmtId="0" fontId="148" fillId="0" borderId="0" xfId="35" applyFont="1" applyAlignment="1">
      <alignment horizontal="center"/>
    </xf>
    <xf numFmtId="0" fontId="12" fillId="0" borderId="0" xfId="35" applyAlignment="1">
      <alignment horizontal="right" vertical="center"/>
    </xf>
    <xf numFmtId="0" fontId="164" fillId="0" borderId="15" xfId="35" applyFont="1" applyBorder="1" applyAlignment="1">
      <alignment horizontal="center" vertical="top" wrapText="1"/>
    </xf>
    <xf numFmtId="0" fontId="147" fillId="0" borderId="15" xfId="35" applyFont="1" applyBorder="1" applyAlignment="1">
      <alignment horizontal="center" vertical="center" wrapText="1"/>
    </xf>
    <xf numFmtId="0" fontId="147" fillId="0" borderId="15" xfId="0" applyFont="1" applyBorder="1" applyAlignment="1">
      <alignment horizontal="center" vertical="center"/>
    </xf>
    <xf numFmtId="0" fontId="149" fillId="0" borderId="0" xfId="39" applyFont="1" applyAlignment="1">
      <alignment vertical="center"/>
    </xf>
    <xf numFmtId="0" fontId="0" fillId="0" borderId="0" xfId="0" applyAlignment="1">
      <alignment horizontal="left"/>
    </xf>
    <xf numFmtId="0" fontId="12" fillId="0" borderId="0" xfId="0" applyFont="1" applyAlignment="1">
      <alignment horizontal="right"/>
    </xf>
    <xf numFmtId="0" fontId="169" fillId="0" borderId="24" xfId="0" applyFont="1" applyBorder="1" applyAlignment="1">
      <alignment horizontal="center" vertical="center" wrapText="1"/>
    </xf>
    <xf numFmtId="0" fontId="163" fillId="0" borderId="24" xfId="0" applyFont="1" applyBorder="1" applyAlignment="1">
      <alignment horizontal="center" vertical="top" wrapText="1"/>
    </xf>
    <xf numFmtId="4" fontId="29" fillId="34" borderId="7" xfId="36" applyNumberFormat="1" applyFont="1" applyFill="1" applyBorder="1" applyAlignment="1">
      <alignment horizontal="center" vertical="center" wrapText="1"/>
    </xf>
    <xf numFmtId="4" fontId="98" fillId="29" borderId="14" xfId="0" applyNumberFormat="1" applyFont="1" applyFill="1" applyBorder="1" applyAlignment="1">
      <alignment horizontal="center" vertical="center" wrapText="1"/>
    </xf>
    <xf numFmtId="4" fontId="98" fillId="29" borderId="8" xfId="0" applyNumberFormat="1" applyFont="1" applyFill="1" applyBorder="1" applyAlignment="1">
      <alignment horizontal="center" vertical="center" wrapText="1"/>
    </xf>
    <xf numFmtId="0" fontId="99" fillId="28" borderId="0" xfId="0" applyFont="1" applyFill="1" applyAlignment="1">
      <alignment horizontal="center" vertical="center"/>
    </xf>
    <xf numFmtId="0" fontId="174" fillId="0" borderId="0" xfId="0" applyFont="1" applyAlignment="1">
      <alignment vertical="center"/>
    </xf>
    <xf numFmtId="0" fontId="174" fillId="0" borderId="0" xfId="0" applyFont="1" applyAlignment="1">
      <alignment horizontal="center" vertical="center"/>
    </xf>
    <xf numFmtId="4" fontId="175" fillId="28" borderId="0" xfId="0" applyNumberFormat="1" applyFont="1" applyFill="1" applyAlignment="1">
      <alignment horizontal="left" vertical="center"/>
    </xf>
    <xf numFmtId="0" fontId="30" fillId="0" borderId="16" xfId="38" applyFont="1" applyFill="1" applyBorder="1" applyAlignment="1" applyProtection="1">
      <alignment horizontal="center" wrapText="1"/>
      <protection locked="0"/>
    </xf>
    <xf numFmtId="0" fontId="30" fillId="0" borderId="0" xfId="38" applyFont="1" applyFill="1" applyBorder="1" applyAlignment="1" applyProtection="1">
      <alignment horizontal="center" vertical="top" wrapText="1"/>
      <protection locked="0"/>
    </xf>
    <xf numFmtId="0" fontId="58" fillId="0" borderId="0" xfId="0" applyFont="1" applyAlignment="1">
      <alignment horizontal="center" vertical="center"/>
    </xf>
    <xf numFmtId="0" fontId="39" fillId="0" borderId="0" xfId="36" applyFont="1" applyFill="1" applyAlignment="1">
      <alignment horizontal="center" vertical="center"/>
    </xf>
    <xf numFmtId="0" fontId="39" fillId="28" borderId="0" xfId="36" applyFont="1" applyFill="1" applyAlignment="1">
      <alignment horizontal="center" vertical="top"/>
    </xf>
    <xf numFmtId="0" fontId="38" fillId="0" borderId="0" xfId="36" applyFont="1" applyFill="1" applyAlignment="1">
      <alignment vertical="center"/>
    </xf>
    <xf numFmtId="0" fontId="16" fillId="0" borderId="0" xfId="36" applyFont="1" applyFill="1" applyAlignment="1">
      <alignment horizontal="right" vertical="center"/>
    </xf>
    <xf numFmtId="0" fontId="161" fillId="28" borderId="0" xfId="36" applyFont="1" applyFill="1" applyAlignment="1">
      <alignment horizontal="center" vertical="top"/>
    </xf>
    <xf numFmtId="2" fontId="38" fillId="28" borderId="0" xfId="36" applyNumberFormat="1" applyFont="1" applyFill="1" applyAlignment="1">
      <alignment horizontal="center" vertical="top"/>
    </xf>
    <xf numFmtId="2" fontId="38" fillId="0" borderId="0" xfId="36" applyNumberFormat="1" applyFont="1" applyAlignment="1">
      <alignment horizontal="center" vertical="top"/>
    </xf>
    <xf numFmtId="0" fontId="12" fillId="0" borderId="0" xfId="39"/>
    <xf numFmtId="0" fontId="149" fillId="0" borderId="0" xfId="39" applyFont="1" applyAlignment="1">
      <alignment horizontal="center" vertical="center"/>
    </xf>
    <xf numFmtId="0" fontId="176" fillId="0" borderId="0" xfId="39" applyFont="1" applyAlignment="1">
      <alignment horizontal="center" vertical="center"/>
    </xf>
    <xf numFmtId="0" fontId="163" fillId="0" borderId="0" xfId="39" applyFont="1" applyAlignment="1">
      <alignment vertical="center"/>
    </xf>
    <xf numFmtId="0" fontId="12" fillId="0" borderId="0" xfId="39" applyAlignment="1">
      <alignment horizontal="right" vertical="center"/>
    </xf>
    <xf numFmtId="0" fontId="12" fillId="0" borderId="0" xfId="39" applyAlignment="1">
      <alignment vertical="center" wrapText="1"/>
    </xf>
    <xf numFmtId="0" fontId="147" fillId="0" borderId="24" xfId="39" applyFont="1" applyBorder="1" applyAlignment="1">
      <alignment horizontal="center" vertical="center" wrapText="1"/>
    </xf>
    <xf numFmtId="0" fontId="149" fillId="0" borderId="0" xfId="39" applyFont="1" applyAlignment="1">
      <alignment wrapText="1"/>
    </xf>
    <xf numFmtId="4" fontId="147" fillId="0" borderId="24" xfId="39" applyNumberFormat="1" applyFont="1" applyBorder="1" applyAlignment="1">
      <alignment horizontal="center" vertical="center" wrapText="1"/>
    </xf>
    <xf numFmtId="0" fontId="171" fillId="0" borderId="24" xfId="39" applyFont="1" applyBorder="1" applyAlignment="1">
      <alignment horizontal="center" vertical="center" wrapText="1"/>
    </xf>
    <xf numFmtId="0" fontId="171" fillId="0" borderId="24" xfId="39" applyFont="1" applyBorder="1" applyAlignment="1">
      <alignment vertical="center" wrapText="1"/>
    </xf>
    <xf numFmtId="4" fontId="171" fillId="0" borderId="24" xfId="39" applyNumberFormat="1" applyFont="1" applyBorder="1" applyAlignment="1">
      <alignment horizontal="center" vertical="center" wrapText="1"/>
    </xf>
    <xf numFmtId="0" fontId="12" fillId="0" borderId="24" xfId="37" applyFont="1" applyBorder="1" applyAlignment="1">
      <alignment horizontal="justify" vertical="center" wrapText="1"/>
    </xf>
    <xf numFmtId="0" fontId="147" fillId="0" borderId="24" xfId="37" applyFont="1" applyBorder="1" applyAlignment="1">
      <alignment horizontal="center" vertical="center" wrapText="1"/>
    </xf>
    <xf numFmtId="0" fontId="171" fillId="0" borderId="24" xfId="37" applyFont="1" applyBorder="1" applyAlignment="1">
      <alignment horizontal="justify" vertical="center" wrapText="1"/>
    </xf>
    <xf numFmtId="0" fontId="12" fillId="0" borderId="24" xfId="37" applyFont="1" applyBorder="1" applyAlignment="1">
      <alignment horizontal="left" vertical="center" wrapText="1"/>
    </xf>
    <xf numFmtId="0" fontId="171" fillId="0" borderId="24" xfId="37" applyFont="1" applyBorder="1" applyAlignment="1">
      <alignment horizontal="left" vertical="center" wrapText="1"/>
    </xf>
    <xf numFmtId="0" fontId="147" fillId="0" borderId="24" xfId="37" applyFont="1" applyBorder="1" applyAlignment="1">
      <alignment horizontal="justify" vertical="center" wrapText="1"/>
    </xf>
    <xf numFmtId="0" fontId="12" fillId="0" borderId="24" xfId="37" applyFont="1" applyBorder="1" applyAlignment="1">
      <alignment vertical="center" wrapText="1"/>
    </xf>
    <xf numFmtId="0" fontId="171" fillId="0" borderId="24" xfId="37" applyFont="1" applyBorder="1" applyAlignment="1">
      <alignment vertical="center" wrapText="1"/>
    </xf>
    <xf numFmtId="0" fontId="147" fillId="0" borderId="24" xfId="37" applyFont="1" applyBorder="1" applyAlignment="1">
      <alignment vertical="center" wrapText="1"/>
    </xf>
    <xf numFmtId="0" fontId="12" fillId="0" borderId="24" xfId="0" applyFont="1" applyBorder="1" applyAlignment="1">
      <alignment horizontal="justify" vertical="center"/>
    </xf>
    <xf numFmtId="0" fontId="147" fillId="0" borderId="24" xfId="39" applyFont="1" applyBorder="1" applyAlignment="1">
      <alignment vertical="center" wrapText="1"/>
    </xf>
    <xf numFmtId="0" fontId="170" fillId="0" borderId="24" xfId="39" applyFont="1" applyBorder="1" applyAlignment="1">
      <alignment vertical="center" wrapText="1"/>
    </xf>
    <xf numFmtId="4" fontId="170" fillId="0" borderId="24" xfId="39" applyNumberFormat="1" applyFont="1" applyBorder="1" applyAlignment="1">
      <alignment horizontal="center" vertical="center" wrapText="1"/>
    </xf>
    <xf numFmtId="0" fontId="152" fillId="0" borderId="0" xfId="39" applyFont="1" applyAlignment="1">
      <alignment wrapText="1"/>
    </xf>
    <xf numFmtId="0" fontId="173" fillId="28" borderId="0" xfId="35" applyFont="1" applyFill="1" applyAlignment="1">
      <alignment horizontal="left" vertical="center"/>
    </xf>
    <xf numFmtId="0" fontId="107" fillId="0" borderId="15" xfId="92" applyFont="1" applyBorder="1" applyAlignment="1">
      <alignment horizontal="center" vertical="center" wrapText="1"/>
    </xf>
    <xf numFmtId="4" fontId="180" fillId="27" borderId="15" xfId="0" applyNumberFormat="1" applyFont="1" applyFill="1" applyBorder="1" applyAlignment="1">
      <alignment horizontal="center" vertical="center" wrapText="1"/>
    </xf>
    <xf numFmtId="4" fontId="181" fillId="27" borderId="15" xfId="0" applyNumberFormat="1" applyFont="1" applyFill="1" applyBorder="1" applyAlignment="1">
      <alignment horizontal="center" vertical="center" wrapText="1"/>
    </xf>
    <xf numFmtId="4" fontId="181" fillId="0" borderId="15" xfId="0" applyNumberFormat="1" applyFont="1" applyBorder="1" applyAlignment="1">
      <alignment horizontal="center" vertical="center" wrapText="1"/>
    </xf>
    <xf numFmtId="4" fontId="182" fillId="28" borderId="0" xfId="0" applyNumberFormat="1" applyFont="1" applyFill="1" applyAlignment="1">
      <alignment vertical="center"/>
    </xf>
    <xf numFmtId="10" fontId="183" fillId="28" borderId="0" xfId="0" applyNumberFormat="1" applyFont="1" applyFill="1" applyAlignment="1">
      <alignment vertical="center"/>
    </xf>
    <xf numFmtId="166" fontId="182" fillId="28" borderId="0" xfId="0" applyNumberFormat="1" applyFont="1" applyFill="1" applyAlignment="1">
      <alignment horizontal="right" vertical="center" wrapText="1"/>
    </xf>
    <xf numFmtId="4" fontId="184" fillId="0" borderId="0" xfId="39" applyNumberFormat="1" applyFont="1"/>
    <xf numFmtId="4" fontId="185" fillId="28" borderId="0" xfId="0" applyNumberFormat="1" applyFont="1" applyFill="1"/>
    <xf numFmtId="4" fontId="185" fillId="28" borderId="0" xfId="0" applyNumberFormat="1" applyFont="1" applyFill="1" applyAlignment="1">
      <alignment horizontal="center" vertical="center"/>
    </xf>
    <xf numFmtId="4" fontId="184" fillId="28" borderId="15" xfId="0" applyNumberFormat="1" applyFont="1" applyFill="1" applyBorder="1" applyAlignment="1">
      <alignment horizontal="center" vertical="center"/>
    </xf>
    <xf numFmtId="2" fontId="186" fillId="28" borderId="0" xfId="36" applyNumberFormat="1" applyFont="1" applyFill="1" applyAlignment="1">
      <alignment horizontal="center" vertical="top"/>
    </xf>
    <xf numFmtId="0" fontId="187" fillId="41" borderId="0" xfId="0" applyFont="1" applyFill="1"/>
    <xf numFmtId="4" fontId="187" fillId="41" borderId="0" xfId="0" applyNumberFormat="1" applyFont="1" applyFill="1"/>
    <xf numFmtId="0" fontId="187" fillId="28" borderId="0" xfId="0" applyFont="1" applyFill="1"/>
    <xf numFmtId="4" fontId="188" fillId="28" borderId="15" xfId="35" applyNumberFormat="1" applyFont="1" applyFill="1" applyBorder="1" applyAlignment="1">
      <alignment horizontal="left" vertical="center"/>
    </xf>
    <xf numFmtId="0" fontId="189" fillId="0" borderId="0" xfId="35" applyFont="1" applyAlignment="1">
      <alignment horizontal="center" vertical="center"/>
    </xf>
    <xf numFmtId="4" fontId="99" fillId="29" borderId="0" xfId="0" applyNumberFormat="1" applyFont="1" applyFill="1" applyAlignment="1">
      <alignment horizontal="center" vertical="center" wrapText="1"/>
    </xf>
    <xf numFmtId="0" fontId="70" fillId="43" borderId="0" xfId="0" applyFont="1" applyFill="1"/>
    <xf numFmtId="4" fontId="72" fillId="43" borderId="0" xfId="0" applyNumberFormat="1" applyFont="1" applyFill="1" applyAlignment="1">
      <alignment horizontal="left" vertical="center"/>
    </xf>
    <xf numFmtId="0" fontId="36" fillId="43" borderId="0" xfId="0" applyFont="1" applyFill="1"/>
    <xf numFmtId="0" fontId="174" fillId="0" borderId="0" xfId="0" applyFont="1" applyAlignment="1">
      <alignment horizontal="center" vertical="center" wrapText="1"/>
    </xf>
    <xf numFmtId="4" fontId="107" fillId="0" borderId="15" xfId="36" applyNumberFormat="1" applyFont="1" applyFill="1" applyBorder="1" applyAlignment="1">
      <alignment horizontal="center" vertical="center"/>
    </xf>
    <xf numFmtId="49" fontId="64" fillId="0" borderId="16" xfId="0" applyNumberFormat="1" applyFont="1" applyBorder="1" applyAlignment="1">
      <alignment vertical="center" wrapText="1"/>
    </xf>
    <xf numFmtId="49" fontId="64" fillId="41" borderId="15" xfId="0" applyNumberFormat="1" applyFont="1" applyFill="1" applyBorder="1" applyAlignment="1">
      <alignment horizontal="center" vertical="center" wrapText="1"/>
    </xf>
    <xf numFmtId="49" fontId="64" fillId="41" borderId="16" xfId="0" applyNumberFormat="1" applyFont="1" applyFill="1" applyBorder="1" applyAlignment="1">
      <alignment vertical="center" wrapText="1"/>
    </xf>
    <xf numFmtId="4" fontId="64" fillId="41" borderId="15" xfId="38" applyNumberFormat="1" applyFont="1" applyFill="1" applyBorder="1" applyAlignment="1" applyProtection="1">
      <alignment horizontal="center" vertical="center" wrapText="1"/>
      <protection locked="0"/>
    </xf>
    <xf numFmtId="4" fontId="64" fillId="41" borderId="15" xfId="38" applyNumberFormat="1" applyFont="1" applyFill="1" applyBorder="1" applyAlignment="1">
      <alignment horizontal="center" vertical="center" wrapText="1"/>
    </xf>
    <xf numFmtId="49" fontId="114" fillId="44" borderId="15" xfId="0" applyNumberFormat="1" applyFont="1" applyFill="1" applyBorder="1" applyAlignment="1">
      <alignment horizontal="center" vertical="center" wrapText="1"/>
    </xf>
    <xf numFmtId="0" fontId="114" fillId="44" borderId="15" xfId="38" applyFont="1" applyFill="1" applyBorder="1" applyAlignment="1" applyProtection="1">
      <alignment horizontal="center" vertical="center" wrapText="1"/>
      <protection locked="0"/>
    </xf>
    <xf numFmtId="4" fontId="114" fillId="44" borderId="15" xfId="0" applyNumberFormat="1" applyFont="1" applyFill="1" applyBorder="1" applyAlignment="1">
      <alignment horizontal="center" vertical="center" wrapText="1"/>
    </xf>
    <xf numFmtId="9" fontId="114" fillId="44" borderId="15" xfId="0" applyNumberFormat="1" applyFont="1" applyFill="1" applyBorder="1" applyAlignment="1">
      <alignment horizontal="center" vertical="center" wrapText="1"/>
    </xf>
    <xf numFmtId="49" fontId="110" fillId="45" borderId="15" xfId="0" applyNumberFormat="1" applyFont="1" applyFill="1" applyBorder="1" applyAlignment="1">
      <alignment horizontal="center" vertical="center" wrapText="1"/>
    </xf>
    <xf numFmtId="0" fontId="110" fillId="45" borderId="15" xfId="38" applyFont="1" applyFill="1" applyBorder="1" applyAlignment="1" applyProtection="1">
      <alignment horizontal="center" vertical="center" wrapText="1"/>
      <protection locked="0"/>
    </xf>
    <xf numFmtId="4" fontId="110" fillId="45" borderId="15" xfId="0" applyNumberFormat="1" applyFont="1" applyFill="1" applyBorder="1" applyAlignment="1">
      <alignment horizontal="center" vertical="center" wrapText="1"/>
    </xf>
    <xf numFmtId="9" fontId="110" fillId="45" borderId="15" xfId="0" applyNumberFormat="1" applyFont="1" applyFill="1" applyBorder="1" applyAlignment="1">
      <alignment horizontal="center" vertical="center" wrapText="1"/>
    </xf>
    <xf numFmtId="49" fontId="125" fillId="0" borderId="7" xfId="88" applyNumberFormat="1" applyFont="1" applyBorder="1" applyAlignment="1">
      <alignment horizontal="center" vertical="center" wrapText="1"/>
    </xf>
    <xf numFmtId="4" fontId="67" fillId="0" borderId="20" xfId="30" applyNumberFormat="1" applyFont="1" applyBorder="1" applyAlignment="1">
      <alignment horizontal="center" vertical="center"/>
    </xf>
    <xf numFmtId="4" fontId="156" fillId="0" borderId="15" xfId="30" applyNumberFormat="1" applyFont="1" applyBorder="1" applyAlignment="1">
      <alignment horizontal="center" vertical="center"/>
    </xf>
    <xf numFmtId="9" fontId="156" fillId="0" borderId="15" xfId="30" applyNumberFormat="1" applyFont="1" applyBorder="1" applyAlignment="1">
      <alignment horizontal="center" vertical="center"/>
    </xf>
    <xf numFmtId="49" fontId="64" fillId="35" borderId="15" xfId="0" applyNumberFormat="1" applyFont="1" applyFill="1" applyBorder="1" applyAlignment="1">
      <alignment horizontal="center" vertical="center" wrapText="1"/>
    </xf>
    <xf numFmtId="4" fontId="64" fillId="35" borderId="22" xfId="0" applyNumberFormat="1" applyFont="1" applyFill="1" applyBorder="1" applyAlignment="1">
      <alignment horizontal="center" vertical="center" wrapText="1"/>
    </xf>
    <xf numFmtId="4" fontId="64" fillId="35" borderId="15" xfId="0" applyNumberFormat="1" applyFont="1" applyFill="1" applyBorder="1" applyAlignment="1">
      <alignment horizontal="center" vertical="center" wrapText="1"/>
    </xf>
    <xf numFmtId="49" fontId="89" fillId="0" borderId="16" xfId="0" applyNumberFormat="1" applyFont="1" applyBorder="1" applyAlignment="1">
      <alignment horizontal="center" vertical="center" wrapText="1"/>
    </xf>
    <xf numFmtId="4" fontId="115" fillId="0" borderId="16" xfId="0" applyNumberFormat="1" applyFont="1" applyBorder="1" applyAlignment="1">
      <alignment horizontal="center" vertical="center" wrapText="1"/>
    </xf>
    <xf numFmtId="49" fontId="64" fillId="0" borderId="16" xfId="0" applyNumberFormat="1" applyFont="1" applyBorder="1" applyAlignment="1">
      <alignment horizontal="center" wrapText="1"/>
    </xf>
    <xf numFmtId="49" fontId="64" fillId="0" borderId="0" xfId="0" applyNumberFormat="1" applyFont="1" applyAlignment="1">
      <alignment horizontal="center" vertical="center" wrapText="1"/>
    </xf>
    <xf numFmtId="49" fontId="64" fillId="0" borderId="17" xfId="0" applyNumberFormat="1" applyFont="1" applyBorder="1" applyAlignment="1">
      <alignment horizontal="center" vertical="top" wrapText="1"/>
    </xf>
    <xf numFmtId="0" fontId="112" fillId="0" borderId="24" xfId="0" applyFont="1" applyBorder="1" applyAlignment="1">
      <alignment horizontal="center" vertical="center" wrapText="1"/>
    </xf>
    <xf numFmtId="0" fontId="112" fillId="0" borderId="24" xfId="0" applyFont="1" applyBorder="1" applyAlignment="1">
      <alignment horizontal="left" vertical="center" wrapText="1"/>
    </xf>
    <xf numFmtId="0" fontId="112" fillId="0" borderId="24" xfId="39" applyFont="1" applyBorder="1" applyAlignment="1">
      <alignment horizontal="center" vertical="center" wrapText="1"/>
    </xf>
    <xf numFmtId="0" fontId="112" fillId="0" borderId="24" xfId="39" applyFont="1" applyBorder="1" applyAlignment="1">
      <alignment vertical="center" wrapText="1"/>
    </xf>
    <xf numFmtId="0" fontId="112" fillId="0" borderId="24" xfId="37" applyFont="1" applyBorder="1" applyAlignment="1">
      <alignment horizontal="justify" vertical="center" wrapText="1"/>
    </xf>
    <xf numFmtId="0" fontId="113" fillId="0" borderId="24" xfId="39" applyFont="1" applyBorder="1" applyAlignment="1">
      <alignment vertical="center" wrapText="1"/>
    </xf>
    <xf numFmtId="0" fontId="12" fillId="0" borderId="24" xfId="39" applyBorder="1" applyAlignment="1">
      <alignment horizontal="center" vertical="center" wrapText="1"/>
    </xf>
    <xf numFmtId="0" fontId="12" fillId="0" borderId="24" xfId="39" applyBorder="1" applyAlignment="1">
      <alignment vertical="center" wrapText="1"/>
    </xf>
    <xf numFmtId="4" fontId="12" fillId="0" borderId="24" xfId="39" applyNumberFormat="1" applyBorder="1" applyAlignment="1">
      <alignment horizontal="center" vertical="center" wrapText="1"/>
    </xf>
    <xf numFmtId="0" fontId="147" fillId="46" borderId="24" xfId="39" applyFont="1" applyFill="1" applyBorder="1" applyAlignment="1">
      <alignment horizontal="center" vertical="center" wrapText="1"/>
    </xf>
    <xf numFmtId="4" fontId="147" fillId="46" borderId="24" xfId="39" applyNumberFormat="1" applyFont="1" applyFill="1" applyBorder="1" applyAlignment="1">
      <alignment horizontal="center" vertical="center" wrapText="1"/>
    </xf>
    <xf numFmtId="0" fontId="147" fillId="47" borderId="24" xfId="39" applyFont="1" applyFill="1" applyBorder="1" applyAlignment="1">
      <alignment horizontal="center" vertical="center" wrapText="1"/>
    </xf>
    <xf numFmtId="0" fontId="147" fillId="47" borderId="24" xfId="37" applyFont="1" applyFill="1" applyBorder="1" applyAlignment="1">
      <alignment horizontal="center" vertical="center" wrapText="1"/>
    </xf>
    <xf numFmtId="4" fontId="147" fillId="47" borderId="24" xfId="39" applyNumberFormat="1" applyFont="1" applyFill="1" applyBorder="1" applyAlignment="1">
      <alignment horizontal="center" vertical="center" wrapText="1"/>
    </xf>
    <xf numFmtId="2" fontId="152" fillId="47" borderId="15" xfId="0" applyNumberFormat="1" applyFont="1" applyFill="1" applyBorder="1" applyAlignment="1">
      <alignment horizontal="center" vertical="center"/>
    </xf>
    <xf numFmtId="4" fontId="152" fillId="47" borderId="15" xfId="0" applyNumberFormat="1" applyFont="1" applyFill="1" applyBorder="1" applyAlignment="1">
      <alignment horizontal="center" vertical="center"/>
    </xf>
    <xf numFmtId="49" fontId="151" fillId="48" borderId="15" xfId="0" applyNumberFormat="1" applyFont="1" applyFill="1" applyBorder="1" applyAlignment="1">
      <alignment horizontal="center" vertical="center" wrapText="1"/>
    </xf>
    <xf numFmtId="0" fontId="151" fillId="48" borderId="15" xfId="38" applyFont="1" applyFill="1" applyBorder="1" applyAlignment="1" applyProtection="1">
      <alignment horizontal="center" vertical="center" wrapText="1"/>
      <protection locked="0"/>
    </xf>
    <xf numFmtId="4" fontId="151" fillId="48" borderId="15" xfId="0" applyNumberFormat="1" applyFont="1" applyFill="1" applyBorder="1" applyAlignment="1">
      <alignment horizontal="center" vertical="center" wrapText="1"/>
    </xf>
    <xf numFmtId="4" fontId="151" fillId="48" borderId="15" xfId="38" applyNumberFormat="1" applyFont="1" applyFill="1" applyBorder="1" applyAlignment="1" applyProtection="1">
      <alignment horizontal="center" vertical="center" wrapText="1"/>
      <protection locked="0"/>
    </xf>
    <xf numFmtId="49" fontId="152" fillId="46" borderId="15" xfId="0" applyNumberFormat="1" applyFont="1" applyFill="1" applyBorder="1" applyAlignment="1">
      <alignment horizontal="center" vertical="center" wrapText="1"/>
    </xf>
    <xf numFmtId="0" fontId="152" fillId="46" borderId="15" xfId="38" applyFont="1" applyFill="1" applyBorder="1" applyAlignment="1" applyProtection="1">
      <alignment horizontal="center" vertical="center" wrapText="1"/>
      <protection locked="0"/>
    </xf>
    <xf numFmtId="4" fontId="152" fillId="46" borderId="15" xfId="38" applyNumberFormat="1" applyFont="1" applyFill="1" applyBorder="1" applyAlignment="1" applyProtection="1">
      <alignment horizontal="center" vertical="center" wrapText="1"/>
      <protection locked="0"/>
    </xf>
    <xf numFmtId="2" fontId="161" fillId="47" borderId="15" xfId="0" applyNumberFormat="1" applyFont="1" applyFill="1" applyBorder="1" applyAlignment="1">
      <alignment horizontal="center" vertical="center"/>
    </xf>
    <xf numFmtId="4" fontId="161" fillId="47" borderId="15" xfId="0" applyNumberFormat="1" applyFont="1" applyFill="1" applyBorder="1" applyAlignment="1">
      <alignment horizontal="center" vertical="center"/>
    </xf>
    <xf numFmtId="49" fontId="69" fillId="49" borderId="15" xfId="0" applyNumberFormat="1" applyFont="1" applyFill="1" applyBorder="1" applyAlignment="1">
      <alignment horizontal="center" vertical="center" wrapText="1"/>
    </xf>
    <xf numFmtId="0" fontId="69" fillId="49" borderId="15" xfId="38" applyFont="1" applyFill="1" applyBorder="1" applyAlignment="1" applyProtection="1">
      <alignment horizontal="center" vertical="center" wrapText="1"/>
      <protection locked="0"/>
    </xf>
    <xf numFmtId="4" fontId="69" fillId="49" borderId="15" xfId="0" applyNumberFormat="1" applyFont="1" applyFill="1" applyBorder="1" applyAlignment="1">
      <alignment horizontal="center" vertical="center" wrapText="1"/>
    </xf>
    <xf numFmtId="49" fontId="29" fillId="46" borderId="15" xfId="0" applyNumberFormat="1" applyFont="1" applyFill="1" applyBorder="1" applyAlignment="1">
      <alignment horizontal="center" vertical="center" wrapText="1"/>
    </xf>
    <xf numFmtId="0" fontId="29" fillId="46" borderId="15" xfId="38" applyFont="1" applyFill="1" applyBorder="1" applyAlignment="1" applyProtection="1">
      <alignment horizontal="center" vertical="center" wrapText="1"/>
      <protection locked="0"/>
    </xf>
    <xf numFmtId="4" fontId="29" fillId="46" borderId="15" xfId="38" applyNumberFormat="1" applyFont="1" applyFill="1" applyBorder="1" applyAlignment="1" applyProtection="1">
      <alignment horizontal="center" vertical="center" wrapText="1"/>
      <protection locked="0"/>
    </xf>
    <xf numFmtId="4" fontId="30" fillId="0" borderId="22" xfId="38" applyNumberFormat="1" applyFont="1" applyFill="1" applyBorder="1" applyAlignment="1" applyProtection="1">
      <alignment horizontal="center" vertical="center" wrapText="1"/>
      <protection locked="0"/>
    </xf>
    <xf numFmtId="4" fontId="30" fillId="0" borderId="16" xfId="38" applyNumberFormat="1" applyFont="1" applyFill="1" applyBorder="1" applyAlignment="1">
      <alignment horizontal="center" vertical="center" wrapText="1"/>
    </xf>
    <xf numFmtId="49" fontId="69" fillId="0" borderId="15" xfId="0" applyNumberFormat="1" applyFont="1" applyBorder="1" applyAlignment="1">
      <alignment horizontal="center" vertical="center" wrapText="1"/>
    </xf>
    <xf numFmtId="0" fontId="69" fillId="0" borderId="17" xfId="38" applyFont="1" applyFill="1" applyBorder="1" applyAlignment="1" applyProtection="1">
      <alignment horizontal="center" vertical="center" wrapText="1"/>
      <protection locked="0"/>
    </xf>
    <xf numFmtId="4" fontId="82" fillId="0" borderId="15" xfId="0" applyNumberFormat="1" applyFont="1" applyBorder="1" applyAlignment="1">
      <alignment horizontal="center" vertical="center" wrapText="1"/>
    </xf>
    <xf numFmtId="4" fontId="82" fillId="0" borderId="15" xfId="38" applyNumberFormat="1" applyFont="1" applyFill="1" applyBorder="1" applyAlignment="1" applyProtection="1">
      <alignment horizontal="center" vertical="center" wrapText="1"/>
      <protection locked="0"/>
    </xf>
    <xf numFmtId="0" fontId="29" fillId="0" borderId="15" xfId="38" applyFont="1" applyFill="1" applyBorder="1" applyAlignment="1" applyProtection="1">
      <alignment horizontal="center" vertical="center" wrapText="1"/>
      <protection locked="0"/>
    </xf>
    <xf numFmtId="49" fontId="191" fillId="0" borderId="15" xfId="0" applyNumberFormat="1" applyFont="1" applyBorder="1" applyAlignment="1">
      <alignment horizontal="center" vertical="center" wrapText="1"/>
    </xf>
    <xf numFmtId="4" fontId="86" fillId="0" borderId="15" xfId="0" applyNumberFormat="1" applyFont="1" applyBorder="1" applyAlignment="1">
      <alignment horizontal="center" vertical="center" wrapText="1"/>
    </xf>
    <xf numFmtId="0" fontId="30" fillId="0" borderId="15" xfId="38" applyFont="1" applyFill="1" applyBorder="1" applyAlignment="1" applyProtection="1">
      <alignment horizontal="center" vertical="center" wrapText="1"/>
      <protection locked="0"/>
    </xf>
    <xf numFmtId="49" fontId="149" fillId="0" borderId="15" xfId="0" applyNumberFormat="1" applyFont="1" applyBorder="1" applyAlignment="1">
      <alignment horizontal="center" vertical="center" wrapText="1"/>
    </xf>
    <xf numFmtId="49" fontId="193" fillId="0" borderId="7" xfId="88" applyNumberFormat="1" applyFont="1" applyBorder="1" applyAlignment="1">
      <alignment horizontal="center" vertical="center" wrapText="1"/>
    </xf>
    <xf numFmtId="4" fontId="149" fillId="0" borderId="15" xfId="30" applyNumberFormat="1" applyFont="1" applyBorder="1" applyAlignment="1">
      <alignment horizontal="center" vertical="center"/>
    </xf>
    <xf numFmtId="9" fontId="149" fillId="0" borderId="15" xfId="30" applyNumberFormat="1" applyFont="1" applyBorder="1" applyAlignment="1">
      <alignment horizontal="center" vertical="center"/>
    </xf>
    <xf numFmtId="4" fontId="32" fillId="0" borderId="16" xfId="0" applyNumberFormat="1" applyFont="1" applyBorder="1" applyAlignment="1">
      <alignment horizontal="center" vertical="center"/>
    </xf>
    <xf numFmtId="49" fontId="30" fillId="0" borderId="16" xfId="0" applyNumberFormat="1" applyFont="1" applyBorder="1" applyAlignment="1">
      <alignment vertical="center" wrapText="1"/>
    </xf>
    <xf numFmtId="4" fontId="149" fillId="0" borderId="16" xfId="30" applyNumberFormat="1" applyFont="1" applyBorder="1" applyAlignment="1">
      <alignment horizontal="center" vertical="center"/>
    </xf>
    <xf numFmtId="0" fontId="30" fillId="0" borderId="17" xfId="38" applyFont="1" applyFill="1" applyBorder="1" applyAlignment="1" applyProtection="1">
      <alignment horizontal="center" vertical="top" wrapText="1"/>
      <protection locked="0"/>
    </xf>
    <xf numFmtId="0" fontId="29" fillId="0" borderId="17" xfId="38" applyFont="1" applyFill="1" applyBorder="1" applyAlignment="1" applyProtection="1">
      <alignment horizontal="center" vertical="center" wrapText="1"/>
      <protection locked="0"/>
    </xf>
    <xf numFmtId="4" fontId="86" fillId="0" borderId="15" xfId="38" applyNumberFormat="1" applyFont="1" applyFill="1" applyBorder="1" applyAlignment="1" applyProtection="1">
      <alignment horizontal="center" vertical="center" wrapText="1"/>
      <protection locked="0"/>
    </xf>
    <xf numFmtId="49" fontId="149" fillId="0" borderId="15" xfId="18" applyNumberFormat="1" applyFont="1" applyBorder="1" applyAlignment="1">
      <alignment horizontal="center" vertical="center" wrapText="1"/>
    </xf>
    <xf numFmtId="0" fontId="149" fillId="0" borderId="15" xfId="84" applyFont="1" applyBorder="1" applyAlignment="1">
      <alignment horizontal="center" vertical="center" wrapText="1"/>
    </xf>
    <xf numFmtId="0" fontId="149" fillId="0" borderId="15" xfId="38" applyFont="1" applyFill="1" applyBorder="1" applyAlignment="1" applyProtection="1">
      <alignment horizontal="center" vertical="center" wrapText="1"/>
      <protection locked="0"/>
    </xf>
    <xf numFmtId="0" fontId="149" fillId="0" borderId="15" xfId="92" applyFont="1" applyBorder="1" applyAlignment="1">
      <alignment horizontal="center" vertical="center" wrapText="1"/>
    </xf>
    <xf numFmtId="4" fontId="31" fillId="0" borderId="15" xfId="38" applyNumberFormat="1" applyFont="1" applyFill="1" applyBorder="1" applyAlignment="1">
      <alignment horizontal="center" vertical="center" wrapText="1"/>
    </xf>
    <xf numFmtId="49" fontId="191" fillId="0" borderId="16" xfId="0" applyNumberFormat="1" applyFont="1" applyBorder="1" applyAlignment="1">
      <alignment horizontal="center" vertical="center" wrapText="1"/>
    </xf>
    <xf numFmtId="0" fontId="29" fillId="0" borderId="15" xfId="0" applyFont="1" applyBorder="1" applyAlignment="1">
      <alignment horizontal="center" vertical="center" wrapText="1"/>
    </xf>
    <xf numFmtId="49" fontId="30" fillId="0" borderId="15" xfId="0" applyNumberFormat="1" applyFont="1" applyBorder="1" applyAlignment="1">
      <alignment horizontal="left" vertical="center" wrapText="1"/>
    </xf>
    <xf numFmtId="49" fontId="30" fillId="50" borderId="19" xfId="0" applyNumberFormat="1" applyFont="1" applyFill="1" applyBorder="1" applyAlignment="1">
      <alignment horizontal="center" vertical="center" wrapText="1"/>
    </xf>
    <xf numFmtId="4" fontId="30" fillId="50" borderId="19" xfId="0" applyNumberFormat="1" applyFont="1" applyFill="1" applyBorder="1" applyAlignment="1">
      <alignment horizontal="center" vertical="center" wrapText="1"/>
    </xf>
    <xf numFmtId="49" fontId="30" fillId="50" borderId="19" xfId="0" applyNumberFormat="1" applyFont="1" applyFill="1" applyBorder="1" applyAlignment="1">
      <alignment horizontal="left" vertical="center" wrapText="1"/>
    </xf>
    <xf numFmtId="4" fontId="30" fillId="0" borderId="22" xfId="0" applyNumberFormat="1" applyFont="1" applyBorder="1" applyAlignment="1">
      <alignment horizontal="center" vertical="center" wrapText="1"/>
    </xf>
    <xf numFmtId="4" fontId="29" fillId="0" borderId="22" xfId="0" applyNumberFormat="1" applyFont="1" applyBorder="1" applyAlignment="1">
      <alignment horizontal="center" vertical="center" wrapText="1"/>
    </xf>
    <xf numFmtId="49" fontId="69" fillId="48" borderId="15" xfId="0" applyNumberFormat="1" applyFont="1" applyFill="1" applyBorder="1" applyAlignment="1">
      <alignment horizontal="center" vertical="center" wrapText="1"/>
    </xf>
    <xf numFmtId="0" fontId="69" fillId="48" borderId="15" xfId="38" applyFont="1" applyFill="1" applyBorder="1" applyAlignment="1" applyProtection="1">
      <alignment horizontal="center" vertical="center" wrapText="1"/>
      <protection locked="0"/>
    </xf>
    <xf numFmtId="4" fontId="69" fillId="48" borderId="15" xfId="38" applyNumberFormat="1" applyFont="1" applyFill="1" applyBorder="1" applyAlignment="1" applyProtection="1">
      <alignment horizontal="center" vertical="center" wrapText="1"/>
      <protection locked="0"/>
    </xf>
    <xf numFmtId="4" fontId="69" fillId="48" borderId="15" xfId="0" applyNumberFormat="1" applyFont="1" applyFill="1" applyBorder="1" applyAlignment="1">
      <alignment horizontal="center" vertical="center" wrapText="1"/>
    </xf>
    <xf numFmtId="49" fontId="191" fillId="0" borderId="0" xfId="0" applyNumberFormat="1" applyFont="1" applyAlignment="1">
      <alignment horizontal="center" vertical="center" wrapText="1"/>
    </xf>
    <xf numFmtId="4" fontId="32" fillId="0" borderId="16" xfId="0" applyNumberFormat="1" applyFont="1" applyBorder="1" applyAlignment="1">
      <alignment horizontal="center" vertical="center" wrapText="1"/>
    </xf>
    <xf numFmtId="0" fontId="149" fillId="0" borderId="15" xfId="18" applyFont="1" applyBorder="1" applyAlignment="1">
      <alignment horizontal="center" vertical="center" wrapText="1"/>
    </xf>
    <xf numFmtId="166" fontId="149" fillId="0" borderId="15" xfId="30" applyNumberFormat="1" applyFont="1" applyBorder="1" applyAlignment="1">
      <alignment horizontal="center" vertical="center"/>
    </xf>
    <xf numFmtId="9" fontId="149" fillId="0" borderId="15" xfId="0" applyNumberFormat="1" applyFont="1" applyBorder="1" applyAlignment="1">
      <alignment horizontal="center" vertical="center" wrapText="1"/>
    </xf>
    <xf numFmtId="9" fontId="151" fillId="48" borderId="15" xfId="0" applyNumberFormat="1" applyFont="1" applyFill="1" applyBorder="1" applyAlignment="1">
      <alignment horizontal="center" vertical="center" wrapText="1"/>
    </xf>
    <xf numFmtId="4" fontId="152" fillId="46" borderId="15" xfId="0" applyNumberFormat="1" applyFont="1" applyFill="1" applyBorder="1" applyAlignment="1">
      <alignment horizontal="center" vertical="center" wrapText="1"/>
    </xf>
    <xf numFmtId="9" fontId="152" fillId="46" borderId="15" xfId="0" applyNumberFormat="1" applyFont="1" applyFill="1" applyBorder="1" applyAlignment="1">
      <alignment horizontal="center" vertical="center" wrapText="1"/>
    </xf>
    <xf numFmtId="4" fontId="31" fillId="0" borderId="16" xfId="0" applyNumberFormat="1" applyFont="1" applyBorder="1" applyAlignment="1">
      <alignment horizontal="center" vertical="center" wrapText="1"/>
    </xf>
    <xf numFmtId="0" fontId="149" fillId="0" borderId="15" xfId="100" applyFont="1" applyBorder="1" applyAlignment="1">
      <alignment horizontal="center" vertical="center" wrapText="1"/>
    </xf>
    <xf numFmtId="0" fontId="191" fillId="0" borderId="15" xfId="38" applyFont="1" applyFill="1" applyBorder="1" applyAlignment="1" applyProtection="1">
      <alignment horizontal="center" vertical="center" wrapText="1"/>
      <protection locked="0"/>
    </xf>
    <xf numFmtId="4" fontId="29" fillId="0" borderId="15" xfId="38" applyNumberFormat="1" applyFont="1" applyFill="1" applyBorder="1" applyAlignment="1" applyProtection="1">
      <alignment horizontal="center" vertical="center" wrapText="1"/>
      <protection locked="0"/>
    </xf>
    <xf numFmtId="4" fontId="191" fillId="0" borderId="15" xfId="38" applyNumberFormat="1" applyFont="1" applyFill="1" applyBorder="1" applyAlignment="1" applyProtection="1">
      <alignment horizontal="center" vertical="center" wrapText="1"/>
      <protection locked="0"/>
    </xf>
    <xf numFmtId="49" fontId="191" fillId="0" borderId="15" xfId="0" applyNumberFormat="1" applyFont="1" applyBorder="1" applyAlignment="1">
      <alignment horizontal="center" vertical="center"/>
    </xf>
    <xf numFmtId="49" fontId="30" fillId="0" borderId="15" xfId="0" applyNumberFormat="1" applyFont="1" applyBorder="1" applyAlignment="1">
      <alignment horizontal="center" vertical="center"/>
    </xf>
    <xf numFmtId="4" fontId="69" fillId="0" borderId="15" xfId="38" applyNumberFormat="1" applyFont="1" applyFill="1" applyBorder="1" applyAlignment="1" applyProtection="1">
      <alignment horizontal="center" vertical="center" wrapText="1"/>
      <protection locked="0"/>
    </xf>
    <xf numFmtId="0" fontId="69" fillId="0" borderId="15" xfId="0" applyFont="1" applyBorder="1" applyAlignment="1">
      <alignment horizontal="center" vertical="center" wrapText="1"/>
    </xf>
    <xf numFmtId="49" fontId="152" fillId="0" borderId="15" xfId="0" applyNumberFormat="1" applyFont="1" applyBorder="1" applyAlignment="1">
      <alignment horizontal="center" vertical="center" wrapText="1"/>
    </xf>
    <xf numFmtId="0" fontId="152" fillId="0" borderId="15" xfId="38" applyFont="1" applyFill="1" applyBorder="1" applyAlignment="1" applyProtection="1">
      <alignment horizontal="center" vertical="center" wrapText="1"/>
      <protection locked="0"/>
    </xf>
    <xf numFmtId="4" fontId="152" fillId="0" borderId="15" xfId="0" applyNumberFormat="1" applyFont="1" applyBorder="1" applyAlignment="1">
      <alignment horizontal="center" vertical="center" wrapText="1"/>
    </xf>
    <xf numFmtId="49" fontId="151" fillId="0" borderId="15" xfId="0" applyNumberFormat="1" applyFont="1" applyBorder="1" applyAlignment="1">
      <alignment horizontal="center" vertical="center" wrapText="1"/>
    </xf>
    <xf numFmtId="0" fontId="151" fillId="0" borderId="15" xfId="38" applyFont="1" applyFill="1" applyBorder="1" applyAlignment="1" applyProtection="1">
      <alignment horizontal="center" vertical="center" wrapText="1"/>
      <protection locked="0"/>
    </xf>
    <xf numFmtId="4" fontId="151" fillId="0" borderId="15" xfId="0" applyNumberFormat="1" applyFont="1" applyBorder="1" applyAlignment="1">
      <alignment horizontal="center" vertical="center" wrapText="1"/>
    </xf>
    <xf numFmtId="49" fontId="149" fillId="0" borderId="15" xfId="35" applyNumberFormat="1" applyFont="1" applyBorder="1" applyAlignment="1">
      <alignment horizontal="center" vertical="center" wrapText="1"/>
    </xf>
    <xf numFmtId="49" fontId="194" fillId="0" borderId="15" xfId="0" applyNumberFormat="1" applyFont="1" applyBorder="1" applyAlignment="1">
      <alignment horizontal="center" vertical="center" wrapText="1"/>
    </xf>
    <xf numFmtId="0" fontId="194" fillId="0" borderId="15" xfId="38" applyFont="1" applyFill="1" applyBorder="1" applyAlignment="1" applyProtection="1">
      <alignment horizontal="center" vertical="center" wrapText="1"/>
      <protection locked="0"/>
    </xf>
    <xf numFmtId="4" fontId="194" fillId="0" borderId="15" xfId="0" applyNumberFormat="1" applyFont="1" applyBorder="1" applyAlignment="1">
      <alignment horizontal="center" vertical="center" wrapText="1"/>
    </xf>
    <xf numFmtId="4" fontId="149" fillId="0" borderId="15" xfId="35" applyNumberFormat="1" applyFont="1" applyBorder="1" applyAlignment="1">
      <alignment horizontal="center" vertical="center"/>
    </xf>
    <xf numFmtId="4" fontId="82" fillId="0" borderId="15" xfId="0" applyNumberFormat="1" applyFont="1" applyBorder="1" applyAlignment="1">
      <alignment horizontal="center" vertical="center"/>
    </xf>
    <xf numFmtId="0" fontId="147" fillId="0" borderId="24" xfId="0" applyFont="1" applyBorder="1" applyAlignment="1">
      <alignment horizontal="center" vertical="center" wrapText="1"/>
    </xf>
    <xf numFmtId="0" fontId="147" fillId="0" borderId="24" xfId="0" applyFont="1" applyBorder="1" applyAlignment="1">
      <alignment horizontal="left" vertical="center" wrapText="1"/>
    </xf>
    <xf numFmtId="4" fontId="147" fillId="0" borderId="24" xfId="0" applyNumberFormat="1" applyFont="1" applyBorder="1" applyAlignment="1">
      <alignment horizontal="center" vertical="center" wrapText="1"/>
    </xf>
    <xf numFmtId="0" fontId="171" fillId="0" borderId="24" xfId="0" applyFont="1" applyBorder="1" applyAlignment="1">
      <alignment horizontal="center" vertical="center" wrapText="1"/>
    </xf>
    <xf numFmtId="0" fontId="171" fillId="0" borderId="24" xfId="0" applyFont="1" applyBorder="1" applyAlignment="1">
      <alignment horizontal="left" vertical="center" wrapText="1"/>
    </xf>
    <xf numFmtId="4" fontId="171" fillId="0" borderId="24" xfId="0" applyNumberFormat="1" applyFont="1" applyBorder="1" applyAlignment="1">
      <alignment horizontal="center" vertical="center" wrapText="1"/>
    </xf>
    <xf numFmtId="0" fontId="12" fillId="0" borderId="24" xfId="0" applyFont="1" applyBorder="1" applyAlignment="1">
      <alignment horizontal="center" vertical="center" wrapText="1"/>
    </xf>
    <xf numFmtId="0" fontId="12" fillId="0" borderId="24" xfId="0" applyFont="1" applyBorder="1" applyAlignment="1">
      <alignment horizontal="left" vertical="center" wrapText="1"/>
    </xf>
    <xf numFmtId="4" fontId="12" fillId="0" borderId="24" xfId="0" applyNumberFormat="1" applyFont="1" applyBorder="1" applyAlignment="1">
      <alignment horizontal="center" vertical="center" wrapText="1"/>
    </xf>
    <xf numFmtId="0" fontId="170" fillId="0" borderId="24" xfId="0" applyFont="1" applyBorder="1" applyAlignment="1">
      <alignment horizontal="center" vertical="center" wrapText="1"/>
    </xf>
    <xf numFmtId="0" fontId="170" fillId="0" borderId="24" xfId="0" applyFont="1" applyBorder="1" applyAlignment="1">
      <alignment horizontal="left" vertical="center" wrapText="1"/>
    </xf>
    <xf numFmtId="4" fontId="170" fillId="0" borderId="24" xfId="0" applyNumberFormat="1" applyFont="1" applyBorder="1" applyAlignment="1">
      <alignment horizontal="center" vertical="center" wrapText="1"/>
    </xf>
    <xf numFmtId="4" fontId="147" fillId="0" borderId="24" xfId="0" applyNumberFormat="1" applyFont="1" applyBorder="1" applyAlignment="1">
      <alignment horizontal="left" vertical="center" wrapText="1"/>
    </xf>
    <xf numFmtId="4" fontId="171" fillId="0" borderId="24" xfId="0" applyNumberFormat="1" applyFont="1" applyBorder="1" applyAlignment="1">
      <alignment horizontal="left" vertical="center" wrapText="1"/>
    </xf>
    <xf numFmtId="4" fontId="170" fillId="0" borderId="24" xfId="0" applyNumberFormat="1" applyFont="1" applyBorder="1" applyAlignment="1">
      <alignment horizontal="left" vertical="center" wrapText="1"/>
    </xf>
    <xf numFmtId="0" fontId="171" fillId="28" borderId="24" xfId="0" applyFont="1" applyFill="1" applyBorder="1" applyAlignment="1">
      <alignment horizontal="center" vertical="center" wrapText="1"/>
    </xf>
    <xf numFmtId="0" fontId="171" fillId="28" borderId="24" xfId="0" applyFont="1" applyFill="1" applyBorder="1" applyAlignment="1">
      <alignment horizontal="left" vertical="center" wrapText="1"/>
    </xf>
    <xf numFmtId="4" fontId="171" fillId="28" borderId="24" xfId="0" applyNumberFormat="1" applyFont="1" applyFill="1" applyBorder="1" applyAlignment="1">
      <alignment horizontal="center" vertical="center" wrapText="1"/>
    </xf>
    <xf numFmtId="0" fontId="12" fillId="28" borderId="24" xfId="0" applyFont="1" applyFill="1" applyBorder="1" applyAlignment="1">
      <alignment horizontal="center" vertical="center" wrapText="1"/>
    </xf>
    <xf numFmtId="0" fontId="12" fillId="28" borderId="24" xfId="0" applyFont="1" applyFill="1" applyBorder="1" applyAlignment="1">
      <alignment horizontal="left" vertical="center" wrapText="1"/>
    </xf>
    <xf numFmtId="2" fontId="29" fillId="47" borderId="15" xfId="0" applyNumberFormat="1" applyFont="1" applyFill="1" applyBorder="1" applyAlignment="1">
      <alignment horizontal="center" vertical="center"/>
    </xf>
    <xf numFmtId="4" fontId="31" fillId="47" borderId="15" xfId="0" applyNumberFormat="1" applyFont="1" applyFill="1" applyBorder="1" applyAlignment="1">
      <alignment horizontal="center" vertical="center"/>
    </xf>
    <xf numFmtId="0" fontId="147" fillId="47" borderId="24" xfId="0" applyFont="1" applyFill="1" applyBorder="1" applyAlignment="1">
      <alignment horizontal="center" vertical="center" wrapText="1"/>
    </xf>
    <xf numFmtId="0" fontId="147" fillId="47" borderId="24" xfId="0" applyFont="1" applyFill="1" applyBorder="1" applyAlignment="1">
      <alignment horizontal="left" vertical="center" wrapText="1"/>
    </xf>
    <xf numFmtId="4" fontId="147" fillId="47" borderId="24" xfId="0" applyNumberFormat="1" applyFont="1" applyFill="1" applyBorder="1" applyAlignment="1">
      <alignment horizontal="center" vertical="center" wrapText="1"/>
    </xf>
    <xf numFmtId="4" fontId="149" fillId="42" borderId="15" xfId="0" applyNumberFormat="1" applyFont="1" applyFill="1" applyBorder="1" applyAlignment="1">
      <alignment horizontal="center" vertical="center"/>
    </xf>
    <xf numFmtId="0" fontId="29" fillId="42" borderId="15" xfId="0" applyFont="1" applyFill="1" applyBorder="1" applyAlignment="1">
      <alignment horizontal="left" vertical="center"/>
    </xf>
    <xf numFmtId="0" fontId="29" fillId="42" borderId="15" xfId="0" applyFont="1" applyFill="1" applyBorder="1" applyAlignment="1">
      <alignment horizontal="center" vertical="center"/>
    </xf>
    <xf numFmtId="4" fontId="29" fillId="42" borderId="15" xfId="0" applyNumberFormat="1" applyFont="1" applyFill="1" applyBorder="1" applyAlignment="1">
      <alignment horizontal="center" vertical="center"/>
    </xf>
    <xf numFmtId="2" fontId="16" fillId="0" borderId="15" xfId="36" applyNumberFormat="1" applyFont="1" applyFill="1" applyBorder="1" applyAlignment="1">
      <alignment horizontal="center" vertical="center" wrapText="1"/>
    </xf>
    <xf numFmtId="2" fontId="195" fillId="0" borderId="15" xfId="36" applyNumberFormat="1" applyFont="1" applyFill="1" applyBorder="1" applyAlignment="1">
      <alignment horizontal="center" vertical="center" wrapText="1"/>
    </xf>
    <xf numFmtId="0" fontId="10" fillId="0" borderId="15" xfId="0" applyFont="1" applyBorder="1" applyAlignment="1">
      <alignment horizontal="center"/>
    </xf>
    <xf numFmtId="4" fontId="16" fillId="0" borderId="15" xfId="36" applyNumberFormat="1" applyFont="1" applyFill="1" applyBorder="1" applyAlignment="1">
      <alignment horizontal="center" vertical="center"/>
    </xf>
    <xf numFmtId="164" fontId="39" fillId="47" borderId="15" xfId="0" applyNumberFormat="1" applyFont="1" applyFill="1" applyBorder="1" applyAlignment="1">
      <alignment horizontal="center" vertical="center"/>
    </xf>
    <xf numFmtId="164" fontId="39" fillId="47" borderId="15" xfId="36" applyNumberFormat="1" applyFont="1" applyFill="1" applyBorder="1" applyAlignment="1">
      <alignment horizontal="center" vertical="center" wrapText="1"/>
    </xf>
    <xf numFmtId="4" fontId="64" fillId="43" borderId="15" xfId="0" applyNumberFormat="1" applyFont="1" applyFill="1" applyBorder="1" applyAlignment="1">
      <alignment horizontal="center" vertical="center" wrapText="1"/>
    </xf>
    <xf numFmtId="4" fontId="196" fillId="0" borderId="15" xfId="36" applyNumberFormat="1" applyFont="1" applyFill="1" applyBorder="1" applyAlignment="1">
      <alignment horizontal="center" vertical="center" wrapText="1"/>
    </xf>
    <xf numFmtId="2" fontId="39" fillId="46" borderId="15" xfId="36" applyNumberFormat="1" applyFont="1" applyFill="1" applyBorder="1" applyAlignment="1">
      <alignment horizontal="center" vertical="center" wrapText="1"/>
    </xf>
    <xf numFmtId="4" fontId="16" fillId="0" borderId="15" xfId="36" applyNumberFormat="1" applyFont="1" applyFill="1" applyBorder="1" applyAlignment="1">
      <alignment horizontal="center" vertical="center" wrapText="1"/>
    </xf>
    <xf numFmtId="0" fontId="0" fillId="0" borderId="0" xfId="0" applyAlignment="1">
      <alignment vertical="center"/>
    </xf>
    <xf numFmtId="4" fontId="67" fillId="51" borderId="15" xfId="30" applyNumberFormat="1" applyFont="1" applyFill="1" applyBorder="1" applyAlignment="1">
      <alignment horizontal="center" vertical="center"/>
    </xf>
    <xf numFmtId="4" fontId="149" fillId="0" borderId="15" xfId="0" applyNumberFormat="1" applyFont="1" applyBorder="1" applyAlignment="1">
      <alignment horizontal="center" vertical="center" wrapText="1"/>
    </xf>
    <xf numFmtId="166" fontId="149" fillId="0" borderId="15" xfId="30" applyNumberFormat="1" applyFont="1" applyBorder="1" applyAlignment="1">
      <alignment horizontal="center" vertical="center" wrapText="1"/>
    </xf>
    <xf numFmtId="49" fontId="30" fillId="52" borderId="15" xfId="0" applyNumberFormat="1" applyFont="1" applyFill="1" applyBorder="1" applyAlignment="1">
      <alignment horizontal="center" vertical="center" wrapText="1"/>
    </xf>
    <xf numFmtId="0" fontId="30" fillId="52" borderId="15" xfId="38" applyFont="1" applyFill="1" applyBorder="1" applyAlignment="1" applyProtection="1">
      <alignment horizontal="center" vertical="center" wrapText="1"/>
      <protection locked="0"/>
    </xf>
    <xf numFmtId="49" fontId="29" fillId="52" borderId="15" xfId="0" applyNumberFormat="1" applyFont="1" applyFill="1" applyBorder="1" applyAlignment="1">
      <alignment horizontal="center" vertical="center" wrapText="1"/>
    </xf>
    <xf numFmtId="49" fontId="69" fillId="52" borderId="15" xfId="0" applyNumberFormat="1" applyFont="1" applyFill="1" applyBorder="1" applyAlignment="1">
      <alignment horizontal="center" vertical="center" wrapText="1"/>
    </xf>
    <xf numFmtId="0" fontId="194" fillId="0" borderId="15" xfId="100" applyFont="1" applyBorder="1" applyAlignment="1">
      <alignment horizontal="center" vertical="center" wrapText="1"/>
    </xf>
    <xf numFmtId="4" fontId="194" fillId="0" borderId="15" xfId="30" applyNumberFormat="1" applyFont="1" applyBorder="1" applyAlignment="1">
      <alignment horizontal="center" vertical="center"/>
    </xf>
    <xf numFmtId="9" fontId="194" fillId="0" borderId="15" xfId="30" applyNumberFormat="1" applyFont="1" applyBorder="1" applyAlignment="1">
      <alignment horizontal="center" vertical="center"/>
    </xf>
    <xf numFmtId="4" fontId="181" fillId="0" borderId="0" xfId="0" applyNumberFormat="1" applyFont="1" applyAlignment="1">
      <alignment horizontal="center" vertical="center" wrapText="1"/>
    </xf>
    <xf numFmtId="4" fontId="29" fillId="0" borderId="16" xfId="0" applyNumberFormat="1" applyFont="1" applyBorder="1" applyAlignment="1">
      <alignment horizontal="center" vertical="center" wrapText="1"/>
    </xf>
    <xf numFmtId="49" fontId="30" fillId="41" borderId="15" xfId="0" applyNumberFormat="1" applyFont="1" applyFill="1" applyBorder="1" applyAlignment="1">
      <alignment horizontal="center" vertical="center" wrapText="1"/>
    </xf>
    <xf numFmtId="4" fontId="31" fillId="41" borderId="15" xfId="0" applyNumberFormat="1" applyFont="1" applyFill="1" applyBorder="1" applyAlignment="1">
      <alignment horizontal="center" vertical="center" wrapText="1"/>
    </xf>
    <xf numFmtId="4" fontId="32" fillId="41" borderId="15" xfId="0" applyNumberFormat="1" applyFont="1" applyFill="1" applyBorder="1" applyAlignment="1">
      <alignment horizontal="center" vertical="center" wrapText="1"/>
    </xf>
    <xf numFmtId="4" fontId="32" fillId="41" borderId="15" xfId="0" applyNumberFormat="1" applyFont="1" applyFill="1" applyBorder="1" applyAlignment="1">
      <alignment horizontal="center" vertical="center"/>
    </xf>
    <xf numFmtId="4" fontId="68" fillId="41" borderId="15" xfId="0" applyNumberFormat="1" applyFont="1" applyFill="1" applyBorder="1" applyAlignment="1">
      <alignment horizontal="center" vertical="center" wrapText="1"/>
    </xf>
    <xf numFmtId="4" fontId="65" fillId="41" borderId="15" xfId="0" applyNumberFormat="1" applyFont="1" applyFill="1" applyBorder="1" applyAlignment="1">
      <alignment horizontal="center" vertical="center" wrapText="1"/>
    </xf>
    <xf numFmtId="4" fontId="65" fillId="41" borderId="15" xfId="0" applyNumberFormat="1" applyFont="1" applyFill="1" applyBorder="1" applyAlignment="1">
      <alignment horizontal="center" vertical="center"/>
    </xf>
    <xf numFmtId="0" fontId="30" fillId="41" borderId="15" xfId="38" applyFont="1" applyFill="1" applyBorder="1" applyAlignment="1" applyProtection="1">
      <alignment horizontal="center" vertical="center" wrapText="1"/>
      <protection locked="0"/>
    </xf>
    <xf numFmtId="4" fontId="32" fillId="41" borderId="15" xfId="38" applyNumberFormat="1" applyFont="1" applyFill="1" applyBorder="1" applyAlignment="1" applyProtection="1">
      <alignment horizontal="center" vertical="center" wrapText="1"/>
      <protection locked="0"/>
    </xf>
    <xf numFmtId="49" fontId="29" fillId="41" borderId="15" xfId="0" applyNumberFormat="1" applyFont="1" applyFill="1" applyBorder="1" applyAlignment="1">
      <alignment horizontal="center" vertical="center" wrapText="1"/>
    </xf>
    <xf numFmtId="4" fontId="68" fillId="41" borderId="0" xfId="0" applyNumberFormat="1" applyFont="1" applyFill="1" applyAlignment="1">
      <alignment horizontal="center" vertical="center" wrapText="1"/>
    </xf>
    <xf numFmtId="4" fontId="68" fillId="41" borderId="0" xfId="0" applyNumberFormat="1" applyFont="1" applyFill="1" applyAlignment="1">
      <alignment horizontal="left" vertical="center" wrapText="1"/>
    </xf>
    <xf numFmtId="0" fontId="0" fillId="41" borderId="0" xfId="0" applyFill="1"/>
    <xf numFmtId="4" fontId="31" fillId="41" borderId="15" xfId="38" applyNumberFormat="1" applyFont="1" applyFill="1" applyBorder="1" applyAlignment="1" applyProtection="1">
      <alignment horizontal="center" vertical="center" wrapText="1"/>
      <protection locked="0"/>
    </xf>
    <xf numFmtId="4" fontId="32" fillId="41" borderId="15" xfId="38" applyNumberFormat="1" applyFont="1" applyFill="1" applyBorder="1" applyAlignment="1">
      <alignment horizontal="center" vertical="center" wrapText="1"/>
    </xf>
    <xf numFmtId="0" fontId="30" fillId="0" borderId="16" xfId="38" applyFont="1" applyFill="1" applyBorder="1" applyAlignment="1" applyProtection="1">
      <alignment horizontal="center" vertical="center" wrapText="1"/>
      <protection locked="0"/>
    </xf>
    <xf numFmtId="0" fontId="75" fillId="28" borderId="0" xfId="35" applyFont="1" applyFill="1" applyAlignment="1">
      <alignment horizontal="center" vertical="center"/>
    </xf>
    <xf numFmtId="49" fontId="69" fillId="53" borderId="15" xfId="0" applyNumberFormat="1" applyFont="1" applyFill="1" applyBorder="1" applyAlignment="1">
      <alignment horizontal="center" vertical="center" wrapText="1"/>
    </xf>
    <xf numFmtId="49" fontId="30" fillId="53" borderId="15" xfId="0" applyNumberFormat="1" applyFont="1" applyFill="1" applyBorder="1" applyAlignment="1">
      <alignment horizontal="center" vertical="center" wrapText="1"/>
    </xf>
    <xf numFmtId="49" fontId="29" fillId="53" borderId="15" xfId="0" applyNumberFormat="1" applyFont="1" applyFill="1" applyBorder="1" applyAlignment="1">
      <alignment horizontal="center" vertical="center" wrapText="1"/>
    </xf>
    <xf numFmtId="49" fontId="191" fillId="41" borderId="15" xfId="0" applyNumberFormat="1" applyFont="1" applyFill="1" applyBorder="1" applyAlignment="1">
      <alignment horizontal="center" vertical="center" wrapText="1"/>
    </xf>
    <xf numFmtId="0" fontId="16" fillId="0" borderId="0" xfId="0" applyFont="1" applyAlignment="1">
      <alignment horizontal="center" vertical="center"/>
    </xf>
    <xf numFmtId="0" fontId="10" fillId="0" borderId="0" xfId="0" applyFont="1"/>
    <xf numFmtId="0" fontId="16" fillId="0" borderId="0" xfId="0" applyFont="1" applyAlignment="1">
      <alignment horizontal="center" vertical="center" wrapText="1"/>
    </xf>
    <xf numFmtId="0" fontId="10" fillId="0" borderId="0" xfId="0" applyFont="1" applyAlignment="1">
      <alignment horizontal="center" vertical="center"/>
    </xf>
    <xf numFmtId="0" fontId="176" fillId="0" borderId="0" xfId="39" applyFont="1" applyAlignment="1">
      <alignment horizontal="center" vertical="center"/>
    </xf>
    <xf numFmtId="0" fontId="10" fillId="0" borderId="0" xfId="0" applyFont="1" applyAlignment="1">
      <alignment horizontal="center"/>
    </xf>
    <xf numFmtId="0" fontId="177" fillId="0" borderId="0" xfId="39" applyFont="1" applyAlignment="1">
      <alignment horizontal="center" vertical="center"/>
    </xf>
    <xf numFmtId="0" fontId="58" fillId="0" borderId="0" xfId="0" applyFont="1"/>
    <xf numFmtId="0" fontId="161" fillId="0" borderId="0" xfId="39" applyFont="1" applyAlignment="1">
      <alignment horizontal="center" vertical="center"/>
    </xf>
    <xf numFmtId="0" fontId="40" fillId="0" borderId="0" xfId="0" applyFont="1"/>
    <xf numFmtId="0" fontId="147" fillId="0" borderId="24" xfId="39" applyFont="1" applyBorder="1" applyAlignment="1">
      <alignment horizontal="center" vertical="top" wrapText="1"/>
    </xf>
    <xf numFmtId="0" fontId="147" fillId="0" borderId="0" xfId="0" applyFont="1" applyAlignment="1">
      <alignment horizontal="center"/>
    </xf>
    <xf numFmtId="0" fontId="16" fillId="0" borderId="0" xfId="39" applyFont="1" applyAlignment="1">
      <alignment vertical="center" wrapText="1"/>
    </xf>
    <xf numFmtId="0" fontId="0" fillId="0" borderId="0" xfId="0"/>
    <xf numFmtId="0" fontId="148" fillId="0" borderId="0" xfId="0" applyFont="1" applyAlignment="1">
      <alignment horizontal="center" vertical="center" wrapText="1"/>
    </xf>
    <xf numFmtId="0" fontId="165" fillId="0" borderId="0" xfId="0" applyFont="1" applyAlignment="1">
      <alignment horizontal="center"/>
    </xf>
    <xf numFmtId="0" fontId="166" fillId="0" borderId="0" xfId="0" applyFont="1" applyAlignment="1">
      <alignment horizontal="center"/>
    </xf>
    <xf numFmtId="0" fontId="0" fillId="0" borderId="0" xfId="0" applyAlignment="1">
      <alignment horizontal="center"/>
    </xf>
    <xf numFmtId="0" fontId="167" fillId="0" borderId="0" xfId="0" applyFont="1" applyAlignment="1">
      <alignment horizontal="center" vertical="top"/>
    </xf>
    <xf numFmtId="0" fontId="168" fillId="0" borderId="0" xfId="0" applyFont="1" applyAlignment="1">
      <alignment horizontal="center" vertical="top"/>
    </xf>
    <xf numFmtId="0" fontId="169" fillId="0" borderId="24" xfId="0" applyFont="1" applyBorder="1" applyAlignment="1">
      <alignment horizontal="center" vertical="center" wrapText="1"/>
    </xf>
    <xf numFmtId="0" fontId="0" fillId="0" borderId="24" xfId="0" applyBorder="1" applyAlignment="1">
      <alignment horizontal="center" vertical="center" wrapText="1"/>
    </xf>
    <xf numFmtId="0" fontId="147" fillId="46" borderId="24" xfId="0" applyFont="1" applyFill="1" applyBorder="1" applyAlignment="1">
      <alignment horizontal="left" vertical="center" wrapText="1"/>
    </xf>
    <xf numFmtId="0" fontId="0" fillId="46" borderId="24" xfId="0" applyFill="1" applyBorder="1" applyAlignment="1">
      <alignment wrapText="1"/>
    </xf>
    <xf numFmtId="0" fontId="16" fillId="0" borderId="0" xfId="0" applyFont="1" applyAlignment="1">
      <alignment horizontal="left" vertical="center"/>
    </xf>
    <xf numFmtId="4" fontId="64" fillId="0" borderId="15" xfId="0" applyNumberFormat="1" applyFont="1" applyBorder="1" applyAlignment="1">
      <alignment horizontal="center" vertical="center" wrapText="1"/>
    </xf>
    <xf numFmtId="4" fontId="61" fillId="0" borderId="15" xfId="0" applyNumberFormat="1" applyFont="1" applyBorder="1" applyAlignment="1">
      <alignment horizontal="center" vertical="center" wrapText="1"/>
    </xf>
    <xf numFmtId="4" fontId="32" fillId="0" borderId="16" xfId="0" applyNumberFormat="1" applyFont="1" applyBorder="1" applyAlignment="1">
      <alignment horizontal="center" vertical="center"/>
    </xf>
    <xf numFmtId="4" fontId="32" fillId="0" borderId="17" xfId="0" applyNumberFormat="1" applyFont="1" applyBorder="1" applyAlignment="1">
      <alignment horizontal="center" vertical="center"/>
    </xf>
    <xf numFmtId="4" fontId="31" fillId="0" borderId="16" xfId="0" applyNumberFormat="1" applyFont="1" applyBorder="1" applyAlignment="1">
      <alignment horizontal="center" vertical="center" wrapText="1"/>
    </xf>
    <xf numFmtId="4" fontId="31" fillId="0" borderId="17" xfId="0" applyNumberFormat="1" applyFont="1" applyBorder="1" applyAlignment="1">
      <alignment horizontal="center" vertical="center" wrapText="1"/>
    </xf>
    <xf numFmtId="49" fontId="30" fillId="0" borderId="16" xfId="0" applyNumberFormat="1" applyFont="1" applyBorder="1" applyAlignment="1">
      <alignment horizontal="center" vertical="center" wrapText="1"/>
    </xf>
    <xf numFmtId="49" fontId="30" fillId="0" borderId="17" xfId="0" applyNumberFormat="1" applyFont="1" applyBorder="1" applyAlignment="1">
      <alignment horizontal="center" vertical="center" wrapText="1"/>
    </xf>
    <xf numFmtId="4" fontId="32" fillId="0" borderId="16" xfId="0" applyNumberFormat="1" applyFont="1" applyBorder="1" applyAlignment="1">
      <alignment horizontal="center" vertical="center" wrapText="1"/>
    </xf>
    <xf numFmtId="4" fontId="32" fillId="0" borderId="17" xfId="0" applyNumberFormat="1" applyFont="1" applyBorder="1" applyAlignment="1">
      <alignment horizontal="center" vertical="center" wrapText="1"/>
    </xf>
    <xf numFmtId="4" fontId="68" fillId="0" borderId="15" xfId="0" applyNumberFormat="1" applyFont="1" applyBorder="1" applyAlignment="1">
      <alignment horizontal="center" vertical="center" wrapText="1"/>
    </xf>
    <xf numFmtId="0" fontId="61" fillId="0" borderId="15" xfId="0" applyFont="1" applyBorder="1" applyAlignment="1">
      <alignment horizontal="center" vertical="center" wrapText="1"/>
    </xf>
    <xf numFmtId="49" fontId="64" fillId="0" borderId="16" xfId="0" applyNumberFormat="1" applyFont="1" applyBorder="1" applyAlignment="1">
      <alignment horizontal="center" vertical="center" wrapText="1"/>
    </xf>
    <xf numFmtId="0" fontId="61" fillId="0" borderId="18" xfId="0" applyFont="1" applyBorder="1" applyAlignment="1">
      <alignment horizontal="center" vertical="center" wrapText="1"/>
    </xf>
    <xf numFmtId="0" fontId="61" fillId="0" borderId="17" xfId="0" applyFont="1" applyBorder="1" applyAlignment="1">
      <alignment horizontal="center" vertical="center" wrapText="1"/>
    </xf>
    <xf numFmtId="49" fontId="64" fillId="0" borderId="15" xfId="0" applyNumberFormat="1" applyFont="1" applyBorder="1" applyAlignment="1">
      <alignment horizontal="center" vertical="center" wrapText="1"/>
    </xf>
    <xf numFmtId="0" fontId="71" fillId="0" borderId="15" xfId="0" applyFont="1" applyBorder="1" applyAlignment="1">
      <alignment horizontal="center" vertical="center" wrapText="1"/>
    </xf>
    <xf numFmtId="49" fontId="64" fillId="28" borderId="16" xfId="0" applyNumberFormat="1" applyFont="1" applyFill="1" applyBorder="1" applyAlignment="1">
      <alignment horizontal="center" vertical="center" wrapText="1"/>
    </xf>
    <xf numFmtId="0" fontId="61" fillId="28" borderId="18" xfId="0" applyFont="1" applyFill="1" applyBorder="1" applyAlignment="1">
      <alignment horizontal="center" vertical="center" wrapText="1"/>
    </xf>
    <xf numFmtId="0" fontId="61" fillId="28" borderId="17" xfId="0" applyFont="1" applyFill="1" applyBorder="1" applyAlignment="1">
      <alignment horizontal="center" vertical="center" wrapText="1"/>
    </xf>
    <xf numFmtId="4" fontId="68" fillId="0" borderId="16" xfId="0" applyNumberFormat="1" applyFont="1" applyBorder="1" applyAlignment="1">
      <alignment horizontal="center" vertical="center" wrapText="1"/>
    </xf>
    <xf numFmtId="0" fontId="30" fillId="28" borderId="0" xfId="0" applyFont="1" applyFill="1"/>
    <xf numFmtId="4" fontId="31" fillId="0" borderId="15" xfId="0" applyNumberFormat="1" applyFont="1" applyBorder="1" applyAlignment="1">
      <alignment horizontal="center" vertical="center" wrapText="1"/>
    </xf>
    <xf numFmtId="0" fontId="30" fillId="0" borderId="0" xfId="0" applyFont="1"/>
    <xf numFmtId="4" fontId="32" fillId="0" borderId="15" xfId="0" applyNumberFormat="1" applyFont="1" applyBorder="1" applyAlignment="1">
      <alignment horizontal="center" vertical="center"/>
    </xf>
    <xf numFmtId="4" fontId="29" fillId="0" borderId="15" xfId="0" applyNumberFormat="1" applyFont="1" applyBorder="1" applyAlignment="1">
      <alignment horizontal="center" vertical="center" wrapText="1"/>
    </xf>
    <xf numFmtId="4" fontId="30" fillId="0" borderId="15" xfId="0" applyNumberFormat="1" applyFont="1" applyBorder="1" applyAlignment="1">
      <alignment horizontal="center" vertical="center" wrapText="1"/>
    </xf>
    <xf numFmtId="4" fontId="64"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xf>
    <xf numFmtId="0" fontId="30" fillId="0" borderId="0" xfId="39" applyFont="1" applyAlignment="1">
      <alignment vertical="center" wrapText="1"/>
    </xf>
    <xf numFmtId="0" fontId="33" fillId="0" borderId="0" xfId="0" applyFont="1"/>
    <xf numFmtId="0" fontId="52" fillId="0" borderId="0" xfId="0" applyFont="1" applyAlignment="1">
      <alignment horizontal="left" vertical="center"/>
    </xf>
    <xf numFmtId="0" fontId="53" fillId="0" borderId="0" xfId="0" applyFont="1" applyAlignment="1">
      <alignment horizontal="left" vertical="center"/>
    </xf>
    <xf numFmtId="0" fontId="30" fillId="0" borderId="0" xfId="0" applyFont="1" applyAlignment="1">
      <alignment horizontal="left" vertical="center"/>
    </xf>
    <xf numFmtId="49" fontId="30" fillId="0" borderId="15" xfId="0" applyNumberFormat="1" applyFont="1" applyBorder="1" applyAlignment="1">
      <alignment horizontal="center" vertical="center" wrapText="1"/>
    </xf>
    <xf numFmtId="0" fontId="30"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0" fillId="0" borderId="0" xfId="0" applyFont="1" applyAlignment="1">
      <alignment vertical="center"/>
    </xf>
    <xf numFmtId="0" fontId="29" fillId="0" borderId="0" xfId="0" applyFont="1" applyAlignment="1">
      <alignment horizontal="center" vertical="center"/>
    </xf>
    <xf numFmtId="0" fontId="144" fillId="0" borderId="0" xfId="0" applyFont="1" applyAlignment="1">
      <alignment horizontal="center"/>
    </xf>
    <xf numFmtId="0" fontId="145" fillId="0" borderId="0" xfId="0" applyFont="1" applyAlignment="1">
      <alignment horizontal="center"/>
    </xf>
    <xf numFmtId="0" fontId="29" fillId="0" borderId="15" xfId="0" applyFont="1" applyBorder="1" applyAlignment="1">
      <alignment horizontal="center" vertical="top"/>
    </xf>
    <xf numFmtId="0" fontId="0" fillId="0" borderId="15" xfId="0" applyBorder="1" applyAlignment="1">
      <alignment horizontal="center" vertical="top"/>
    </xf>
    <xf numFmtId="0" fontId="29" fillId="0" borderId="15" xfId="0" applyFont="1" applyBorder="1" applyAlignment="1">
      <alignment horizontal="center" vertical="top" wrapText="1"/>
    </xf>
    <xf numFmtId="0" fontId="30" fillId="0" borderId="0" xfId="0" applyFont="1" applyAlignment="1">
      <alignment horizontal="center" vertical="top"/>
    </xf>
    <xf numFmtId="0" fontId="33" fillId="0" borderId="0" xfId="0" applyFont="1" applyAlignment="1">
      <alignment horizontal="center" vertical="top"/>
    </xf>
    <xf numFmtId="0" fontId="15" fillId="0" borderId="15" xfId="0" applyFont="1" applyBorder="1" applyAlignment="1">
      <alignment horizontal="center" vertical="top"/>
    </xf>
    <xf numFmtId="4" fontId="68" fillId="28" borderId="16" xfId="0" applyNumberFormat="1" applyFont="1" applyFill="1" applyBorder="1" applyAlignment="1">
      <alignment horizontal="center" vertical="center" wrapText="1"/>
    </xf>
    <xf numFmtId="4" fontId="65" fillId="28" borderId="16" xfId="0" applyNumberFormat="1" applyFont="1" applyFill="1" applyBorder="1" applyAlignment="1">
      <alignment horizontal="center" vertical="center" wrapText="1"/>
    </xf>
    <xf numFmtId="4" fontId="60" fillId="0" borderId="15" xfId="0" applyNumberFormat="1" applyFont="1" applyBorder="1" applyAlignment="1">
      <alignment horizontal="center" vertical="center" wrapText="1"/>
    </xf>
    <xf numFmtId="4" fontId="65" fillId="0" borderId="16" xfId="0" applyNumberFormat="1" applyFont="1" applyBorder="1" applyAlignment="1">
      <alignment horizontal="center" vertical="center" wrapText="1"/>
    </xf>
    <xf numFmtId="4" fontId="65" fillId="0" borderId="15" xfId="0" applyNumberFormat="1" applyFont="1" applyBorder="1" applyAlignment="1">
      <alignment horizontal="center" vertical="center"/>
    </xf>
    <xf numFmtId="0" fontId="61" fillId="0" borderId="15" xfId="0" applyFont="1" applyBorder="1" applyAlignment="1">
      <alignment horizontal="center" vertical="center"/>
    </xf>
    <xf numFmtId="4" fontId="62" fillId="0" borderId="15" xfId="0" applyNumberFormat="1" applyFont="1" applyBorder="1" applyAlignment="1">
      <alignment horizontal="center" vertical="center" wrapText="1"/>
    </xf>
    <xf numFmtId="4" fontId="60" fillId="28" borderId="15" xfId="0" applyNumberFormat="1" applyFont="1" applyFill="1" applyBorder="1" applyAlignment="1">
      <alignment horizontal="center" vertical="center" wrapText="1"/>
    </xf>
    <xf numFmtId="49" fontId="64" fillId="28" borderId="15" xfId="0" applyNumberFormat="1" applyFont="1" applyFill="1" applyBorder="1" applyAlignment="1">
      <alignment horizontal="center" vertical="center" wrapText="1"/>
    </xf>
    <xf numFmtId="4" fontId="68" fillId="28" borderId="15" xfId="0" applyNumberFormat="1" applyFont="1" applyFill="1" applyBorder="1" applyAlignment="1">
      <alignment horizontal="center" vertical="center" wrapText="1"/>
    </xf>
    <xf numFmtId="4" fontId="31" fillId="28" borderId="0" xfId="0" applyNumberFormat="1" applyFont="1" applyFill="1" applyAlignment="1">
      <alignment horizontal="left" vertical="center" wrapText="1"/>
    </xf>
    <xf numFmtId="0" fontId="0" fillId="28" borderId="0" xfId="0" applyFill="1"/>
    <xf numFmtId="0" fontId="0" fillId="28" borderId="0" xfId="0" applyFill="1" applyAlignment="1">
      <alignment horizontal="left" vertical="center" wrapText="1"/>
    </xf>
    <xf numFmtId="0" fontId="61" fillId="28" borderId="23" xfId="0" applyFont="1" applyFill="1" applyBorder="1"/>
    <xf numFmtId="0" fontId="90" fillId="0" borderId="0" xfId="0" applyFont="1" applyAlignment="1">
      <alignment horizontal="center" vertical="center"/>
    </xf>
    <xf numFmtId="0" fontId="90" fillId="0" borderId="0" xfId="0" applyFont="1" applyAlignment="1">
      <alignment horizontal="center"/>
    </xf>
    <xf numFmtId="0" fontId="58" fillId="0" borderId="0" xfId="0" applyFont="1" applyAlignment="1">
      <alignment horizontal="center"/>
    </xf>
    <xf numFmtId="0" fontId="12" fillId="0" borderId="0" xfId="0" applyFont="1" applyAlignment="1">
      <alignment horizontal="center" vertical="top"/>
    </xf>
    <xf numFmtId="0" fontId="10" fillId="0" borderId="0" xfId="0" applyFont="1" applyAlignment="1">
      <alignment horizontal="center" vertical="top"/>
    </xf>
    <xf numFmtId="0" fontId="76" fillId="0" borderId="0" xfId="35" applyFont="1"/>
    <xf numFmtId="0" fontId="61" fillId="0" borderId="0" xfId="0" applyFont="1"/>
    <xf numFmtId="0" fontId="147" fillId="0" borderId="15" xfId="35" applyFont="1" applyBorder="1" applyAlignment="1">
      <alignment horizontal="center" vertical="top" wrapText="1"/>
    </xf>
    <xf numFmtId="0" fontId="147" fillId="0" borderId="15" xfId="0" applyFont="1" applyBorder="1" applyAlignment="1">
      <alignment horizontal="center" vertical="top" wrapText="1"/>
    </xf>
    <xf numFmtId="0" fontId="147" fillId="0" borderId="15" xfId="0" applyFont="1" applyBorder="1" applyAlignment="1">
      <alignment horizontal="center" vertical="top"/>
    </xf>
    <xf numFmtId="0" fontId="164" fillId="0" borderId="15" xfId="35" applyFont="1" applyBorder="1" applyAlignment="1">
      <alignment horizontal="center" vertical="top" wrapText="1"/>
    </xf>
    <xf numFmtId="0" fontId="148" fillId="0" borderId="0" xfId="35" applyFont="1" applyAlignment="1">
      <alignment horizontal="center" vertical="center" wrapText="1"/>
    </xf>
    <xf numFmtId="0" fontId="10" fillId="0" borderId="0" xfId="0" applyFont="1" applyAlignment="1">
      <alignment horizontal="center" vertical="center" wrapText="1"/>
    </xf>
    <xf numFmtId="0" fontId="149" fillId="0" borderId="0" xfId="0" applyFont="1" applyAlignment="1">
      <alignment horizontal="justify" vertical="center"/>
    </xf>
    <xf numFmtId="0" fontId="15" fillId="0" borderId="15" xfId="0" applyFont="1" applyBorder="1" applyAlignment="1">
      <alignment horizontal="center" vertical="top" wrapText="1"/>
    </xf>
    <xf numFmtId="0" fontId="67" fillId="0" borderId="0" xfId="0" applyFont="1"/>
    <xf numFmtId="0" fontId="149" fillId="0" borderId="0" xfId="35" applyFont="1" applyAlignment="1">
      <alignment horizontal="center" vertical="center" wrapText="1"/>
    </xf>
    <xf numFmtId="0" fontId="149" fillId="0" borderId="0" xfId="0" applyFont="1"/>
    <xf numFmtId="49" fontId="30" fillId="0" borderId="19" xfId="0" applyNumberFormat="1" applyFont="1" applyBorder="1" applyAlignment="1">
      <alignment horizontal="left" vertical="center" wrapText="1"/>
    </xf>
    <xf numFmtId="0" fontId="0" fillId="0" borderId="22" xfId="0" applyBorder="1" applyAlignment="1">
      <alignment horizontal="left" vertical="center" wrapText="1"/>
    </xf>
    <xf numFmtId="49" fontId="64" fillId="0" borderId="19" xfId="0" applyNumberFormat="1" applyFont="1" applyBorder="1" applyAlignment="1">
      <alignment horizontal="left" vertical="center" wrapText="1"/>
    </xf>
    <xf numFmtId="0" fontId="61" fillId="0" borderId="22" xfId="0" applyFont="1" applyBorder="1" applyAlignment="1">
      <alignment horizontal="left" vertical="center" wrapText="1"/>
    </xf>
    <xf numFmtId="49" fontId="29" fillId="0" borderId="19" xfId="0" applyNumberFormat="1" applyFont="1" applyBorder="1" applyAlignment="1">
      <alignment horizontal="left" vertical="center" wrapText="1"/>
    </xf>
    <xf numFmtId="0" fontId="15" fillId="0" borderId="22" xfId="0" applyFont="1" applyBorder="1" applyAlignment="1">
      <alignment horizontal="left" vertical="center" wrapText="1"/>
    </xf>
    <xf numFmtId="49" fontId="64" fillId="0" borderId="26" xfId="0" applyNumberFormat="1" applyFont="1" applyBorder="1" applyAlignment="1">
      <alignment horizontal="left" wrapText="1"/>
    </xf>
    <xf numFmtId="0" fontId="61" fillId="0" borderId="27" xfId="0" applyFont="1" applyBorder="1" applyAlignment="1">
      <alignment horizontal="left" wrapText="1"/>
    </xf>
    <xf numFmtId="49" fontId="64" fillId="0" borderId="0" xfId="0" applyNumberFormat="1" applyFont="1" applyAlignment="1">
      <alignment horizontal="left" vertical="top" wrapText="1"/>
    </xf>
    <xf numFmtId="0" fontId="61" fillId="0" borderId="0" xfId="0" applyFont="1" applyAlignment="1">
      <alignment horizontal="left" vertical="top" wrapText="1"/>
    </xf>
    <xf numFmtId="49" fontId="29" fillId="0" borderId="22" xfId="0" applyNumberFormat="1" applyFont="1" applyBorder="1" applyAlignment="1">
      <alignment horizontal="left" vertical="center" wrapText="1"/>
    </xf>
    <xf numFmtId="49" fontId="64" fillId="0" borderId="22" xfId="0" applyNumberFormat="1" applyFont="1" applyBorder="1" applyAlignment="1">
      <alignment horizontal="left" vertical="center" wrapText="1"/>
    </xf>
    <xf numFmtId="4" fontId="64" fillId="0" borderId="16" xfId="0" applyNumberFormat="1" applyFont="1" applyBorder="1" applyAlignment="1">
      <alignment horizontal="center" vertical="center" wrapText="1"/>
    </xf>
    <xf numFmtId="49" fontId="30" fillId="0" borderId="0" xfId="0" applyNumberFormat="1" applyFont="1" applyAlignment="1">
      <alignment horizontal="left" vertical="center" wrapText="1"/>
    </xf>
    <xf numFmtId="0" fontId="0" fillId="0" borderId="0" xfId="0" applyAlignment="1">
      <alignment horizontal="left" vertical="center" wrapText="1"/>
    </xf>
    <xf numFmtId="4" fontId="30" fillId="0" borderId="16" xfId="0" applyNumberFormat="1" applyFont="1" applyBorder="1" applyAlignment="1">
      <alignment horizontal="center" vertical="center" wrapText="1"/>
    </xf>
    <xf numFmtId="4" fontId="30" fillId="0" borderId="17" xfId="0" applyNumberFormat="1" applyFont="1" applyBorder="1" applyAlignment="1">
      <alignment horizontal="center" vertical="center" wrapText="1"/>
    </xf>
    <xf numFmtId="0" fontId="64" fillId="27" borderId="0" xfId="0" applyFont="1" applyFill="1" applyAlignment="1">
      <alignment horizontal="center" vertical="center"/>
    </xf>
    <xf numFmtId="0" fontId="64" fillId="27" borderId="0" xfId="0" applyFont="1" applyFill="1" applyAlignment="1">
      <alignment vertical="center"/>
    </xf>
    <xf numFmtId="49" fontId="30" fillId="0" borderId="28" xfId="0" applyNumberFormat="1" applyFont="1" applyBorder="1" applyAlignment="1">
      <alignment horizontal="left" vertical="center" wrapText="1"/>
    </xf>
    <xf numFmtId="0" fontId="0" fillId="0" borderId="28" xfId="0" applyBorder="1" applyAlignment="1">
      <alignment horizontal="left" vertical="center" wrapText="1"/>
    </xf>
    <xf numFmtId="0" fontId="30" fillId="0" borderId="0" xfId="0" applyFont="1" applyAlignment="1">
      <alignment horizontal="justify" vertical="center"/>
    </xf>
    <xf numFmtId="0" fontId="29" fillId="0" borderId="0" xfId="0" applyFont="1" applyAlignment="1">
      <alignment horizontal="left" vertical="center"/>
    </xf>
    <xf numFmtId="0" fontId="0" fillId="0" borderId="0" xfId="0" applyAlignment="1">
      <alignment horizontal="left" vertical="center"/>
    </xf>
    <xf numFmtId="49" fontId="29" fillId="46" borderId="19" xfId="0" applyNumberFormat="1" applyFont="1" applyFill="1" applyBorder="1" applyAlignment="1">
      <alignment horizontal="center" vertical="center" wrapText="1"/>
    </xf>
    <xf numFmtId="0" fontId="15" fillId="46" borderId="21" xfId="0" applyFont="1" applyFill="1" applyBorder="1" applyAlignment="1">
      <alignment horizontal="center" vertical="center" wrapText="1"/>
    </xf>
    <xf numFmtId="0" fontId="15" fillId="46" borderId="22" xfId="0" applyFont="1" applyFill="1" applyBorder="1" applyAlignment="1">
      <alignment horizontal="center" vertical="center" wrapText="1"/>
    </xf>
    <xf numFmtId="0" fontId="29" fillId="0" borderId="19" xfId="0" applyFont="1" applyBorder="1" applyAlignment="1">
      <alignment horizontal="center" vertical="center" wrapText="1"/>
    </xf>
    <xf numFmtId="0" fontId="15" fillId="0" borderId="22" xfId="0" applyFont="1" applyBorder="1" applyAlignment="1">
      <alignment horizontal="center" vertical="center" wrapText="1"/>
    </xf>
    <xf numFmtId="49" fontId="30" fillId="0" borderId="19" xfId="0" applyNumberFormat="1" applyFont="1" applyBorder="1" applyAlignment="1">
      <alignment horizontal="center" vertical="center" wrapText="1"/>
    </xf>
    <xf numFmtId="0" fontId="0" fillId="0" borderId="22" xfId="0" applyBorder="1" applyAlignment="1">
      <alignment horizontal="center" vertical="center" wrapText="1"/>
    </xf>
    <xf numFmtId="49" fontId="60" fillId="0" borderId="19" xfId="0" applyNumberFormat="1" applyFont="1" applyBorder="1" applyAlignment="1">
      <alignment horizontal="left" vertical="center" wrapText="1"/>
    </xf>
    <xf numFmtId="0" fontId="62" fillId="0" borderId="22" xfId="0" applyFont="1" applyBorder="1" applyAlignment="1">
      <alignment horizontal="left" vertical="center" wrapText="1"/>
    </xf>
    <xf numFmtId="49" fontId="64" fillId="27" borderId="19" xfId="0" applyNumberFormat="1" applyFont="1" applyFill="1" applyBorder="1" applyAlignment="1">
      <alignment horizontal="left" vertical="center" wrapText="1"/>
    </xf>
    <xf numFmtId="0" fontId="61" fillId="27" borderId="22" xfId="0" applyFont="1" applyFill="1" applyBorder="1" applyAlignment="1">
      <alignment horizontal="left" vertical="center" wrapText="1"/>
    </xf>
    <xf numFmtId="49" fontId="64" fillId="35" borderId="19" xfId="0" applyNumberFormat="1" applyFont="1" applyFill="1" applyBorder="1" applyAlignment="1">
      <alignment horizontal="left" vertical="center" wrapText="1"/>
    </xf>
    <xf numFmtId="0" fontId="61" fillId="35" borderId="22" xfId="0" applyFont="1" applyFill="1" applyBorder="1" applyAlignment="1">
      <alignment horizontal="left" vertical="center" wrapText="1"/>
    </xf>
    <xf numFmtId="49" fontId="30" fillId="0" borderId="22" xfId="0" applyNumberFormat="1" applyFont="1" applyBorder="1" applyAlignment="1">
      <alignment horizontal="left" vertical="center" wrapText="1"/>
    </xf>
    <xf numFmtId="0" fontId="64" fillId="0" borderId="0" xfId="0" applyFont="1"/>
    <xf numFmtId="49" fontId="30" fillId="50" borderId="19" xfId="0" applyNumberFormat="1" applyFont="1" applyFill="1" applyBorder="1" applyAlignment="1">
      <alignment horizontal="left" vertical="center" wrapText="1"/>
    </xf>
    <xf numFmtId="49" fontId="30" fillId="50" borderId="22" xfId="0" applyNumberFormat="1" applyFont="1" applyFill="1" applyBorder="1" applyAlignment="1">
      <alignment horizontal="left" vertical="center" wrapText="1"/>
    </xf>
    <xf numFmtId="0" fontId="64" fillId="0" borderId="0" xfId="39" applyFont="1" applyAlignment="1">
      <alignment vertical="top" wrapText="1"/>
    </xf>
    <xf numFmtId="0" fontId="61" fillId="0" borderId="0" xfId="0" applyFont="1" applyAlignment="1">
      <alignment vertical="top" wrapText="1"/>
    </xf>
    <xf numFmtId="9" fontId="149" fillId="0" borderId="16" xfId="0" applyNumberFormat="1" applyFont="1" applyBorder="1" applyAlignment="1">
      <alignment horizontal="center" vertical="center" wrapText="1"/>
    </xf>
    <xf numFmtId="9" fontId="149" fillId="0" borderId="17" xfId="0" applyNumberFormat="1" applyFont="1" applyBorder="1" applyAlignment="1">
      <alignment horizontal="center" vertical="center" wrapText="1"/>
    </xf>
    <xf numFmtId="49" fontId="149" fillId="0" borderId="16" xfId="0" applyNumberFormat="1" applyFont="1" applyBorder="1" applyAlignment="1">
      <alignment horizontal="center" vertical="center" wrapText="1"/>
    </xf>
    <xf numFmtId="49" fontId="149" fillId="0" borderId="17" xfId="0" applyNumberFormat="1" applyFont="1" applyBorder="1" applyAlignment="1">
      <alignment horizontal="center" vertical="center" wrapText="1"/>
    </xf>
    <xf numFmtId="0" fontId="107" fillId="0" borderId="0" xfId="35" applyFont="1" applyAlignment="1">
      <alignment horizontal="center" vertical="center"/>
    </xf>
    <xf numFmtId="0" fontId="150" fillId="0" borderId="0" xfId="35" applyFont="1" applyAlignment="1">
      <alignment horizontal="center" vertical="center" wrapText="1"/>
    </xf>
    <xf numFmtId="0" fontId="197" fillId="28" borderId="23" xfId="35" applyFont="1" applyFill="1" applyBorder="1" applyAlignment="1">
      <alignment horizontal="center" vertical="center"/>
    </xf>
    <xf numFmtId="10" fontId="197" fillId="28" borderId="23" xfId="35" applyNumberFormat="1" applyFont="1" applyFill="1" applyBorder="1" applyAlignment="1">
      <alignment horizontal="center" vertical="center"/>
    </xf>
    <xf numFmtId="0" fontId="158" fillId="0" borderId="0" xfId="0" applyFont="1" applyAlignment="1">
      <alignment horizontal="justify"/>
    </xf>
    <xf numFmtId="0" fontId="153" fillId="0" borderId="0" xfId="0" applyFont="1"/>
    <xf numFmtId="0" fontId="155" fillId="0" borderId="0" xfId="0" applyFont="1" applyAlignment="1">
      <alignment horizontal="center" vertical="center"/>
    </xf>
    <xf numFmtId="0" fontId="158" fillId="0" borderId="0" xfId="0" applyFont="1" applyAlignment="1">
      <alignment horizontal="justify" vertical="center"/>
    </xf>
    <xf numFmtId="0" fontId="179" fillId="0" borderId="28" xfId="0" applyFont="1" applyBorder="1" applyAlignment="1">
      <alignment horizontal="center" vertical="center"/>
    </xf>
    <xf numFmtId="166" fontId="149" fillId="0" borderId="16" xfId="30" applyNumberFormat="1" applyFont="1" applyBorder="1" applyAlignment="1">
      <alignment horizontal="center" vertical="center"/>
    </xf>
    <xf numFmtId="166" fontId="149" fillId="0" borderId="17" xfId="30" applyNumberFormat="1" applyFont="1" applyBorder="1" applyAlignment="1">
      <alignment horizontal="center" vertical="center"/>
    </xf>
    <xf numFmtId="4" fontId="149" fillId="0" borderId="16" xfId="30" applyNumberFormat="1" applyFont="1" applyBorder="1" applyAlignment="1">
      <alignment horizontal="center" vertical="center"/>
    </xf>
    <xf numFmtId="4" fontId="149" fillId="0" borderId="17" xfId="30" applyNumberFormat="1" applyFont="1" applyBorder="1" applyAlignment="1">
      <alignment horizontal="center" vertical="center"/>
    </xf>
    <xf numFmtId="4" fontId="149" fillId="0" borderId="16" xfId="0" applyNumberFormat="1" applyFont="1" applyBorder="1" applyAlignment="1">
      <alignment horizontal="center" vertical="center" wrapText="1"/>
    </xf>
    <xf numFmtId="4" fontId="149" fillId="0" borderId="17" xfId="0" applyNumberFormat="1" applyFont="1" applyBorder="1" applyAlignment="1">
      <alignment horizontal="center" vertical="center" wrapText="1"/>
    </xf>
    <xf numFmtId="4" fontId="187" fillId="41" borderId="0" xfId="0" applyNumberFormat="1" applyFont="1" applyFill="1" applyAlignment="1">
      <alignment horizontal="left" vertical="top" wrapText="1"/>
    </xf>
    <xf numFmtId="4" fontId="64" fillId="28" borderId="16" xfId="0" applyNumberFormat="1" applyFont="1" applyFill="1" applyBorder="1" applyAlignment="1">
      <alignment horizontal="center" vertical="center" wrapText="1"/>
    </xf>
    <xf numFmtId="0" fontId="64" fillId="28" borderId="17" xfId="0" applyFont="1" applyFill="1" applyBorder="1" applyAlignment="1">
      <alignment horizontal="center" vertical="center" wrapText="1"/>
    </xf>
    <xf numFmtId="4" fontId="64" fillId="0" borderId="17" xfId="0" applyNumberFormat="1" applyFont="1" applyBorder="1" applyAlignment="1">
      <alignment horizontal="center" vertical="center" wrapText="1"/>
    </xf>
    <xf numFmtId="4" fontId="64" fillId="0" borderId="16" xfId="38" applyNumberFormat="1" applyFont="1" applyFill="1" applyBorder="1" applyAlignment="1" applyProtection="1">
      <alignment horizontal="center" vertical="center" wrapText="1"/>
      <protection locked="0"/>
    </xf>
    <xf numFmtId="4" fontId="64" fillId="0" borderId="16" xfId="38" applyNumberFormat="1" applyFont="1" applyFill="1" applyBorder="1" applyAlignment="1">
      <alignment horizontal="center" vertical="center" wrapText="1"/>
    </xf>
    <xf numFmtId="0" fontId="157" fillId="0" borderId="0" xfId="0" applyFont="1" applyAlignment="1">
      <alignment horizontal="justify"/>
    </xf>
    <xf numFmtId="0" fontId="157" fillId="0" borderId="0" xfId="0" applyFont="1" applyAlignment="1">
      <alignment horizontal="justify" vertical="center"/>
    </xf>
    <xf numFmtId="166" fontId="64" fillId="0" borderId="16" xfId="30" applyNumberFormat="1" applyFont="1" applyBorder="1" applyAlignment="1">
      <alignment horizontal="center" vertical="center" wrapText="1"/>
    </xf>
    <xf numFmtId="0" fontId="71" fillId="0" borderId="17" xfId="0" applyFont="1" applyBorder="1" applyAlignment="1">
      <alignment horizontal="center" vertical="center" wrapText="1"/>
    </xf>
    <xf numFmtId="0" fontId="33" fillId="0" borderId="15" xfId="0" applyFont="1" applyBorder="1" applyAlignment="1">
      <alignment horizontal="center" vertical="center" wrapText="1"/>
    </xf>
    <xf numFmtId="166" fontId="30" fillId="0" borderId="16" xfId="30" applyNumberFormat="1" applyFont="1" applyBorder="1" applyAlignment="1">
      <alignment horizontal="center" vertical="center" wrapText="1"/>
    </xf>
    <xf numFmtId="166" fontId="30" fillId="0" borderId="17" xfId="30" applyNumberFormat="1" applyFont="1" applyBorder="1" applyAlignment="1">
      <alignment horizontal="center" vertical="center" wrapText="1"/>
    </xf>
    <xf numFmtId="4" fontId="80" fillId="29" borderId="23" xfId="0" applyNumberFormat="1" applyFont="1" applyFill="1" applyBorder="1" applyAlignment="1">
      <alignment horizontal="center" vertical="center" wrapText="1"/>
    </xf>
    <xf numFmtId="0" fontId="75" fillId="28" borderId="23" xfId="0" applyFont="1" applyFill="1" applyBorder="1"/>
    <xf numFmtId="0" fontId="30" fillId="0" borderId="15" xfId="0" applyFont="1" applyBorder="1" applyAlignment="1">
      <alignment horizontal="center" vertical="top" wrapText="1"/>
    </xf>
    <xf numFmtId="0" fontId="30" fillId="0" borderId="15" xfId="0" applyFont="1" applyBorder="1" applyAlignment="1">
      <alignment horizontal="center" vertical="top"/>
    </xf>
    <xf numFmtId="4" fontId="99" fillId="29" borderId="23" xfId="0" applyNumberFormat="1" applyFont="1" applyFill="1" applyBorder="1" applyAlignment="1">
      <alignment horizontal="center" vertical="center" wrapText="1"/>
    </xf>
    <xf numFmtId="0" fontId="146" fillId="28" borderId="23" xfId="0" applyFont="1" applyFill="1" applyBorder="1"/>
    <xf numFmtId="0" fontId="33" fillId="0" borderId="17" xfId="0" applyFont="1" applyBorder="1" applyAlignment="1">
      <alignment horizontal="center" vertical="center" wrapText="1"/>
    </xf>
    <xf numFmtId="4" fontId="98" fillId="29" borderId="23" xfId="0" applyNumberFormat="1" applyFont="1" applyFill="1" applyBorder="1" applyAlignment="1">
      <alignment horizontal="center" vertical="center" wrapText="1"/>
    </xf>
    <xf numFmtId="0" fontId="94" fillId="0" borderId="23" xfId="0" applyFont="1" applyBorder="1"/>
    <xf numFmtId="4" fontId="99" fillId="29" borderId="0" xfId="0" applyNumberFormat="1" applyFont="1" applyFill="1" applyAlignment="1">
      <alignment horizontal="center" vertical="center" wrapText="1"/>
    </xf>
    <xf numFmtId="2" fontId="78" fillId="28" borderId="23" xfId="36" applyNumberFormat="1" applyFont="1" applyFill="1" applyBorder="1" applyAlignment="1">
      <alignment horizontal="center" vertical="top"/>
    </xf>
    <xf numFmtId="0" fontId="61" fillId="0" borderId="0" xfId="0" applyFont="1" applyAlignment="1">
      <alignment horizontal="center" vertical="top"/>
    </xf>
    <xf numFmtId="2" fontId="195" fillId="0" borderId="15" xfId="36" applyNumberFormat="1" applyFont="1" applyFill="1" applyBorder="1" applyAlignment="1">
      <alignment horizontal="center" vertical="center" wrapText="1"/>
    </xf>
    <xf numFmtId="0" fontId="10" fillId="0" borderId="15" xfId="0" applyFont="1" applyBorder="1" applyAlignment="1">
      <alignment horizontal="center"/>
    </xf>
    <xf numFmtId="2" fontId="141" fillId="0" borderId="15" xfId="36" applyNumberFormat="1" applyFont="1" applyFill="1" applyBorder="1" applyAlignment="1">
      <alignment horizontal="center" vertical="center" wrapText="1"/>
    </xf>
    <xf numFmtId="0" fontId="61" fillId="0" borderId="15" xfId="0" applyFont="1" applyBorder="1" applyAlignment="1">
      <alignment horizontal="center"/>
    </xf>
    <xf numFmtId="0" fontId="39" fillId="0" borderId="0" xfId="0" applyFont="1" applyAlignment="1">
      <alignment horizontal="center" vertical="center"/>
    </xf>
    <xf numFmtId="0" fontId="39" fillId="0" borderId="0" xfId="36" applyFont="1" applyAlignment="1">
      <alignment horizontal="center" vertical="center"/>
    </xf>
    <xf numFmtId="0" fontId="10" fillId="0" borderId="0" xfId="0" applyFont="1" applyAlignment="1">
      <alignment vertical="center"/>
    </xf>
    <xf numFmtId="0" fontId="78" fillId="0" borderId="0" xfId="36" applyFont="1">
      <alignment vertical="top"/>
    </xf>
    <xf numFmtId="0" fontId="107" fillId="0" borderId="0" xfId="36" applyFont="1" applyAlignment="1">
      <alignment horizontal="center" vertical="center" wrapText="1"/>
    </xf>
    <xf numFmtId="0" fontId="132" fillId="0" borderId="0" xfId="36" applyFont="1" applyAlignment="1">
      <alignment horizontal="left" vertical="top" wrapText="1"/>
    </xf>
    <xf numFmtId="2" fontId="66" fillId="0" borderId="15" xfId="36" applyNumberFormat="1" applyFont="1" applyFill="1" applyBorder="1" applyAlignment="1">
      <alignment horizontal="center" vertical="center" wrapText="1"/>
    </xf>
    <xf numFmtId="2" fontId="39" fillId="0" borderId="15" xfId="36" applyNumberFormat="1" applyFont="1" applyFill="1" applyBorder="1" applyAlignment="1">
      <alignment horizontal="center" vertical="center" wrapText="1"/>
    </xf>
    <xf numFmtId="164" fontId="39" fillId="47" borderId="15" xfId="36" applyNumberFormat="1" applyFont="1" applyFill="1" applyBorder="1" applyAlignment="1">
      <alignment horizontal="left" vertical="center" wrapText="1"/>
    </xf>
    <xf numFmtId="164" fontId="0" fillId="47" borderId="15" xfId="0" applyNumberFormat="1" applyFill="1" applyBorder="1" applyAlignment="1">
      <alignment horizontal="left"/>
    </xf>
    <xf numFmtId="2" fontId="195" fillId="0" borderId="0" xfId="36" applyNumberFormat="1" applyFont="1" applyFill="1" applyBorder="1" applyAlignment="1">
      <alignment horizontal="center" vertical="center" wrapText="1"/>
    </xf>
    <xf numFmtId="0" fontId="40" fillId="0" borderId="0" xfId="0" applyFont="1" applyAlignment="1">
      <alignment horizontal="center" vertical="center"/>
    </xf>
    <xf numFmtId="2" fontId="39" fillId="46" borderId="15" xfId="36" applyNumberFormat="1" applyFont="1" applyFill="1" applyBorder="1" applyAlignment="1">
      <alignment horizontal="center" vertical="center"/>
    </xf>
    <xf numFmtId="0" fontId="10" fillId="46" borderId="15" xfId="0" applyFont="1" applyFill="1" applyBorder="1" applyAlignment="1">
      <alignment horizontal="center"/>
    </xf>
    <xf numFmtId="0" fontId="40" fillId="0" borderId="0" xfId="0" applyFont="1" applyAlignment="1">
      <alignment horizontal="left" vertical="center"/>
    </xf>
    <xf numFmtId="0" fontId="39" fillId="0" borderId="0" xfId="36" applyFont="1" applyAlignment="1">
      <alignment horizontal="center"/>
    </xf>
    <xf numFmtId="0" fontId="39" fillId="0" borderId="0" xfId="0" applyFont="1" applyAlignment="1">
      <alignment horizontal="center"/>
    </xf>
    <xf numFmtId="0" fontId="39" fillId="0" borderId="0" xfId="36" applyFont="1" applyAlignment="1">
      <alignment horizontal="center" vertical="top"/>
    </xf>
    <xf numFmtId="0" fontId="10" fillId="0" borderId="0" xfId="0" applyFont="1" applyAlignment="1">
      <alignment vertical="top"/>
    </xf>
    <xf numFmtId="0" fontId="0" fillId="0" borderId="0" xfId="0" applyAlignment="1">
      <alignment horizontal="center" vertical="top"/>
    </xf>
    <xf numFmtId="0" fontId="16" fillId="0" borderId="0" xfId="0" applyFont="1" applyAlignment="1">
      <alignment horizontal="right" vertical="center"/>
    </xf>
    <xf numFmtId="0" fontId="12" fillId="0" borderId="0" xfId="0" applyFont="1" applyAlignment="1">
      <alignment horizontal="left" vertical="center"/>
    </xf>
    <xf numFmtId="0" fontId="161" fillId="0" borderId="0" xfId="0" applyFont="1" applyAlignment="1">
      <alignment horizontal="center"/>
    </xf>
    <xf numFmtId="0" fontId="16" fillId="0" borderId="0" xfId="0" applyFont="1" applyAlignment="1">
      <alignment horizontal="justify" vertical="center" wrapText="1"/>
    </xf>
    <xf numFmtId="0" fontId="16" fillId="0" borderId="0" xfId="0" applyFont="1" applyAlignment="1">
      <alignment horizontal="left" vertical="center" wrapText="1"/>
    </xf>
    <xf numFmtId="0" fontId="30" fillId="0" borderId="0" xfId="39" applyFont="1" applyAlignment="1">
      <alignment horizontal="left" vertical="center" wrapText="1"/>
    </xf>
    <xf numFmtId="0" fontId="149" fillId="0" borderId="0" xfId="39" applyFont="1" applyAlignment="1">
      <alignment horizontal="left" wrapText="1"/>
    </xf>
    <xf numFmtId="0" fontId="149" fillId="0" borderId="0" xfId="39" applyFont="1" applyAlignment="1">
      <alignment horizontal="left" vertical="center" wrapText="1"/>
    </xf>
    <xf numFmtId="0" fontId="149" fillId="0" borderId="0" xfId="39" applyFont="1" applyAlignment="1">
      <alignment horizontal="left" vertical="center"/>
    </xf>
    <xf numFmtId="0" fontId="30" fillId="0" borderId="0" xfId="39" applyFont="1" applyAlignment="1">
      <alignment horizontal="left" wrapText="1"/>
    </xf>
    <xf numFmtId="0" fontId="30" fillId="0" borderId="0" xfId="39" applyFont="1" applyAlignment="1">
      <alignment horizontal="left"/>
    </xf>
    <xf numFmtId="0" fontId="30" fillId="0" borderId="0" xfId="39" applyFont="1" applyAlignment="1">
      <alignment horizontal="left" vertical="center"/>
    </xf>
    <xf numFmtId="0" fontId="149" fillId="0" borderId="0" xfId="39" applyFont="1" applyAlignment="1">
      <alignment horizontal="left"/>
    </xf>
    <xf numFmtId="0" fontId="30" fillId="0" borderId="0" xfId="39" applyFont="1" applyAlignment="1">
      <alignment horizontal="left" vertical="center" wrapText="1"/>
    </xf>
    <xf numFmtId="0" fontId="30" fillId="0" borderId="0" xfId="39" applyFont="1" applyAlignment="1">
      <alignment horizontal="left" vertical="center"/>
    </xf>
    <xf numFmtId="0" fontId="149" fillId="0" borderId="0" xfId="39" applyFont="1" applyAlignment="1">
      <alignment vertical="center" wrapText="1"/>
    </xf>
  </cellXfs>
  <cellStyles count="191">
    <cellStyle name="20% - Акцент1" xfId="46" xr:uid="{00000000-0005-0000-0000-000000000000}"/>
    <cellStyle name="20% - Акцент2" xfId="47" xr:uid="{00000000-0005-0000-0000-000001000000}"/>
    <cellStyle name="20% - Акцент3" xfId="48" xr:uid="{00000000-0005-0000-0000-000002000000}"/>
    <cellStyle name="20% - Акцент4" xfId="49" xr:uid="{00000000-0005-0000-0000-000003000000}"/>
    <cellStyle name="20% - Акцент5" xfId="50" xr:uid="{00000000-0005-0000-0000-000004000000}"/>
    <cellStyle name="20% - Акцент6" xfId="51" xr:uid="{00000000-0005-0000-0000-000005000000}"/>
    <cellStyle name="40% - Акцент1" xfId="52" xr:uid="{00000000-0005-0000-0000-000006000000}"/>
    <cellStyle name="40% - Акцент2" xfId="53" xr:uid="{00000000-0005-0000-0000-000007000000}"/>
    <cellStyle name="40% - Акцент3" xfId="54" xr:uid="{00000000-0005-0000-0000-000008000000}"/>
    <cellStyle name="40% - Акцент4" xfId="55" xr:uid="{00000000-0005-0000-0000-000009000000}"/>
    <cellStyle name="40% - Акцент5" xfId="56" xr:uid="{00000000-0005-0000-0000-00000A000000}"/>
    <cellStyle name="40% - Акцент6" xfId="57" xr:uid="{00000000-0005-0000-0000-00000B000000}"/>
    <cellStyle name="60% - Акцент1" xfId="58" xr:uid="{00000000-0005-0000-0000-00000C000000}"/>
    <cellStyle name="60% - Акцент2" xfId="59" xr:uid="{00000000-0005-0000-0000-00000D000000}"/>
    <cellStyle name="60% - Акцент3" xfId="60" xr:uid="{00000000-0005-0000-0000-00000E000000}"/>
    <cellStyle name="60% - Акцент4" xfId="61" xr:uid="{00000000-0005-0000-0000-00000F000000}"/>
    <cellStyle name="60% - Акцент5" xfId="62" xr:uid="{00000000-0005-0000-0000-000010000000}"/>
    <cellStyle name="60% - Акцент6" xfId="63" xr:uid="{00000000-0005-0000-0000-000011000000}"/>
    <cellStyle name="Excel Built-in Normal" xfId="102" xr:uid="{00000000-0005-0000-0000-000012000000}"/>
    <cellStyle name="Excel Built-in Normal 2" xfId="118" xr:uid="{00000000-0005-0000-0000-000013000000}"/>
    <cellStyle name="Excel Built-in Обычный_УКБ до бюджету 2016р ост" xfId="84" xr:uid="{00000000-0005-0000-0000-000014000000}"/>
    <cellStyle name="Normal_meresha_07" xfId="1" xr:uid="{00000000-0005-0000-0000-000015000000}"/>
    <cellStyle name="TableStyleLight1" xfId="131" xr:uid="{00000000-0005-0000-0000-000016000000}"/>
    <cellStyle name="TableStyleLight1 2" xfId="173" xr:uid="{00000000-0005-0000-0000-000017000000}"/>
    <cellStyle name="Акцент1" xfId="64" xr:uid="{00000000-0005-0000-0000-000018000000}"/>
    <cellStyle name="Акцент2" xfId="65" xr:uid="{00000000-0005-0000-0000-000019000000}"/>
    <cellStyle name="Акцент3" xfId="66" xr:uid="{00000000-0005-0000-0000-00001A000000}"/>
    <cellStyle name="Акцент4" xfId="67" xr:uid="{00000000-0005-0000-0000-00001B000000}"/>
    <cellStyle name="Акцент5" xfId="68" xr:uid="{00000000-0005-0000-0000-00001C000000}"/>
    <cellStyle name="Акцент6" xfId="69" xr:uid="{00000000-0005-0000-0000-00001D000000}"/>
    <cellStyle name="Ввід" xfId="2" xr:uid="{00000000-0005-0000-0000-00001E000000}"/>
    <cellStyle name="Ввід 2" xfId="180" xr:uid="{00000000-0005-0000-0000-00001F000000}"/>
    <cellStyle name="Ввід 3" xfId="103" xr:uid="{00000000-0005-0000-0000-000020000000}"/>
    <cellStyle name="Ввод " xfId="70" xr:uid="{00000000-0005-0000-0000-000021000000}"/>
    <cellStyle name="Вывод" xfId="71" xr:uid="{00000000-0005-0000-0000-000022000000}"/>
    <cellStyle name="Вычисление" xfId="72" xr:uid="{00000000-0005-0000-0000-000023000000}"/>
    <cellStyle name="Гіперпосилання 2" xfId="73" xr:uid="{00000000-0005-0000-0000-000024000000}"/>
    <cellStyle name="Добре" xfId="3" xr:uid="{00000000-0005-0000-0000-000025000000}"/>
    <cellStyle name="Заголовок 1" xfId="4" builtinId="16" customBuiltin="1"/>
    <cellStyle name="Заголовок 1 2" xfId="104" xr:uid="{00000000-0005-0000-0000-000027000000}"/>
    <cellStyle name="Заголовок 2" xfId="5" builtinId="17" customBuiltin="1"/>
    <cellStyle name="Заголовок 2 2" xfId="105" xr:uid="{00000000-0005-0000-0000-000029000000}"/>
    <cellStyle name="Заголовок 3" xfId="6" builtinId="18" customBuiltin="1"/>
    <cellStyle name="Заголовок 3 2" xfId="106" xr:uid="{00000000-0005-0000-0000-00002B000000}"/>
    <cellStyle name="Заголовок 4" xfId="7" builtinId="19" customBuiltin="1"/>
    <cellStyle name="Заголовок 4 2" xfId="107" xr:uid="{00000000-0005-0000-0000-00002D000000}"/>
    <cellStyle name="Звичайний" xfId="0" builtinId="0"/>
    <cellStyle name="Звичайний 10" xfId="8" xr:uid="{00000000-0005-0000-0000-00002F000000}"/>
    <cellStyle name="Звичайний 11" xfId="9" xr:uid="{00000000-0005-0000-0000-000030000000}"/>
    <cellStyle name="Звичайний 12" xfId="10" xr:uid="{00000000-0005-0000-0000-000031000000}"/>
    <cellStyle name="Звичайний 13" xfId="11" xr:uid="{00000000-0005-0000-0000-000032000000}"/>
    <cellStyle name="Звичайний 14" xfId="12" xr:uid="{00000000-0005-0000-0000-000033000000}"/>
    <cellStyle name="Звичайний 15" xfId="13" xr:uid="{00000000-0005-0000-0000-000034000000}"/>
    <cellStyle name="Звичайний 16" xfId="14" xr:uid="{00000000-0005-0000-0000-000035000000}"/>
    <cellStyle name="Звичайний 17" xfId="15" xr:uid="{00000000-0005-0000-0000-000036000000}"/>
    <cellStyle name="Звичайний 18" xfId="16" xr:uid="{00000000-0005-0000-0000-000037000000}"/>
    <cellStyle name="Звичайний 19" xfId="17" xr:uid="{00000000-0005-0000-0000-000038000000}"/>
    <cellStyle name="Звичайний 2" xfId="18" xr:uid="{00000000-0005-0000-0000-000039000000}"/>
    <cellStyle name="Звичайний 2 2" xfId="19" xr:uid="{00000000-0005-0000-0000-00003A000000}"/>
    <cellStyle name="Звичайний 2 2 2" xfId="88" xr:uid="{00000000-0005-0000-0000-00003B000000}"/>
    <cellStyle name="Звичайний 2 3" xfId="94" xr:uid="{00000000-0005-0000-0000-00003C000000}"/>
    <cellStyle name="Звичайний 20" xfId="20" xr:uid="{00000000-0005-0000-0000-00003D000000}"/>
    <cellStyle name="Звичайний 21" xfId="86" xr:uid="{00000000-0005-0000-0000-00003E000000}"/>
    <cellStyle name="Звичайний 21 2" xfId="93" xr:uid="{00000000-0005-0000-0000-00003F000000}"/>
    <cellStyle name="Звичайний 21 2 2" xfId="96" xr:uid="{00000000-0005-0000-0000-000040000000}"/>
    <cellStyle name="Звичайний 21 2 2 2" xfId="181" xr:uid="{00000000-0005-0000-0000-000041000000}"/>
    <cellStyle name="Звичайний 21 2 3" xfId="98" xr:uid="{00000000-0005-0000-0000-000042000000}"/>
    <cellStyle name="Звичайний 21 2 3 2" xfId="100" xr:uid="{00000000-0005-0000-0000-000043000000}"/>
    <cellStyle name="Звичайний 21 2 3 2 2" xfId="182" xr:uid="{00000000-0005-0000-0000-000044000000}"/>
    <cellStyle name="Звичайний 21 2 3 2 3" xfId="178" xr:uid="{00000000-0005-0000-0000-000045000000}"/>
    <cellStyle name="Звичайний 21 2 3 2 3 2 2 2" xfId="190" xr:uid="{00000000-0005-0000-0000-000046000000}"/>
    <cellStyle name="Звичайний 21 2 4" xfId="160" xr:uid="{00000000-0005-0000-0000-000047000000}"/>
    <cellStyle name="Звичайний 21 3" xfId="113" xr:uid="{00000000-0005-0000-0000-000048000000}"/>
    <cellStyle name="Звичайний 22" xfId="114" xr:uid="{00000000-0005-0000-0000-000049000000}"/>
    <cellStyle name="Звичайний 22 2" xfId="140" xr:uid="{00000000-0005-0000-0000-00004A000000}"/>
    <cellStyle name="Звичайний 23" xfId="115" xr:uid="{00000000-0005-0000-0000-00004B000000}"/>
    <cellStyle name="Звичайний 23 2" xfId="141" xr:uid="{00000000-0005-0000-0000-00004C000000}"/>
    <cellStyle name="Звичайний 24" xfId="116" xr:uid="{00000000-0005-0000-0000-00004D000000}"/>
    <cellStyle name="Звичайний 24 2" xfId="142" xr:uid="{00000000-0005-0000-0000-00004E000000}"/>
    <cellStyle name="Звичайний 25" xfId="117" xr:uid="{00000000-0005-0000-0000-00004F000000}"/>
    <cellStyle name="Звичайний 26" xfId="127" xr:uid="{00000000-0005-0000-0000-000050000000}"/>
    <cellStyle name="Звичайний 27" xfId="132" xr:uid="{00000000-0005-0000-0000-000051000000}"/>
    <cellStyle name="Звичайний 27 2" xfId="145" xr:uid="{00000000-0005-0000-0000-000052000000}"/>
    <cellStyle name="Звичайний 27 2 3" xfId="151" xr:uid="{00000000-0005-0000-0000-000053000000}"/>
    <cellStyle name="Звичайний 27 2 3 2" xfId="152" xr:uid="{00000000-0005-0000-0000-000054000000}"/>
    <cellStyle name="Звичайний 27 2 3 2 2" xfId="162" xr:uid="{00000000-0005-0000-0000-000055000000}"/>
    <cellStyle name="Звичайний 27 2 3 2 2 2" xfId="177" xr:uid="{00000000-0005-0000-0000-000056000000}"/>
    <cellStyle name="Звичайний 27 3" xfId="129" xr:uid="{00000000-0005-0000-0000-000057000000}"/>
    <cellStyle name="Звичайний 27 3 2" xfId="87" xr:uid="{00000000-0005-0000-0000-000058000000}"/>
    <cellStyle name="Звичайний 27 3 2 2" xfId="144" xr:uid="{00000000-0005-0000-0000-000059000000}"/>
    <cellStyle name="Звичайний 27 3 2 3" xfId="156" xr:uid="{00000000-0005-0000-0000-00005A000000}"/>
    <cellStyle name="Звичайний 27 3 2 4" xfId="165" xr:uid="{00000000-0005-0000-0000-00005B000000}"/>
    <cellStyle name="Звичайний 27 3 2 4 2" xfId="170" xr:uid="{00000000-0005-0000-0000-00005C000000}"/>
    <cellStyle name="Звичайний 27 3 2 5" xfId="130" xr:uid="{00000000-0005-0000-0000-00005D000000}"/>
    <cellStyle name="Звичайний 27 3 3" xfId="143" xr:uid="{00000000-0005-0000-0000-00005E000000}"/>
    <cellStyle name="Звичайний 27 3 3 2" xfId="135" xr:uid="{00000000-0005-0000-0000-00005F000000}"/>
    <cellStyle name="Звичайний 27 3 3 2 2" xfId="147" xr:uid="{00000000-0005-0000-0000-000060000000}"/>
    <cellStyle name="Звичайний 27 3 3 2 3" xfId="155" xr:uid="{00000000-0005-0000-0000-000061000000}"/>
    <cellStyle name="Звичайний 27 4 2" xfId="164" xr:uid="{00000000-0005-0000-0000-000062000000}"/>
    <cellStyle name="Звичайний 27 4 2 2" xfId="169" xr:uid="{00000000-0005-0000-0000-000063000000}"/>
    <cellStyle name="Звичайний 27 4 2 2 2" xfId="175" xr:uid="{00000000-0005-0000-0000-000064000000}"/>
    <cellStyle name="Звичайний 27 5" xfId="163" xr:uid="{00000000-0005-0000-0000-000065000000}"/>
    <cellStyle name="Звичайний 27 5 2" xfId="168" xr:uid="{00000000-0005-0000-0000-000066000000}"/>
    <cellStyle name="Звичайний 27 5 2 2" xfId="174" xr:uid="{00000000-0005-0000-0000-000067000000}"/>
    <cellStyle name="Звичайний 28" xfId="136" xr:uid="{00000000-0005-0000-0000-000068000000}"/>
    <cellStyle name="Звичайний 28 2" xfId="148" xr:uid="{00000000-0005-0000-0000-000069000000}"/>
    <cellStyle name="Звичайний 28 3" xfId="154" xr:uid="{00000000-0005-0000-0000-00006A000000}"/>
    <cellStyle name="Звичайний 29" xfId="139" xr:uid="{00000000-0005-0000-0000-00006B000000}"/>
    <cellStyle name="Звичайний 29 2" xfId="153" xr:uid="{00000000-0005-0000-0000-00006C000000}"/>
    <cellStyle name="Звичайний 29 2 2" xfId="166" xr:uid="{00000000-0005-0000-0000-00006D000000}"/>
    <cellStyle name="Звичайний 29 2 2 2" xfId="176" xr:uid="{00000000-0005-0000-0000-00006E000000}"/>
    <cellStyle name="Звичайний 3" xfId="21" xr:uid="{00000000-0005-0000-0000-00006F000000}"/>
    <cellStyle name="Звичайний 3 2" xfId="22" xr:uid="{00000000-0005-0000-0000-000070000000}"/>
    <cellStyle name="Звичайний 3 2 2" xfId="89" xr:uid="{00000000-0005-0000-0000-000071000000}"/>
    <cellStyle name="Звичайний 30" xfId="158" xr:uid="{00000000-0005-0000-0000-000072000000}"/>
    <cellStyle name="Звичайний 30 2" xfId="95" xr:uid="{00000000-0005-0000-0000-000073000000}"/>
    <cellStyle name="Звичайний 30 2 2" xfId="97" xr:uid="{00000000-0005-0000-0000-000074000000}"/>
    <cellStyle name="Звичайний 30 2 3" xfId="99" xr:uid="{00000000-0005-0000-0000-000075000000}"/>
    <cellStyle name="Звичайний 30 2 3 2" xfId="101" xr:uid="{00000000-0005-0000-0000-000076000000}"/>
    <cellStyle name="Звичайний 31" xfId="161" xr:uid="{00000000-0005-0000-0000-000077000000}"/>
    <cellStyle name="Звичайний 31 2" xfId="171" xr:uid="{00000000-0005-0000-0000-000078000000}"/>
    <cellStyle name="Звичайний 31 2 2" xfId="172" xr:uid="{00000000-0005-0000-0000-000079000000}"/>
    <cellStyle name="Звичайний 32" xfId="134" xr:uid="{00000000-0005-0000-0000-00007A000000}"/>
    <cellStyle name="Звичайний 32 2" xfId="137" xr:uid="{00000000-0005-0000-0000-00007B000000}"/>
    <cellStyle name="Звичайний 32 2 2" xfId="138" xr:uid="{00000000-0005-0000-0000-00007C000000}"/>
    <cellStyle name="Звичайний 32 2 2 2" xfId="150" xr:uid="{00000000-0005-0000-0000-00007D000000}"/>
    <cellStyle name="Звичайний 32 2 2 3" xfId="157" xr:uid="{00000000-0005-0000-0000-00007E000000}"/>
    <cellStyle name="Звичайний 32 2 2 4" xfId="159" xr:uid="{00000000-0005-0000-0000-00007F000000}"/>
    <cellStyle name="Звичайний 32 2 3" xfId="149" xr:uid="{00000000-0005-0000-0000-000080000000}"/>
    <cellStyle name="Звичайний 32 3" xfId="146" xr:uid="{00000000-0005-0000-0000-000081000000}"/>
    <cellStyle name="Звичайний 33" xfId="179" xr:uid="{00000000-0005-0000-0000-000082000000}"/>
    <cellStyle name="Звичайний 4" xfId="23" xr:uid="{00000000-0005-0000-0000-000083000000}"/>
    <cellStyle name="Звичайний 4 2" xfId="24" xr:uid="{00000000-0005-0000-0000-000084000000}"/>
    <cellStyle name="Звичайний 4 2 2" xfId="90" xr:uid="{00000000-0005-0000-0000-000085000000}"/>
    <cellStyle name="Звичайний 4 3" xfId="167" xr:uid="{00000000-0005-0000-0000-000086000000}"/>
    <cellStyle name="Звичайний 5" xfId="25" xr:uid="{00000000-0005-0000-0000-000087000000}"/>
    <cellStyle name="Звичайний 6" xfId="26" xr:uid="{00000000-0005-0000-0000-000088000000}"/>
    <cellStyle name="Звичайний 7" xfId="27" xr:uid="{00000000-0005-0000-0000-000089000000}"/>
    <cellStyle name="Звичайний 8" xfId="28" xr:uid="{00000000-0005-0000-0000-00008A000000}"/>
    <cellStyle name="Звичайний 9" xfId="29" xr:uid="{00000000-0005-0000-0000-00008B000000}"/>
    <cellStyle name="Звичайний_Додаток _ 3 зм_ни 4575" xfId="30" xr:uid="{00000000-0005-0000-0000-00008C000000}"/>
    <cellStyle name="Зв'язана клітинка" xfId="41" xr:uid="{00000000-0005-0000-0000-00008D000000}"/>
    <cellStyle name="Зв'язана клітинка 2" xfId="183" xr:uid="{00000000-0005-0000-0000-00008E000000}"/>
    <cellStyle name="Зв'язана клітинка 3" xfId="108" xr:uid="{00000000-0005-0000-0000-00008F000000}"/>
    <cellStyle name="Итог" xfId="74" xr:uid="{00000000-0005-0000-0000-000090000000}"/>
    <cellStyle name="Контрольна клітинка" xfId="31" xr:uid="{00000000-0005-0000-0000-000091000000}"/>
    <cellStyle name="Контрольна клітинка 2" xfId="184" xr:uid="{00000000-0005-0000-0000-000092000000}"/>
    <cellStyle name="Контрольная ячейка" xfId="75" xr:uid="{00000000-0005-0000-0000-000093000000}"/>
    <cellStyle name="Назва" xfId="32" xr:uid="{00000000-0005-0000-0000-000094000000}"/>
    <cellStyle name="Назва 2" xfId="185" xr:uid="{00000000-0005-0000-0000-000095000000}"/>
    <cellStyle name="Назва 3" xfId="109" xr:uid="{00000000-0005-0000-0000-000096000000}"/>
    <cellStyle name="Название" xfId="76" xr:uid="{00000000-0005-0000-0000-000097000000}"/>
    <cellStyle name="Нейтральный" xfId="77" xr:uid="{00000000-0005-0000-0000-000098000000}"/>
    <cellStyle name="Обычный 2" xfId="33" xr:uid="{00000000-0005-0000-0000-000099000000}"/>
    <cellStyle name="Обычный 2 2" xfId="34" xr:uid="{00000000-0005-0000-0000-00009A000000}"/>
    <cellStyle name="Обычный 2 2 2" xfId="91" xr:uid="{00000000-0005-0000-0000-00009B000000}"/>
    <cellStyle name="Обычный 2 2 2 2" xfId="120" xr:uid="{00000000-0005-0000-0000-00009C000000}"/>
    <cellStyle name="Обычный 2 2 3" xfId="128" xr:uid="{00000000-0005-0000-0000-00009D000000}"/>
    <cellStyle name="Обычный 2 3" xfId="110" xr:uid="{00000000-0005-0000-0000-00009E000000}"/>
    <cellStyle name="Обычный 2 3 2" xfId="187" xr:uid="{00000000-0005-0000-0000-00009F000000}"/>
    <cellStyle name="Обычный 2 4" xfId="119" xr:uid="{00000000-0005-0000-0000-0000A0000000}"/>
    <cellStyle name="Обычный 2 5" xfId="186" xr:uid="{00000000-0005-0000-0000-0000A1000000}"/>
    <cellStyle name="Обычный 3" xfId="35" xr:uid="{00000000-0005-0000-0000-0000A2000000}"/>
    <cellStyle name="Обычный 3 2" xfId="121" xr:uid="{00000000-0005-0000-0000-0000A3000000}"/>
    <cellStyle name="Обычный 3 3" xfId="188" xr:uid="{00000000-0005-0000-0000-0000A4000000}"/>
    <cellStyle name="Обычный 3 4" xfId="111" xr:uid="{00000000-0005-0000-0000-0000A5000000}"/>
    <cellStyle name="Обычный 4" xfId="112" xr:uid="{00000000-0005-0000-0000-0000A6000000}"/>
    <cellStyle name="Обычный 4 2" xfId="122" xr:uid="{00000000-0005-0000-0000-0000A7000000}"/>
    <cellStyle name="Обычный 4 3" xfId="85" xr:uid="{00000000-0005-0000-0000-0000A8000000}"/>
    <cellStyle name="Обычный 5" xfId="123" xr:uid="{00000000-0005-0000-0000-0000A9000000}"/>
    <cellStyle name="Обычный 6" xfId="124" xr:uid="{00000000-0005-0000-0000-0000AA000000}"/>
    <cellStyle name="Обычный 7" xfId="125" xr:uid="{00000000-0005-0000-0000-0000AB000000}"/>
    <cellStyle name="Обычный 8" xfId="126" xr:uid="{00000000-0005-0000-0000-0000AC000000}"/>
    <cellStyle name="Обычный_Plan_kapbud_2006 уточн." xfId="36" xr:uid="{00000000-0005-0000-0000-0000AD000000}"/>
    <cellStyle name="Обычный_дод.1" xfId="37" xr:uid="{00000000-0005-0000-0000-0000AE000000}"/>
    <cellStyle name="Обычный_Додаток 2 до бюджету 2000 року" xfId="38" xr:uid="{00000000-0005-0000-0000-0000AF000000}"/>
    <cellStyle name="Обычный_Додаток №1" xfId="39" xr:uid="{00000000-0005-0000-0000-0000B0000000}"/>
    <cellStyle name="Обычный_КАПІТАЛЬНІ  ВКЛАДЕННЯ 2015 2 2" xfId="45" xr:uid="{00000000-0005-0000-0000-0000B1000000}"/>
    <cellStyle name="Обычный_УЖКГ бюджет 2016 Після Ямчука 2" xfId="40" xr:uid="{00000000-0005-0000-0000-0000B2000000}"/>
    <cellStyle name="Обычный_УКБ до бюджету 2016р ост 2" xfId="92" xr:uid="{00000000-0005-0000-0000-0000B3000000}"/>
    <cellStyle name="Плохой" xfId="78" xr:uid="{00000000-0005-0000-0000-0000B4000000}"/>
    <cellStyle name="Пояснение" xfId="79" xr:uid="{00000000-0005-0000-0000-0000B5000000}"/>
    <cellStyle name="Примечание" xfId="80" xr:uid="{00000000-0005-0000-0000-0000B6000000}"/>
    <cellStyle name="Связанная ячейка" xfId="81" xr:uid="{00000000-0005-0000-0000-0000B7000000}"/>
    <cellStyle name="Середній" xfId="42" xr:uid="{00000000-0005-0000-0000-0000B8000000}"/>
    <cellStyle name="Стиль 1" xfId="43" xr:uid="{00000000-0005-0000-0000-0000B9000000}"/>
    <cellStyle name="Текст попередження" xfId="44" xr:uid="{00000000-0005-0000-0000-0000BA000000}"/>
    <cellStyle name="Текст попередження 2" xfId="189" xr:uid="{00000000-0005-0000-0000-0000BB000000}"/>
    <cellStyle name="Текст предупреждения" xfId="82" xr:uid="{00000000-0005-0000-0000-0000BC000000}"/>
    <cellStyle name="Фінансовий 2" xfId="133" xr:uid="{00000000-0005-0000-0000-0000BD000000}"/>
    <cellStyle name="Хороший" xfId="83" xr:uid="{00000000-0005-0000-0000-0000BE000000}"/>
  </cellStyles>
  <dxfs count="0"/>
  <tableStyles count="0" defaultTableStyle="TableStyleMedium2" defaultPivotStyle="PivotStyleLight16"/>
  <colors>
    <mruColors>
      <color rgb="FF00FFCC"/>
      <color rgb="FFCCCCFF"/>
      <color rgb="FFFFAFAF"/>
      <color rgb="FFCCFF66"/>
      <color rgb="FFFFCC00"/>
      <color rgb="FFFFFF99"/>
      <color rgb="FFCCFF99"/>
      <color rgb="FFCCECFF"/>
      <color rgb="FFCCFFCC"/>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JET/2025/&#1056;&#1110;&#1096;&#1077;&#1085;&#1085;&#1103;%20&#1074;&#1110;&#1076;%2027.06.2025%20&#8470;%204/&#1056;&#1110;&#1096;&#1077;&#1085;&#1085;&#1103;%20&#1089;&#1077;&#1089;&#1110;&#1111;%20&#1074;&#1110;&#1076;%2027.06.2025%20&#8470;%204/&#1056;&#1110;&#1096;&#1077;&#1085;&#1085;&#1103;%20&#1079;%20&#1087;&#1088;&#1086;&#1087;&#1086;&#1079;&#1080;&#1094;&#1110;&#1103;&#1084;&#1080;/&#1044;&#1086;&#1076;&#1072;&#1090;&#1082;&#1080;%2027.06.2025%20&#1079;%20&#1055;&#1056;&#1054;&#1055;&#1054;&#1047;&#1048;&#1062;&#1030;&#1071;&#1052;&#1048;%20-%20&#847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1"/>
      <sheetName val="d2"/>
      <sheetName val="d3"/>
      <sheetName val="d4"/>
      <sheetName val="d5"/>
      <sheetName val="d6"/>
      <sheetName val="d7"/>
      <sheetName val="d8"/>
      <sheetName val="d9"/>
      <sheetName val="d1П"/>
      <sheetName val="d1РП"/>
      <sheetName val="d1С"/>
      <sheetName val="d1СР"/>
      <sheetName val="d3П"/>
      <sheetName val="d3РП"/>
      <sheetName val="d3С"/>
      <sheetName val="d3СР"/>
      <sheetName val="d3РЗ"/>
    </sheetNames>
    <sheetDataSet>
      <sheetData sheetId="0"/>
      <sheetData sheetId="1">
        <row r="22">
          <cell r="C22">
            <v>0</v>
          </cell>
        </row>
        <row r="38">
          <cell r="C38">
            <v>0</v>
          </cell>
        </row>
        <row r="43">
          <cell r="E43">
            <v>-3887000</v>
          </cell>
          <cell r="F43">
            <v>-3887000</v>
          </cell>
        </row>
      </sheetData>
      <sheetData sheetId="2"/>
      <sheetData sheetId="3">
        <row r="29">
          <cell r="O29">
            <v>0</v>
          </cell>
          <cell r="P29">
            <v>0</v>
          </cell>
        </row>
      </sheetData>
      <sheetData sheetId="4" refreshError="1"/>
      <sheetData sheetId="5" refreshError="1"/>
      <sheetData sheetId="6" refreshError="1"/>
      <sheetData sheetId="7" refreshError="1"/>
      <sheetData sheetId="8">
        <row r="27">
          <cell r="F27">
            <v>5448677.6299999999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9"/>
  <sheetViews>
    <sheetView view="pageBreakPreview" topLeftCell="A140" zoomScaleNormal="100" zoomScaleSheetLayoutView="100" workbookViewId="0">
      <selection activeCell="E164" sqref="E164"/>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5"/>
      <c r="B1" s="485"/>
      <c r="C1" s="485"/>
      <c r="D1" s="730" t="s">
        <v>56</v>
      </c>
      <c r="E1" s="731"/>
      <c r="F1" s="731"/>
      <c r="G1" s="731"/>
    </row>
    <row r="2" spans="1:7" ht="30" customHeight="1" x14ac:dyDescent="0.2">
      <c r="A2" s="485"/>
      <c r="B2" s="485"/>
      <c r="C2" s="486"/>
      <c r="D2" s="732" t="s">
        <v>1604</v>
      </c>
      <c r="E2" s="733"/>
      <c r="F2" s="733"/>
      <c r="G2" s="733"/>
    </row>
    <row r="3" spans="1:7" ht="6" hidden="1" customHeight="1" x14ac:dyDescent="0.2">
      <c r="A3" s="485"/>
      <c r="B3" s="485"/>
      <c r="C3" s="486"/>
      <c r="D3" s="730"/>
      <c r="E3" s="733"/>
      <c r="F3" s="733"/>
      <c r="G3" s="733"/>
    </row>
    <row r="4" spans="1:7" ht="12.75" customHeight="1" x14ac:dyDescent="0.2">
      <c r="A4" s="734"/>
      <c r="B4" s="734"/>
      <c r="C4" s="734"/>
      <c r="D4" s="734"/>
      <c r="E4" s="734"/>
      <c r="F4" s="485"/>
      <c r="G4" s="485"/>
    </row>
    <row r="5" spans="1:7" ht="20.25" x14ac:dyDescent="0.2">
      <c r="A5" s="734" t="s">
        <v>1073</v>
      </c>
      <c r="B5" s="735"/>
      <c r="C5" s="735"/>
      <c r="D5" s="735"/>
      <c r="E5" s="735"/>
      <c r="F5" s="735"/>
      <c r="G5" s="485"/>
    </row>
    <row r="6" spans="1:7" ht="20.25" x14ac:dyDescent="0.2">
      <c r="A6" s="734" t="s">
        <v>1549</v>
      </c>
      <c r="B6" s="735"/>
      <c r="C6" s="735"/>
      <c r="D6" s="735"/>
      <c r="E6" s="735"/>
      <c r="F6" s="735"/>
      <c r="G6" s="485"/>
    </row>
    <row r="7" spans="1:7" ht="20.25" x14ac:dyDescent="0.2">
      <c r="A7" s="487"/>
      <c r="B7" s="295"/>
      <c r="C7" s="295"/>
      <c r="D7" s="295"/>
      <c r="E7" s="295"/>
      <c r="F7" s="295"/>
      <c r="G7" s="485"/>
    </row>
    <row r="8" spans="1:7" ht="20.25" x14ac:dyDescent="0.2">
      <c r="A8" s="736">
        <v>2256400000</v>
      </c>
      <c r="B8" s="737"/>
      <c r="C8" s="737"/>
      <c r="D8" s="737"/>
      <c r="E8" s="737"/>
      <c r="F8" s="737"/>
      <c r="G8" s="485"/>
    </row>
    <row r="9" spans="1:7" ht="15.75" x14ac:dyDescent="0.2">
      <c r="A9" s="738" t="s">
        <v>485</v>
      </c>
      <c r="B9" s="739"/>
      <c r="C9" s="739"/>
      <c r="D9" s="739"/>
      <c r="E9" s="739"/>
      <c r="F9" s="739"/>
      <c r="G9" s="485"/>
    </row>
    <row r="10" spans="1:7" ht="20.25" x14ac:dyDescent="0.2">
      <c r="A10" s="487"/>
      <c r="B10" s="434"/>
      <c r="C10" s="434"/>
      <c r="D10" s="434"/>
      <c r="E10" s="434"/>
      <c r="F10" s="434"/>
      <c r="G10" s="485"/>
    </row>
    <row r="11" spans="1:7" ht="13.5" thickBot="1" x14ac:dyDescent="0.25">
      <c r="A11" s="485"/>
      <c r="B11" s="488"/>
      <c r="C11" s="488"/>
      <c r="D11" s="488"/>
      <c r="E11" s="488"/>
      <c r="F11" s="489" t="s">
        <v>400</v>
      </c>
      <c r="G11" s="485"/>
    </row>
    <row r="12" spans="1:7" ht="14.25" thickTop="1" thickBot="1" x14ac:dyDescent="0.25">
      <c r="A12" s="740" t="s">
        <v>57</v>
      </c>
      <c r="B12" s="740" t="s">
        <v>1436</v>
      </c>
      <c r="C12" s="740" t="s">
        <v>379</v>
      </c>
      <c r="D12" s="740" t="s">
        <v>12</v>
      </c>
      <c r="E12" s="740" t="s">
        <v>52</v>
      </c>
      <c r="F12" s="740"/>
      <c r="G12" s="490"/>
    </row>
    <row r="13" spans="1:7" ht="39.75" thickTop="1" thickBot="1" x14ac:dyDescent="0.3">
      <c r="A13" s="740"/>
      <c r="B13" s="740"/>
      <c r="C13" s="740"/>
      <c r="D13" s="740"/>
      <c r="E13" s="491" t="s">
        <v>380</v>
      </c>
      <c r="F13" s="491" t="s">
        <v>421</v>
      </c>
      <c r="G13" s="492"/>
    </row>
    <row r="14" spans="1:7" ht="16.5" thickTop="1" thickBot="1" x14ac:dyDescent="0.3">
      <c r="A14" s="491">
        <v>1</v>
      </c>
      <c r="B14" s="491">
        <v>2</v>
      </c>
      <c r="C14" s="491">
        <v>3</v>
      </c>
      <c r="D14" s="491">
        <v>4</v>
      </c>
      <c r="E14" s="491">
        <v>5</v>
      </c>
      <c r="F14" s="491">
        <v>6</v>
      </c>
      <c r="G14" s="492"/>
    </row>
    <row r="15" spans="1:7" ht="25.5" customHeight="1" thickTop="1" thickBot="1" x14ac:dyDescent="0.25">
      <c r="A15" s="569">
        <v>10000000</v>
      </c>
      <c r="B15" s="569" t="s">
        <v>58</v>
      </c>
      <c r="C15" s="570">
        <f t="shared" ref="C15:C20" si="0">SUM(D15,E15)</f>
        <v>3970880988.52</v>
      </c>
      <c r="D15" s="570">
        <f>SUM(D16,D32,D40,D61,D26)</f>
        <v>3968480988.52</v>
      </c>
      <c r="E15" s="570">
        <f>SUM(E16,E32,E40,E61,E26)</f>
        <v>2400000</v>
      </c>
      <c r="F15" s="570">
        <f>SUM(F16,F32,F40,F61,F26)</f>
        <v>0</v>
      </c>
      <c r="G15" s="104"/>
    </row>
    <row r="16" spans="1:7" ht="31.7" customHeight="1" thickTop="1" thickBot="1" x14ac:dyDescent="0.25">
      <c r="A16" s="491">
        <v>11000000</v>
      </c>
      <c r="B16" s="491" t="s">
        <v>59</v>
      </c>
      <c r="C16" s="493">
        <f>SUM(D16,E16)</f>
        <v>2372331160.52</v>
      </c>
      <c r="D16" s="493">
        <f>SUM(D17,D24)</f>
        <v>2372331160.52</v>
      </c>
      <c r="E16" s="493"/>
      <c r="F16" s="493"/>
      <c r="G16" s="105"/>
    </row>
    <row r="17" spans="1:7" ht="24.75" customHeight="1" thickTop="1" thickBot="1" x14ac:dyDescent="0.25">
      <c r="A17" s="494">
        <v>11010000</v>
      </c>
      <c r="B17" s="495" t="s">
        <v>60</v>
      </c>
      <c r="C17" s="496">
        <f t="shared" si="0"/>
        <v>2370331160.52</v>
      </c>
      <c r="D17" s="496">
        <f>SUM(D18:D23)</f>
        <v>2370331160.52</v>
      </c>
      <c r="E17" s="496"/>
      <c r="F17" s="496"/>
      <c r="G17" s="105"/>
    </row>
    <row r="18" spans="1:7" ht="39.75" thickTop="1" thickBot="1" x14ac:dyDescent="0.25">
      <c r="A18" s="566">
        <v>11010100</v>
      </c>
      <c r="B18" s="567" t="s">
        <v>61</v>
      </c>
      <c r="C18" s="493">
        <f>SUM(D18,E18)</f>
        <v>2160851160.52</v>
      </c>
      <c r="D18" s="568">
        <f>((1853714559)+132602098.52)+129934503-31200000+6000000+69800000</f>
        <v>2160851160.52</v>
      </c>
      <c r="E18" s="568"/>
      <c r="F18" s="568"/>
      <c r="G18" s="105"/>
    </row>
    <row r="19" spans="1:7" ht="65.25" hidden="1" thickTop="1" thickBot="1" x14ac:dyDescent="0.25">
      <c r="A19" s="345">
        <v>11010200</v>
      </c>
      <c r="B19" s="346" t="s">
        <v>62</v>
      </c>
      <c r="C19" s="343">
        <f t="shared" si="0"/>
        <v>0</v>
      </c>
      <c r="D19" s="347">
        <v>0</v>
      </c>
      <c r="E19" s="347"/>
      <c r="F19" s="347"/>
      <c r="G19" s="105"/>
    </row>
    <row r="20" spans="1:7" ht="39.75" thickTop="1" thickBot="1" x14ac:dyDescent="0.25">
      <c r="A20" s="566">
        <v>11010400</v>
      </c>
      <c r="B20" s="567" t="s">
        <v>63</v>
      </c>
      <c r="C20" s="493">
        <f t="shared" si="0"/>
        <v>101755000</v>
      </c>
      <c r="D20" s="568">
        <f>(65055000)+31200000+5500000</f>
        <v>101755000</v>
      </c>
      <c r="E20" s="568"/>
      <c r="F20" s="568"/>
      <c r="G20" s="105"/>
    </row>
    <row r="21" spans="1:7" ht="39.75" thickTop="1" thickBot="1" x14ac:dyDescent="0.3">
      <c r="A21" s="566">
        <v>11010500</v>
      </c>
      <c r="B21" s="567" t="s">
        <v>64</v>
      </c>
      <c r="C21" s="493">
        <f t="shared" ref="C21:C108" si="1">SUM(D21,E21)</f>
        <v>103410000</v>
      </c>
      <c r="D21" s="568">
        <f>(64200000)+20710000+18500000</f>
        <v>103410000</v>
      </c>
      <c r="E21" s="568"/>
      <c r="F21" s="568"/>
      <c r="G21" s="103"/>
    </row>
    <row r="22" spans="1:7" ht="27" thickTop="1" thickBot="1" x14ac:dyDescent="0.3">
      <c r="A22" s="566">
        <v>11011200</v>
      </c>
      <c r="B22" s="567" t="s">
        <v>1437</v>
      </c>
      <c r="C22" s="493">
        <f t="shared" si="1"/>
        <v>3965000</v>
      </c>
      <c r="D22" s="568">
        <f>(1850000)+2115000</f>
        <v>3965000</v>
      </c>
      <c r="E22" s="568"/>
      <c r="F22" s="568"/>
      <c r="G22" s="103"/>
    </row>
    <row r="23" spans="1:7" ht="39.75" thickTop="1" thickBot="1" x14ac:dyDescent="0.3">
      <c r="A23" s="566">
        <v>11011300</v>
      </c>
      <c r="B23" s="567" t="s">
        <v>1438</v>
      </c>
      <c r="C23" s="493">
        <f t="shared" si="1"/>
        <v>350000</v>
      </c>
      <c r="D23" s="568">
        <v>350000</v>
      </c>
      <c r="E23" s="568"/>
      <c r="F23" s="568"/>
      <c r="G23" s="103"/>
    </row>
    <row r="24" spans="1:7" ht="28.5" customHeight="1" thickTop="1" thickBot="1" x14ac:dyDescent="0.25">
      <c r="A24" s="494">
        <v>11020000</v>
      </c>
      <c r="B24" s="495" t="s">
        <v>65</v>
      </c>
      <c r="C24" s="496">
        <f>SUM(D24,E24)</f>
        <v>2000000</v>
      </c>
      <c r="D24" s="496">
        <f>D25</f>
        <v>2000000</v>
      </c>
      <c r="E24" s="496"/>
      <c r="F24" s="496"/>
      <c r="G24" s="104"/>
    </row>
    <row r="25" spans="1:7" ht="27" thickTop="1" thickBot="1" x14ac:dyDescent="0.3">
      <c r="A25" s="566">
        <v>11020200</v>
      </c>
      <c r="B25" s="497" t="s">
        <v>66</v>
      </c>
      <c r="C25" s="493">
        <f>SUM(D25,E25)</f>
        <v>2000000</v>
      </c>
      <c r="D25" s="568">
        <v>2000000</v>
      </c>
      <c r="E25" s="568"/>
      <c r="F25" s="568"/>
      <c r="G25" s="103"/>
    </row>
    <row r="26" spans="1:7" ht="27" thickTop="1" thickBot="1" x14ac:dyDescent="0.3">
      <c r="A26" s="491">
        <v>13000000</v>
      </c>
      <c r="B26" s="498" t="s">
        <v>519</v>
      </c>
      <c r="C26" s="493">
        <f>D26+E26</f>
        <v>650000</v>
      </c>
      <c r="D26" s="493">
        <f>SUM(D27,D30)</f>
        <v>650000</v>
      </c>
      <c r="E26" s="568"/>
      <c r="F26" s="568"/>
      <c r="G26" s="103"/>
    </row>
    <row r="27" spans="1:7" ht="28.5" thickTop="1" thickBot="1" x14ac:dyDescent="0.3">
      <c r="A27" s="494">
        <v>13010000</v>
      </c>
      <c r="B27" s="499" t="s">
        <v>520</v>
      </c>
      <c r="C27" s="496">
        <f>D27+E27</f>
        <v>630000</v>
      </c>
      <c r="D27" s="496">
        <f>SUM(D28:D29)</f>
        <v>630000</v>
      </c>
      <c r="E27" s="496"/>
      <c r="F27" s="496"/>
      <c r="G27" s="103"/>
    </row>
    <row r="28" spans="1:7" ht="52.5" thickTop="1" thickBot="1" x14ac:dyDescent="0.3">
      <c r="A28" s="566">
        <v>13010100</v>
      </c>
      <c r="B28" s="500" t="s">
        <v>1439</v>
      </c>
      <c r="C28" s="493">
        <f t="shared" ref="C28:C32" si="2">D28+E28</f>
        <v>230000</v>
      </c>
      <c r="D28" s="568">
        <v>230000</v>
      </c>
      <c r="E28" s="568"/>
      <c r="F28" s="568"/>
      <c r="G28" s="103"/>
    </row>
    <row r="29" spans="1:7" ht="65.25" thickTop="1" thickBot="1" x14ac:dyDescent="0.3">
      <c r="A29" s="566">
        <v>13010200</v>
      </c>
      <c r="B29" s="500" t="s">
        <v>521</v>
      </c>
      <c r="C29" s="493">
        <f t="shared" si="2"/>
        <v>400000</v>
      </c>
      <c r="D29" s="568">
        <v>400000</v>
      </c>
      <c r="E29" s="568"/>
      <c r="F29" s="568"/>
      <c r="G29" s="103"/>
    </row>
    <row r="30" spans="1:7" ht="16.5" thickTop="1" thickBot="1" x14ac:dyDescent="0.3">
      <c r="A30" s="494">
        <v>13030000</v>
      </c>
      <c r="B30" s="501" t="s">
        <v>522</v>
      </c>
      <c r="C30" s="496">
        <f>D30+E30</f>
        <v>20000</v>
      </c>
      <c r="D30" s="496">
        <f>SUM(D31)</f>
        <v>20000</v>
      </c>
      <c r="E30" s="496"/>
      <c r="F30" s="496"/>
      <c r="G30" s="103"/>
    </row>
    <row r="31" spans="1:7" ht="39.75" thickTop="1" thickBot="1" x14ac:dyDescent="0.3">
      <c r="A31" s="566">
        <v>13030100</v>
      </c>
      <c r="B31" s="500" t="s">
        <v>523</v>
      </c>
      <c r="C31" s="493">
        <f t="shared" si="2"/>
        <v>20000</v>
      </c>
      <c r="D31" s="568">
        <v>20000</v>
      </c>
      <c r="E31" s="568"/>
      <c r="F31" s="568"/>
      <c r="G31" s="103"/>
    </row>
    <row r="32" spans="1:7" ht="26.45" customHeight="1" thickTop="1" thickBot="1" x14ac:dyDescent="0.3">
      <c r="A32" s="491">
        <v>14000000</v>
      </c>
      <c r="B32" s="498" t="s">
        <v>524</v>
      </c>
      <c r="C32" s="493">
        <f t="shared" si="2"/>
        <v>421920000</v>
      </c>
      <c r="D32" s="493">
        <f>SUM(D33,D35,D37)</f>
        <v>421920000</v>
      </c>
      <c r="E32" s="493"/>
      <c r="F32" s="568"/>
      <c r="G32" s="103"/>
    </row>
    <row r="33" spans="1:7" ht="30" customHeight="1" thickTop="1" thickBot="1" x14ac:dyDescent="0.3">
      <c r="A33" s="494">
        <v>14020000</v>
      </c>
      <c r="B33" s="499" t="s">
        <v>613</v>
      </c>
      <c r="C33" s="496">
        <f>SUM(D33,E33)</f>
        <v>21850000</v>
      </c>
      <c r="D33" s="496">
        <f>SUM(D34,E34)</f>
        <v>21850000</v>
      </c>
      <c r="E33" s="496"/>
      <c r="F33" s="509"/>
      <c r="G33" s="103"/>
    </row>
    <row r="34" spans="1:7" ht="16.5" thickTop="1" thickBot="1" x14ac:dyDescent="0.3">
      <c r="A34" s="566">
        <v>14021900</v>
      </c>
      <c r="B34" s="497" t="s">
        <v>612</v>
      </c>
      <c r="C34" s="568">
        <f>SUM(D34,E34)</f>
        <v>21850000</v>
      </c>
      <c r="D34" s="568">
        <f>(17350000)+4500000</f>
        <v>21850000</v>
      </c>
      <c r="E34" s="493"/>
      <c r="F34" s="568"/>
      <c r="G34" s="103"/>
    </row>
    <row r="35" spans="1:7" ht="42" thickTop="1" thickBot="1" x14ac:dyDescent="0.3">
      <c r="A35" s="494">
        <v>14030000</v>
      </c>
      <c r="B35" s="499" t="s">
        <v>614</v>
      </c>
      <c r="C35" s="496">
        <f>SUM(D35,E35)</f>
        <v>144520000</v>
      </c>
      <c r="D35" s="496">
        <f>SUM(D36,E36)</f>
        <v>144520000</v>
      </c>
      <c r="E35" s="496"/>
      <c r="F35" s="509"/>
      <c r="G35" s="103"/>
    </row>
    <row r="36" spans="1:7" ht="16.5" thickTop="1" thickBot="1" x14ac:dyDescent="0.3">
      <c r="A36" s="566">
        <v>14031900</v>
      </c>
      <c r="B36" s="497" t="s">
        <v>612</v>
      </c>
      <c r="C36" s="568">
        <f>SUM(D36,E36)</f>
        <v>144520000</v>
      </c>
      <c r="D36" s="568">
        <f>(80900000)+22620000+41000000</f>
        <v>144520000</v>
      </c>
      <c r="E36" s="493"/>
      <c r="F36" s="568"/>
      <c r="G36" s="103"/>
    </row>
    <row r="37" spans="1:7" ht="42" thickTop="1" thickBot="1" x14ac:dyDescent="0.3">
      <c r="A37" s="494">
        <v>14040000</v>
      </c>
      <c r="B37" s="499" t="s">
        <v>1168</v>
      </c>
      <c r="C37" s="496">
        <f>SUM(C38:C39)</f>
        <v>255550000</v>
      </c>
      <c r="D37" s="496">
        <f>SUM(D38:D39)</f>
        <v>255550000</v>
      </c>
      <c r="E37" s="496"/>
      <c r="F37" s="509"/>
      <c r="G37" s="103"/>
    </row>
    <row r="38" spans="1:7" ht="103.5" thickTop="1" thickBot="1" x14ac:dyDescent="0.25">
      <c r="A38" s="566">
        <v>14040100</v>
      </c>
      <c r="B38" s="497" t="s">
        <v>1188</v>
      </c>
      <c r="C38" s="568">
        <f>SUM(D38,E38)</f>
        <v>137670000</v>
      </c>
      <c r="D38" s="568">
        <f>99520000+38150000</f>
        <v>137670000</v>
      </c>
      <c r="E38" s="493"/>
      <c r="F38" s="568"/>
      <c r="G38" s="106"/>
    </row>
    <row r="39" spans="1:7" ht="65.25" thickTop="1" thickBot="1" x14ac:dyDescent="0.25">
      <c r="A39" s="566">
        <v>14040200</v>
      </c>
      <c r="B39" s="497" t="s">
        <v>1167</v>
      </c>
      <c r="C39" s="568">
        <f>SUM(D39,E39)</f>
        <v>117880000</v>
      </c>
      <c r="D39" s="568">
        <v>117880000</v>
      </c>
      <c r="E39" s="493"/>
      <c r="F39" s="568"/>
      <c r="G39" s="106"/>
    </row>
    <row r="40" spans="1:7" ht="29.25" customHeight="1" thickTop="1" thickBot="1" x14ac:dyDescent="0.3">
      <c r="A40" s="491">
        <v>18000000</v>
      </c>
      <c r="B40" s="491" t="s">
        <v>67</v>
      </c>
      <c r="C40" s="493">
        <f t="shared" si="1"/>
        <v>1173579828</v>
      </c>
      <c r="D40" s="493">
        <f>SUM(D41,D54,D57,D52)</f>
        <v>1173579828</v>
      </c>
      <c r="E40" s="493"/>
      <c r="F40" s="493"/>
      <c r="G40" s="103"/>
    </row>
    <row r="41" spans="1:7" ht="16.5" thickTop="1" thickBot="1" x14ac:dyDescent="0.3">
      <c r="A41" s="494">
        <v>18010000</v>
      </c>
      <c r="B41" s="499" t="s">
        <v>68</v>
      </c>
      <c r="C41" s="496">
        <f>SUM(D41,E41)</f>
        <v>370279828</v>
      </c>
      <c r="D41" s="496">
        <f>SUM(D42:D51)</f>
        <v>370279828</v>
      </c>
      <c r="E41" s="496"/>
      <c r="F41" s="496"/>
      <c r="G41" s="103"/>
    </row>
    <row r="42" spans="1:7" ht="52.5" thickTop="1" thickBot="1" x14ac:dyDescent="0.3">
      <c r="A42" s="566">
        <v>18010100</v>
      </c>
      <c r="B42" s="497" t="s">
        <v>69</v>
      </c>
      <c r="C42" s="493">
        <f t="shared" si="1"/>
        <v>405010</v>
      </c>
      <c r="D42" s="568">
        <v>405010</v>
      </c>
      <c r="E42" s="568"/>
      <c r="F42" s="568"/>
      <c r="G42" s="103"/>
    </row>
    <row r="43" spans="1:7" ht="52.5" thickTop="1" thickBot="1" x14ac:dyDescent="0.3">
      <c r="A43" s="566">
        <v>18010200</v>
      </c>
      <c r="B43" s="497" t="s">
        <v>70</v>
      </c>
      <c r="C43" s="493">
        <f t="shared" si="1"/>
        <v>28120560</v>
      </c>
      <c r="D43" s="568">
        <v>28120560</v>
      </c>
      <c r="E43" s="568"/>
      <c r="F43" s="568"/>
      <c r="G43" s="103"/>
    </row>
    <row r="44" spans="1:7" ht="52.5" thickTop="1" thickBot="1" x14ac:dyDescent="0.3">
      <c r="A44" s="566">
        <v>18010300</v>
      </c>
      <c r="B44" s="497" t="s">
        <v>71</v>
      </c>
      <c r="C44" s="493">
        <f t="shared" si="1"/>
        <v>30300000</v>
      </c>
      <c r="D44" s="568">
        <f>23800000+6500000</f>
        <v>30300000</v>
      </c>
      <c r="E44" s="568"/>
      <c r="F44" s="568"/>
      <c r="G44" s="103"/>
    </row>
    <row r="45" spans="1:7" ht="52.5" thickTop="1" thickBot="1" x14ac:dyDescent="0.3">
      <c r="A45" s="566">
        <v>18010400</v>
      </c>
      <c r="B45" s="497" t="s">
        <v>72</v>
      </c>
      <c r="C45" s="493">
        <f t="shared" si="1"/>
        <v>45679430</v>
      </c>
      <c r="D45" s="568">
        <f>(37679430)+4500000+3500000</f>
        <v>45679430</v>
      </c>
      <c r="E45" s="568"/>
      <c r="F45" s="568"/>
      <c r="G45" s="103"/>
    </row>
    <row r="46" spans="1:7" ht="16.5" thickTop="1" thickBot="1" x14ac:dyDescent="0.3">
      <c r="A46" s="566">
        <v>18010500</v>
      </c>
      <c r="B46" s="497" t="s">
        <v>73</v>
      </c>
      <c r="C46" s="493">
        <f t="shared" si="1"/>
        <v>44750000</v>
      </c>
      <c r="D46" s="568">
        <f>(40500000)+4250000</f>
        <v>44750000</v>
      </c>
      <c r="E46" s="568"/>
      <c r="F46" s="568"/>
      <c r="G46" s="103"/>
    </row>
    <row r="47" spans="1:7" ht="16.5" thickTop="1" thickBot="1" x14ac:dyDescent="0.3">
      <c r="A47" s="566">
        <v>18010600</v>
      </c>
      <c r="B47" s="497" t="s">
        <v>74</v>
      </c>
      <c r="C47" s="493">
        <f t="shared" si="1"/>
        <v>167324828</v>
      </c>
      <c r="D47" s="568">
        <f>(151150000)+7750000+929828+7495000</f>
        <v>167324828</v>
      </c>
      <c r="E47" s="568"/>
      <c r="F47" s="568"/>
      <c r="G47" s="103"/>
    </row>
    <row r="48" spans="1:7" ht="16.5" thickTop="1" thickBot="1" x14ac:dyDescent="0.3">
      <c r="A48" s="566">
        <v>18010700</v>
      </c>
      <c r="B48" s="497" t="s">
        <v>75</v>
      </c>
      <c r="C48" s="493">
        <f t="shared" si="1"/>
        <v>5850000</v>
      </c>
      <c r="D48" s="568">
        <f>2500000+3350000</f>
        <v>5850000</v>
      </c>
      <c r="E48" s="568"/>
      <c r="F48" s="568"/>
      <c r="G48" s="103"/>
    </row>
    <row r="49" spans="1:7" ht="16.5" thickTop="1" thickBot="1" x14ac:dyDescent="0.3">
      <c r="A49" s="566">
        <v>18010900</v>
      </c>
      <c r="B49" s="497" t="s">
        <v>76</v>
      </c>
      <c r="C49" s="493">
        <f t="shared" si="1"/>
        <v>46350000</v>
      </c>
      <c r="D49" s="568">
        <v>46350000</v>
      </c>
      <c r="E49" s="568"/>
      <c r="F49" s="568"/>
      <c r="G49" s="103"/>
    </row>
    <row r="50" spans="1:7" ht="15.75" thickTop="1" thickBot="1" x14ac:dyDescent="0.25">
      <c r="A50" s="566">
        <v>18011000</v>
      </c>
      <c r="B50" s="497" t="s">
        <v>77</v>
      </c>
      <c r="C50" s="493">
        <f t="shared" si="1"/>
        <v>1000000</v>
      </c>
      <c r="D50" s="568">
        <v>1000000</v>
      </c>
      <c r="E50" s="568"/>
      <c r="F50" s="568"/>
      <c r="G50" s="104"/>
    </row>
    <row r="51" spans="1:7" ht="16.5" thickTop="1" thickBot="1" x14ac:dyDescent="0.3">
      <c r="A51" s="566">
        <v>18011100</v>
      </c>
      <c r="B51" s="497" t="s">
        <v>78</v>
      </c>
      <c r="C51" s="493">
        <f t="shared" si="1"/>
        <v>500000</v>
      </c>
      <c r="D51" s="568">
        <v>500000</v>
      </c>
      <c r="E51" s="568"/>
      <c r="F51" s="568"/>
      <c r="G51" s="103"/>
    </row>
    <row r="52" spans="1:7" ht="28.5" thickTop="1" thickBot="1" x14ac:dyDescent="0.3">
      <c r="A52" s="494">
        <v>18020000</v>
      </c>
      <c r="B52" s="499" t="s">
        <v>1118</v>
      </c>
      <c r="C52" s="496">
        <f t="shared" si="1"/>
        <v>300000</v>
      </c>
      <c r="D52" s="496">
        <f>SUM(D53,E53)</f>
        <v>300000</v>
      </c>
      <c r="E52" s="496"/>
      <c r="F52" s="496"/>
      <c r="G52" s="103"/>
    </row>
    <row r="53" spans="1:7" ht="27" thickTop="1" thickBot="1" x14ac:dyDescent="0.3">
      <c r="A53" s="566">
        <v>180201000</v>
      </c>
      <c r="B53" s="497" t="s">
        <v>1119</v>
      </c>
      <c r="C53" s="493">
        <f t="shared" si="1"/>
        <v>300000</v>
      </c>
      <c r="D53" s="568">
        <v>300000</v>
      </c>
      <c r="E53" s="568"/>
      <c r="F53" s="568"/>
      <c r="G53" s="103"/>
    </row>
    <row r="54" spans="1:7" ht="16.5" thickTop="1" thickBot="1" x14ac:dyDescent="0.3">
      <c r="A54" s="494">
        <v>18030000</v>
      </c>
      <c r="B54" s="499" t="s">
        <v>79</v>
      </c>
      <c r="C54" s="496">
        <f>SUM(D54,E54)</f>
        <v>2450000</v>
      </c>
      <c r="D54" s="496">
        <f>SUM(D55:D56)</f>
        <v>2450000</v>
      </c>
      <c r="E54" s="496"/>
      <c r="F54" s="496"/>
      <c r="G54" s="103"/>
    </row>
    <row r="55" spans="1:7" ht="27" thickTop="1" thickBot="1" x14ac:dyDescent="0.3">
      <c r="A55" s="566">
        <v>18030100</v>
      </c>
      <c r="B55" s="497" t="s">
        <v>80</v>
      </c>
      <c r="C55" s="493">
        <f>SUM(D55,E55)</f>
        <v>1220000</v>
      </c>
      <c r="D55" s="568">
        <f>(1020000)+200000</f>
        <v>1220000</v>
      </c>
      <c r="E55" s="568"/>
      <c r="F55" s="568"/>
      <c r="G55" s="103"/>
    </row>
    <row r="56" spans="1:7" ht="27" thickTop="1" thickBot="1" x14ac:dyDescent="0.3">
      <c r="A56" s="566">
        <v>18030200</v>
      </c>
      <c r="B56" s="497" t="s">
        <v>81</v>
      </c>
      <c r="C56" s="493">
        <f>SUM(D56,E56)</f>
        <v>1230000</v>
      </c>
      <c r="D56" s="568">
        <f>(930000)+300000</f>
        <v>1230000</v>
      </c>
      <c r="E56" s="568"/>
      <c r="F56" s="568"/>
      <c r="G56" s="103"/>
    </row>
    <row r="57" spans="1:7" ht="16.5" thickTop="1" thickBot="1" x14ac:dyDescent="0.3">
      <c r="A57" s="494">
        <v>18050000</v>
      </c>
      <c r="B57" s="499" t="s">
        <v>82</v>
      </c>
      <c r="C57" s="496">
        <f>SUM(D57,E57)</f>
        <v>800550000</v>
      </c>
      <c r="D57" s="496">
        <f>SUM(D58:D60)</f>
        <v>800550000</v>
      </c>
      <c r="E57" s="509"/>
      <c r="F57" s="509"/>
      <c r="G57" s="103"/>
    </row>
    <row r="58" spans="1:7" ht="16.5" thickTop="1" thickBot="1" x14ac:dyDescent="0.3">
      <c r="A58" s="566">
        <v>18050300</v>
      </c>
      <c r="B58" s="567" t="s">
        <v>1007</v>
      </c>
      <c r="C58" s="493">
        <f t="shared" si="1"/>
        <v>156970100</v>
      </c>
      <c r="D58" s="568">
        <f>(110520100)+30450000+16000000</f>
        <v>156970100</v>
      </c>
      <c r="E58" s="568"/>
      <c r="F58" s="568"/>
      <c r="G58" s="103"/>
    </row>
    <row r="59" spans="1:7" ht="15.75" thickTop="1" thickBot="1" x14ac:dyDescent="0.25">
      <c r="A59" s="566">
        <v>18050400</v>
      </c>
      <c r="B59" s="497" t="s">
        <v>83</v>
      </c>
      <c r="C59" s="493">
        <f t="shared" si="1"/>
        <v>638729900</v>
      </c>
      <c r="D59" s="568">
        <f>583729900+15000000+40000000</f>
        <v>638729900</v>
      </c>
      <c r="E59" s="568"/>
      <c r="F59" s="568"/>
      <c r="G59" s="104"/>
    </row>
    <row r="60" spans="1:7" ht="65.25" thickTop="1" thickBot="1" x14ac:dyDescent="0.25">
      <c r="A60" s="566">
        <v>18050500</v>
      </c>
      <c r="B60" s="497" t="s">
        <v>532</v>
      </c>
      <c r="C60" s="493">
        <f t="shared" si="1"/>
        <v>4850000</v>
      </c>
      <c r="D60" s="568">
        <v>4850000</v>
      </c>
      <c r="E60" s="568"/>
      <c r="F60" s="568"/>
      <c r="G60" s="104"/>
    </row>
    <row r="61" spans="1:7" ht="31.7" customHeight="1" thickTop="1" thickBot="1" x14ac:dyDescent="0.25">
      <c r="A61" s="491">
        <v>19000000</v>
      </c>
      <c r="B61" s="502" t="s">
        <v>525</v>
      </c>
      <c r="C61" s="493">
        <f t="shared" si="1"/>
        <v>2400000</v>
      </c>
      <c r="D61" s="493"/>
      <c r="E61" s="493">
        <f>SUM(E63:E65)</f>
        <v>2400000</v>
      </c>
      <c r="F61" s="568"/>
      <c r="G61" s="104"/>
    </row>
    <row r="62" spans="1:7" ht="16.5" thickTop="1" thickBot="1" x14ac:dyDescent="0.3">
      <c r="A62" s="494">
        <v>1901000</v>
      </c>
      <c r="B62" s="495" t="s">
        <v>84</v>
      </c>
      <c r="C62" s="496">
        <f t="shared" ref="C62:C66" si="3">SUM(D62,E62)</f>
        <v>2400000</v>
      </c>
      <c r="D62" s="496">
        <f>SUM(D63:D65)</f>
        <v>0</v>
      </c>
      <c r="E62" s="496">
        <f>SUM(E63:E65)</f>
        <v>2400000</v>
      </c>
      <c r="F62" s="496"/>
      <c r="G62" s="103"/>
    </row>
    <row r="63" spans="1:7" ht="52.5" thickTop="1" thickBot="1" x14ac:dyDescent="0.3">
      <c r="A63" s="566">
        <v>19010100</v>
      </c>
      <c r="B63" s="567" t="s">
        <v>526</v>
      </c>
      <c r="C63" s="493">
        <f t="shared" si="3"/>
        <v>225600</v>
      </c>
      <c r="D63" s="568"/>
      <c r="E63" s="568">
        <v>225600</v>
      </c>
      <c r="F63" s="568"/>
      <c r="G63" s="103"/>
    </row>
    <row r="64" spans="1:7" ht="27" thickTop="1" thickBot="1" x14ac:dyDescent="0.25">
      <c r="A64" s="566">
        <v>19010200</v>
      </c>
      <c r="B64" s="567" t="s">
        <v>1229</v>
      </c>
      <c r="C64" s="493">
        <f t="shared" si="3"/>
        <v>765800</v>
      </c>
      <c r="D64" s="568"/>
      <c r="E64" s="568">
        <v>765800</v>
      </c>
      <c r="F64" s="568"/>
      <c r="G64" s="106"/>
    </row>
    <row r="65" spans="1:7" ht="52.5" thickTop="1" thickBot="1" x14ac:dyDescent="0.3">
      <c r="A65" s="566">
        <v>19010300</v>
      </c>
      <c r="B65" s="567" t="s">
        <v>1230</v>
      </c>
      <c r="C65" s="493">
        <f t="shared" si="3"/>
        <v>1408600</v>
      </c>
      <c r="D65" s="568"/>
      <c r="E65" s="568">
        <f>(1008600)+400000</f>
        <v>1408600</v>
      </c>
      <c r="F65" s="568"/>
      <c r="G65" s="103"/>
    </row>
    <row r="66" spans="1:7" ht="30" customHeight="1" thickTop="1" thickBot="1" x14ac:dyDescent="0.3">
      <c r="A66" s="569">
        <v>20000000</v>
      </c>
      <c r="B66" s="569" t="s">
        <v>85</v>
      </c>
      <c r="C66" s="570">
        <f t="shared" si="3"/>
        <v>402234697</v>
      </c>
      <c r="D66" s="570">
        <f>SUM(D67,D77,D90,D95)+D89</f>
        <v>130790500</v>
      </c>
      <c r="E66" s="570">
        <f>SUM(E67,E77,E90,E95)+E89</f>
        <v>271444197</v>
      </c>
      <c r="F66" s="570">
        <f>SUM(F67,F77,F90,F95)+F89</f>
        <v>2300024</v>
      </c>
      <c r="G66" s="103"/>
    </row>
    <row r="67" spans="1:7" ht="27" thickTop="1" thickBot="1" x14ac:dyDescent="0.3">
      <c r="A67" s="491">
        <v>21000000</v>
      </c>
      <c r="B67" s="491" t="s">
        <v>527</v>
      </c>
      <c r="C67" s="493">
        <f>SUM(D67,E67)</f>
        <v>36305000</v>
      </c>
      <c r="D67" s="493">
        <f>SUM(D68,D71,D70)</f>
        <v>36305000</v>
      </c>
      <c r="E67" s="493"/>
      <c r="F67" s="493"/>
      <c r="G67" s="103"/>
    </row>
    <row r="68" spans="1:7" ht="55.5" thickTop="1" thickBot="1" x14ac:dyDescent="0.3">
      <c r="A68" s="494">
        <v>21010000</v>
      </c>
      <c r="B68" s="499" t="s">
        <v>528</v>
      </c>
      <c r="C68" s="496">
        <f t="shared" si="1"/>
        <v>1500000</v>
      </c>
      <c r="D68" s="496">
        <f>D69</f>
        <v>1500000</v>
      </c>
      <c r="E68" s="496"/>
      <c r="F68" s="496"/>
      <c r="G68" s="103"/>
    </row>
    <row r="69" spans="1:7" ht="52.5" thickTop="1" thickBot="1" x14ac:dyDescent="0.3">
      <c r="A69" s="566">
        <v>21010300</v>
      </c>
      <c r="B69" s="497" t="s">
        <v>1337</v>
      </c>
      <c r="C69" s="493">
        <f t="shared" si="1"/>
        <v>1500000</v>
      </c>
      <c r="D69" s="568">
        <v>1500000</v>
      </c>
      <c r="E69" s="568"/>
      <c r="F69" s="568"/>
      <c r="G69" s="103"/>
    </row>
    <row r="70" spans="1:7" ht="28.5" hidden="1" thickTop="1" thickBot="1" x14ac:dyDescent="0.3">
      <c r="A70" s="562">
        <v>21050000</v>
      </c>
      <c r="B70" s="564" t="s">
        <v>86</v>
      </c>
      <c r="C70" s="344">
        <f t="shared" si="1"/>
        <v>0</v>
      </c>
      <c r="D70" s="344">
        <v>0</v>
      </c>
      <c r="E70" s="344"/>
      <c r="F70" s="344"/>
      <c r="G70" s="103"/>
    </row>
    <row r="71" spans="1:7" ht="15" thickTop="1" thickBot="1" x14ac:dyDescent="0.25">
      <c r="A71" s="494">
        <v>21080000</v>
      </c>
      <c r="B71" s="499" t="s">
        <v>1008</v>
      </c>
      <c r="C71" s="496">
        <f>SUM(D71,E71)</f>
        <v>34805000</v>
      </c>
      <c r="D71" s="496">
        <f>SUM(D72:D76)</f>
        <v>34805000</v>
      </c>
      <c r="E71" s="496"/>
      <c r="F71" s="496"/>
      <c r="G71" s="106"/>
    </row>
    <row r="72" spans="1:7" ht="16.5" thickTop="1" thickBot="1" x14ac:dyDescent="0.3">
      <c r="A72" s="566">
        <v>21081100</v>
      </c>
      <c r="B72" s="503" t="s">
        <v>87</v>
      </c>
      <c r="C72" s="493">
        <f t="shared" ref="C72:C78" si="4">SUM(D72,E72)</f>
        <v>14700000</v>
      </c>
      <c r="D72" s="568">
        <f>(6000000)+1500000+7200000</f>
        <v>14700000</v>
      </c>
      <c r="E72" s="568"/>
      <c r="F72" s="568"/>
      <c r="G72" s="103"/>
    </row>
    <row r="73" spans="1:7" ht="90.75" thickTop="1" thickBot="1" x14ac:dyDescent="0.3">
      <c r="A73" s="566">
        <v>21081500</v>
      </c>
      <c r="B73" s="567" t="s">
        <v>1613</v>
      </c>
      <c r="C73" s="493">
        <f t="shared" si="4"/>
        <v>1055000</v>
      </c>
      <c r="D73" s="568">
        <v>1055000</v>
      </c>
      <c r="E73" s="568"/>
      <c r="F73" s="568"/>
      <c r="G73" s="103"/>
    </row>
    <row r="74" spans="1:7" ht="16.5" thickTop="1" thickBot="1" x14ac:dyDescent="0.3">
      <c r="A74" s="566">
        <v>21081700</v>
      </c>
      <c r="B74" s="567" t="s">
        <v>370</v>
      </c>
      <c r="C74" s="493">
        <f t="shared" si="4"/>
        <v>18250000</v>
      </c>
      <c r="D74" s="568">
        <f>(17100000)+1150000</f>
        <v>18250000</v>
      </c>
      <c r="E74" s="568"/>
      <c r="F74" s="568"/>
      <c r="G74" s="107"/>
    </row>
    <row r="75" spans="1:7" ht="52.5" thickTop="1" thickBot="1" x14ac:dyDescent="0.3">
      <c r="A75" s="566">
        <v>21081800</v>
      </c>
      <c r="B75" s="567" t="s">
        <v>1440</v>
      </c>
      <c r="C75" s="493">
        <f t="shared" si="4"/>
        <v>750000</v>
      </c>
      <c r="D75" s="568">
        <v>750000</v>
      </c>
      <c r="E75" s="568"/>
      <c r="F75" s="568"/>
      <c r="G75" s="107"/>
    </row>
    <row r="76" spans="1:7" ht="78" thickTop="1" thickBot="1" x14ac:dyDescent="0.3">
      <c r="A76" s="566">
        <v>21082400</v>
      </c>
      <c r="B76" s="567" t="s">
        <v>1441</v>
      </c>
      <c r="C76" s="493">
        <f t="shared" si="4"/>
        <v>50000</v>
      </c>
      <c r="D76" s="568">
        <v>50000</v>
      </c>
      <c r="E76" s="568"/>
      <c r="F76" s="568"/>
      <c r="G76" s="107"/>
    </row>
    <row r="77" spans="1:7" ht="27" thickTop="1" thickBot="1" x14ac:dyDescent="0.3">
      <c r="A77" s="491">
        <v>22000000</v>
      </c>
      <c r="B77" s="491" t="s">
        <v>88</v>
      </c>
      <c r="C77" s="493">
        <f t="shared" si="4"/>
        <v>69055000</v>
      </c>
      <c r="D77" s="493">
        <f>SUM(D78,D84,D86,D82)</f>
        <v>69055000</v>
      </c>
      <c r="E77" s="568"/>
      <c r="F77" s="568"/>
      <c r="G77" s="103"/>
    </row>
    <row r="78" spans="1:7" ht="24.75" customHeight="1" thickTop="1" thickBot="1" x14ac:dyDescent="0.3">
      <c r="A78" s="494">
        <v>22010000</v>
      </c>
      <c r="B78" s="495" t="s">
        <v>529</v>
      </c>
      <c r="C78" s="496">
        <f t="shared" si="4"/>
        <v>45200000</v>
      </c>
      <c r="D78" s="496">
        <f>SUM(D79:D81)</f>
        <v>45200000</v>
      </c>
      <c r="E78" s="496"/>
      <c r="F78" s="496"/>
      <c r="G78" s="103"/>
    </row>
    <row r="79" spans="1:7" ht="52.5" thickTop="1" thickBot="1" x14ac:dyDescent="0.3">
      <c r="A79" s="566">
        <v>22010300</v>
      </c>
      <c r="B79" s="567" t="s">
        <v>1614</v>
      </c>
      <c r="C79" s="493">
        <f t="shared" si="1"/>
        <v>1115500</v>
      </c>
      <c r="D79" s="568">
        <v>1115500</v>
      </c>
      <c r="E79" s="568"/>
      <c r="F79" s="568"/>
      <c r="G79" s="103"/>
    </row>
    <row r="80" spans="1:7" ht="16.5" thickTop="1" thickBot="1" x14ac:dyDescent="0.3">
      <c r="A80" s="566">
        <v>22012500</v>
      </c>
      <c r="B80" s="567" t="s">
        <v>90</v>
      </c>
      <c r="C80" s="493">
        <f t="shared" si="1"/>
        <v>40359450</v>
      </c>
      <c r="D80" s="568">
        <v>40359450</v>
      </c>
      <c r="E80" s="568"/>
      <c r="F80" s="568"/>
      <c r="G80" s="103"/>
    </row>
    <row r="81" spans="1:7" ht="27" thickTop="1" thickBot="1" x14ac:dyDescent="0.3">
      <c r="A81" s="566">
        <v>22012600</v>
      </c>
      <c r="B81" s="567" t="s">
        <v>89</v>
      </c>
      <c r="C81" s="493">
        <f>SUM(D81,E81)</f>
        <v>3725050</v>
      </c>
      <c r="D81" s="568">
        <v>3725050</v>
      </c>
      <c r="E81" s="568"/>
      <c r="F81" s="568"/>
      <c r="G81" s="103"/>
    </row>
    <row r="82" spans="1:7" ht="42" thickTop="1" thickBot="1" x14ac:dyDescent="0.3">
      <c r="A82" s="494">
        <v>22020000</v>
      </c>
      <c r="B82" s="495" t="s">
        <v>1507</v>
      </c>
      <c r="C82" s="496">
        <f t="shared" ref="C82" si="5">SUM(D82,E82)</f>
        <v>1005000</v>
      </c>
      <c r="D82" s="496">
        <f>SUM(D83)</f>
        <v>1005000</v>
      </c>
      <c r="E82" s="496"/>
      <c r="F82" s="496"/>
      <c r="G82" s="103"/>
    </row>
    <row r="83" spans="1:7" ht="39.75" thickTop="1" thickBot="1" x14ac:dyDescent="0.3">
      <c r="A83" s="566">
        <v>22020400</v>
      </c>
      <c r="B83" s="567" t="s">
        <v>1508</v>
      </c>
      <c r="C83" s="493">
        <f>SUM(D83,E83)</f>
        <v>1005000</v>
      </c>
      <c r="D83" s="568">
        <v>1005000</v>
      </c>
      <c r="E83" s="568"/>
      <c r="F83" s="568"/>
      <c r="G83" s="103"/>
    </row>
    <row r="84" spans="1:7" ht="42" thickTop="1" thickBot="1" x14ac:dyDescent="0.3">
      <c r="A84" s="494">
        <v>2208000</v>
      </c>
      <c r="B84" s="495" t="s">
        <v>530</v>
      </c>
      <c r="C84" s="496">
        <f t="shared" si="1"/>
        <v>21500000</v>
      </c>
      <c r="D84" s="496">
        <f>D85</f>
        <v>21500000</v>
      </c>
      <c r="E84" s="496"/>
      <c r="F84" s="496"/>
      <c r="G84" s="103"/>
    </row>
    <row r="85" spans="1:7" ht="52.5" thickTop="1" thickBot="1" x14ac:dyDescent="0.3">
      <c r="A85" s="566">
        <v>22080400</v>
      </c>
      <c r="B85" s="503" t="s">
        <v>91</v>
      </c>
      <c r="C85" s="493">
        <f t="shared" si="1"/>
        <v>21500000</v>
      </c>
      <c r="D85" s="568">
        <f>19500000+2000000</f>
        <v>21500000</v>
      </c>
      <c r="E85" s="568"/>
      <c r="F85" s="568"/>
      <c r="G85" s="103"/>
    </row>
    <row r="86" spans="1:7" ht="16.5" thickTop="1" thickBot="1" x14ac:dyDescent="0.3">
      <c r="A86" s="494">
        <v>22090000</v>
      </c>
      <c r="B86" s="504" t="s">
        <v>92</v>
      </c>
      <c r="C86" s="496">
        <f t="shared" si="1"/>
        <v>1350000</v>
      </c>
      <c r="D86" s="496">
        <f>SUM(D87:D88)</f>
        <v>1350000</v>
      </c>
      <c r="E86" s="496"/>
      <c r="F86" s="496"/>
      <c r="G86" s="103"/>
    </row>
    <row r="87" spans="1:7" ht="52.5" thickTop="1" thickBot="1" x14ac:dyDescent="0.3">
      <c r="A87" s="566">
        <v>22090100</v>
      </c>
      <c r="B87" s="497" t="s">
        <v>93</v>
      </c>
      <c r="C87" s="493">
        <f t="shared" si="1"/>
        <v>1247500</v>
      </c>
      <c r="D87" s="568">
        <f>447500+800000</f>
        <v>1247500</v>
      </c>
      <c r="E87" s="568"/>
      <c r="F87" s="568"/>
      <c r="G87" s="103"/>
    </row>
    <row r="88" spans="1:7" ht="39.75" thickTop="1" thickBot="1" x14ac:dyDescent="0.25">
      <c r="A88" s="566">
        <v>22090400</v>
      </c>
      <c r="B88" s="497" t="s">
        <v>94</v>
      </c>
      <c r="C88" s="493">
        <f t="shared" si="1"/>
        <v>102500</v>
      </c>
      <c r="D88" s="568">
        <v>102500</v>
      </c>
      <c r="E88" s="568"/>
      <c r="F88" s="568"/>
      <c r="G88" s="105"/>
    </row>
    <row r="89" spans="1:7" ht="78" thickTop="1" thickBot="1" x14ac:dyDescent="0.25">
      <c r="A89" s="491">
        <v>22130000</v>
      </c>
      <c r="B89" s="505" t="s">
        <v>1442</v>
      </c>
      <c r="C89" s="493">
        <f t="shared" si="1"/>
        <v>124300</v>
      </c>
      <c r="D89" s="493">
        <v>124300</v>
      </c>
      <c r="E89" s="493"/>
      <c r="F89" s="493"/>
      <c r="G89" s="105"/>
    </row>
    <row r="90" spans="1:7" ht="20.25" customHeight="1" thickTop="1" thickBot="1" x14ac:dyDescent="0.3">
      <c r="A90" s="491">
        <v>24000000</v>
      </c>
      <c r="B90" s="505" t="s">
        <v>95</v>
      </c>
      <c r="C90" s="493">
        <f t="shared" si="1"/>
        <v>27606224</v>
      </c>
      <c r="D90" s="493">
        <f>D91+D92+D94+D93</f>
        <v>25306200</v>
      </c>
      <c r="E90" s="493">
        <f>E91+E92+E94+E93</f>
        <v>2300024</v>
      </c>
      <c r="F90" s="493">
        <f>F91+F92+F94+F93</f>
        <v>2300024</v>
      </c>
      <c r="G90" s="103"/>
    </row>
    <row r="91" spans="1:7" ht="16.5" thickTop="1" thickBot="1" x14ac:dyDescent="0.3">
      <c r="A91" s="566">
        <v>24060300</v>
      </c>
      <c r="B91" s="567" t="s">
        <v>96</v>
      </c>
      <c r="C91" s="493">
        <f t="shared" si="1"/>
        <v>24306200</v>
      </c>
      <c r="D91" s="568">
        <f>(5306200)+16000000+3000000</f>
        <v>24306200</v>
      </c>
      <c r="E91" s="568"/>
      <c r="F91" s="568"/>
      <c r="G91" s="103"/>
    </row>
    <row r="92" spans="1:7" ht="65.25" thickTop="1" thickBot="1" x14ac:dyDescent="0.3">
      <c r="A92" s="566">
        <v>24062200</v>
      </c>
      <c r="B92" s="567" t="s">
        <v>371</v>
      </c>
      <c r="C92" s="493">
        <f t="shared" si="1"/>
        <v>1000000</v>
      </c>
      <c r="D92" s="568">
        <v>1000000</v>
      </c>
      <c r="E92" s="568"/>
      <c r="F92" s="568"/>
      <c r="G92" s="103"/>
    </row>
    <row r="93" spans="1:7" ht="39.75" thickTop="1" thickBot="1" x14ac:dyDescent="0.3">
      <c r="A93" s="566">
        <v>24110700</v>
      </c>
      <c r="B93" s="506" t="s">
        <v>580</v>
      </c>
      <c r="C93" s="493">
        <f t="shared" si="1"/>
        <v>24</v>
      </c>
      <c r="D93" s="568"/>
      <c r="E93" s="568">
        <v>24</v>
      </c>
      <c r="F93" s="568">
        <v>24</v>
      </c>
      <c r="G93" s="103"/>
    </row>
    <row r="94" spans="1:7" ht="27" thickTop="1" thickBot="1" x14ac:dyDescent="0.25">
      <c r="A94" s="566">
        <v>24170000</v>
      </c>
      <c r="B94" s="497" t="s">
        <v>97</v>
      </c>
      <c r="C94" s="493">
        <f t="shared" ref="C94:C100" si="6">SUM(D94,E94)</f>
        <v>2300000</v>
      </c>
      <c r="D94" s="568"/>
      <c r="E94" s="568">
        <f>2050000+250000</f>
        <v>2300000</v>
      </c>
      <c r="F94" s="568">
        <f>2050000+250000</f>
        <v>2300000</v>
      </c>
      <c r="G94" s="104"/>
    </row>
    <row r="95" spans="1:7" ht="16.5" thickTop="1" thickBot="1" x14ac:dyDescent="0.3">
      <c r="A95" s="491">
        <v>25000000</v>
      </c>
      <c r="B95" s="507" t="s">
        <v>98</v>
      </c>
      <c r="C95" s="493">
        <f t="shared" si="6"/>
        <v>269144173</v>
      </c>
      <c r="D95" s="493">
        <f>SUM(D96:D100,)</f>
        <v>0</v>
      </c>
      <c r="E95" s="493">
        <f>SUM(E96)</f>
        <v>269144173</v>
      </c>
      <c r="F95" s="493"/>
      <c r="G95" s="103"/>
    </row>
    <row r="96" spans="1:7" ht="42" thickTop="1" thickBot="1" x14ac:dyDescent="0.3">
      <c r="A96" s="494">
        <v>25010000</v>
      </c>
      <c r="B96" s="499" t="s">
        <v>99</v>
      </c>
      <c r="C96" s="496">
        <f t="shared" si="6"/>
        <v>269144173</v>
      </c>
      <c r="D96" s="496">
        <v>0</v>
      </c>
      <c r="E96" s="496">
        <f>SUM(E97:E100)</f>
        <v>269144173</v>
      </c>
      <c r="F96" s="496"/>
      <c r="G96" s="103"/>
    </row>
    <row r="97" spans="1:7" ht="27" thickTop="1" thickBot="1" x14ac:dyDescent="0.3">
      <c r="A97" s="566">
        <v>25010100</v>
      </c>
      <c r="B97" s="497" t="s">
        <v>100</v>
      </c>
      <c r="C97" s="493">
        <f t="shared" si="6"/>
        <v>249631850</v>
      </c>
      <c r="D97" s="568"/>
      <c r="E97" s="568">
        <f>(249100152)+731698-200000</f>
        <v>249631850</v>
      </c>
      <c r="F97" s="568"/>
      <c r="G97" s="103"/>
    </row>
    <row r="98" spans="1:7" ht="27" thickTop="1" thickBot="1" x14ac:dyDescent="0.3">
      <c r="A98" s="566">
        <v>25010200</v>
      </c>
      <c r="B98" s="497" t="s">
        <v>101</v>
      </c>
      <c r="C98" s="493">
        <f t="shared" si="6"/>
        <v>14929490</v>
      </c>
      <c r="D98" s="568"/>
      <c r="E98" s="568">
        <v>14929490</v>
      </c>
      <c r="F98" s="568"/>
      <c r="G98" s="103"/>
    </row>
    <row r="99" spans="1:7" ht="16.5" thickTop="1" thickBot="1" x14ac:dyDescent="0.3">
      <c r="A99" s="566">
        <v>25010300</v>
      </c>
      <c r="B99" s="497" t="s">
        <v>102</v>
      </c>
      <c r="C99" s="493">
        <f t="shared" si="6"/>
        <v>4543833</v>
      </c>
      <c r="D99" s="568"/>
      <c r="E99" s="568">
        <f>4343833+200000</f>
        <v>4543833</v>
      </c>
      <c r="F99" s="568"/>
      <c r="G99" s="103"/>
    </row>
    <row r="100" spans="1:7" ht="39.75" thickTop="1" thickBot="1" x14ac:dyDescent="0.3">
      <c r="A100" s="566">
        <v>25010400</v>
      </c>
      <c r="B100" s="497" t="s">
        <v>103</v>
      </c>
      <c r="C100" s="493">
        <f t="shared" si="6"/>
        <v>39000</v>
      </c>
      <c r="D100" s="568"/>
      <c r="E100" s="568">
        <v>39000</v>
      </c>
      <c r="F100" s="568"/>
      <c r="G100" s="103"/>
    </row>
    <row r="101" spans="1:7" ht="24.75" customHeight="1" thickTop="1" thickBot="1" x14ac:dyDescent="0.25">
      <c r="A101" s="569">
        <v>30000000</v>
      </c>
      <c r="B101" s="569" t="s">
        <v>104</v>
      </c>
      <c r="C101" s="570">
        <f>SUM(D101,E101)</f>
        <v>18163825</v>
      </c>
      <c r="D101" s="570">
        <f>SUM(D102)+D106</f>
        <v>25000</v>
      </c>
      <c r="E101" s="570">
        <f>SUM(E102)+E106</f>
        <v>18138825</v>
      </c>
      <c r="F101" s="570">
        <f>SUM(F102)+F106</f>
        <v>18138825</v>
      </c>
      <c r="G101" s="105"/>
    </row>
    <row r="102" spans="1:7" ht="27" customHeight="1" thickTop="1" thickBot="1" x14ac:dyDescent="0.3">
      <c r="A102" s="491">
        <v>31000000</v>
      </c>
      <c r="B102" s="491" t="s">
        <v>105</v>
      </c>
      <c r="C102" s="493">
        <f>SUM(D102,E102)</f>
        <v>4025000</v>
      </c>
      <c r="D102" s="493">
        <f>D103+D105</f>
        <v>25000</v>
      </c>
      <c r="E102" s="493">
        <f>E103+E105</f>
        <v>4000000</v>
      </c>
      <c r="F102" s="493">
        <f>F103+F105</f>
        <v>4000000</v>
      </c>
      <c r="G102" s="103"/>
    </row>
    <row r="103" spans="1:7" ht="82.5" thickTop="1" thickBot="1" x14ac:dyDescent="0.3">
      <c r="A103" s="494">
        <v>3101000</v>
      </c>
      <c r="B103" s="495" t="s">
        <v>531</v>
      </c>
      <c r="C103" s="496">
        <f>SUM(D103,E103)</f>
        <v>25000</v>
      </c>
      <c r="D103" s="496">
        <f>D104</f>
        <v>25000</v>
      </c>
      <c r="E103" s="496"/>
      <c r="F103" s="496"/>
      <c r="G103" s="103"/>
    </row>
    <row r="104" spans="1:7" ht="78" thickTop="1" thickBot="1" x14ac:dyDescent="0.3">
      <c r="A104" s="566">
        <v>31010200</v>
      </c>
      <c r="B104" s="497" t="s">
        <v>106</v>
      </c>
      <c r="C104" s="493">
        <f>SUM(D104,E104)</f>
        <v>25000</v>
      </c>
      <c r="D104" s="568">
        <v>25000</v>
      </c>
      <c r="E104" s="568"/>
      <c r="F104" s="568"/>
      <c r="G104" s="103"/>
    </row>
    <row r="105" spans="1:7" ht="55.5" thickTop="1" thickBot="1" x14ac:dyDescent="0.3">
      <c r="A105" s="494">
        <v>31030000</v>
      </c>
      <c r="B105" s="499" t="s">
        <v>107</v>
      </c>
      <c r="C105" s="496">
        <f t="shared" si="1"/>
        <v>4000000</v>
      </c>
      <c r="D105" s="496"/>
      <c r="E105" s="496">
        <v>4000000</v>
      </c>
      <c r="F105" s="496">
        <v>4000000</v>
      </c>
      <c r="G105" s="103"/>
    </row>
    <row r="106" spans="1:7" ht="27" thickTop="1" thickBot="1" x14ac:dyDescent="0.3">
      <c r="A106" s="491">
        <v>33000000</v>
      </c>
      <c r="B106" s="491" t="s">
        <v>108</v>
      </c>
      <c r="C106" s="493">
        <f t="shared" si="1"/>
        <v>14138825</v>
      </c>
      <c r="D106" s="493">
        <f>SUM(D107)</f>
        <v>0</v>
      </c>
      <c r="E106" s="493">
        <f>SUM(E107)</f>
        <v>14138825</v>
      </c>
      <c r="F106" s="493">
        <f>SUM(F107)</f>
        <v>14138825</v>
      </c>
      <c r="G106" s="103"/>
    </row>
    <row r="107" spans="1:7" ht="16.5" thickTop="1" thickBot="1" x14ac:dyDescent="0.3">
      <c r="A107" s="494">
        <v>33010000</v>
      </c>
      <c r="B107" s="495" t="s">
        <v>109</v>
      </c>
      <c r="C107" s="496">
        <f>SUM(D107,E107)</f>
        <v>14138825</v>
      </c>
      <c r="D107" s="496">
        <f>SUM(D108:D110)</f>
        <v>0</v>
      </c>
      <c r="E107" s="496">
        <f>SUM(E108:E110)</f>
        <v>14138825</v>
      </c>
      <c r="F107" s="496">
        <f>SUM(F108:F110)</f>
        <v>14138825</v>
      </c>
      <c r="G107" s="103"/>
    </row>
    <row r="108" spans="1:7" ht="52.5" thickTop="1" thickBot="1" x14ac:dyDescent="0.3">
      <c r="A108" s="566">
        <v>33010100</v>
      </c>
      <c r="B108" s="497" t="s">
        <v>340</v>
      </c>
      <c r="C108" s="493">
        <f t="shared" si="1"/>
        <v>12572910</v>
      </c>
      <c r="D108" s="568"/>
      <c r="E108" s="568">
        <f>(11092610)+1480300</f>
        <v>12572910</v>
      </c>
      <c r="F108" s="568">
        <f>(11092610)+1480300</f>
        <v>12572910</v>
      </c>
      <c r="G108" s="103"/>
    </row>
    <row r="109" spans="1:7" ht="52.5" thickTop="1" thickBot="1" x14ac:dyDescent="0.3">
      <c r="A109" s="566">
        <v>33010200</v>
      </c>
      <c r="B109" s="497" t="s">
        <v>110</v>
      </c>
      <c r="C109" s="493">
        <f>SUM(D109,E109)</f>
        <v>1565915</v>
      </c>
      <c r="D109" s="568"/>
      <c r="E109" s="568">
        <v>1565915</v>
      </c>
      <c r="F109" s="568">
        <v>1565915</v>
      </c>
      <c r="G109" s="103"/>
    </row>
    <row r="110" spans="1:7" ht="65.25" hidden="1" thickTop="1" thickBot="1" x14ac:dyDescent="0.3">
      <c r="A110" s="345">
        <v>33010500</v>
      </c>
      <c r="B110" s="348" t="s">
        <v>1338</v>
      </c>
      <c r="C110" s="343">
        <f>SUM(D110,E110)</f>
        <v>0</v>
      </c>
      <c r="D110" s="347"/>
      <c r="E110" s="347">
        <v>0</v>
      </c>
      <c r="F110" s="347">
        <v>0</v>
      </c>
      <c r="G110" s="103"/>
    </row>
    <row r="111" spans="1:7" ht="27" customHeight="1" thickTop="1" thickBot="1" x14ac:dyDescent="0.3">
      <c r="A111" s="569">
        <v>50000000</v>
      </c>
      <c r="B111" s="569" t="s">
        <v>482</v>
      </c>
      <c r="C111" s="570">
        <f>SUM(D111,E111)</f>
        <v>6997000</v>
      </c>
      <c r="D111" s="570">
        <f>SUM(D112)</f>
        <v>0</v>
      </c>
      <c r="E111" s="570">
        <f>SUM(E112)</f>
        <v>6997000</v>
      </c>
      <c r="F111" s="570">
        <f>SUM(F112)</f>
        <v>0</v>
      </c>
      <c r="G111" s="103"/>
    </row>
    <row r="112" spans="1:7" ht="52.5" thickTop="1" thickBot="1" x14ac:dyDescent="0.3">
      <c r="A112" s="491">
        <v>50110000</v>
      </c>
      <c r="B112" s="502" t="s">
        <v>111</v>
      </c>
      <c r="C112" s="493">
        <f t="shared" ref="C112:C155" si="7">SUM(D112,E112)</f>
        <v>6997000</v>
      </c>
      <c r="D112" s="568"/>
      <c r="E112" s="493">
        <f>(5500000)+697000+800000</f>
        <v>6997000</v>
      </c>
      <c r="F112" s="568"/>
      <c r="G112" s="103"/>
    </row>
    <row r="113" spans="1:7" ht="45.75" customHeight="1" thickTop="1" thickBot="1" x14ac:dyDescent="0.25">
      <c r="A113" s="571"/>
      <c r="B113" s="572" t="s">
        <v>483</v>
      </c>
      <c r="C113" s="573">
        <f t="shared" ref="C113:C121" si="8">SUM(D113,E113)</f>
        <v>4398276510.5200005</v>
      </c>
      <c r="D113" s="573">
        <f>D111+D101+D66+D15</f>
        <v>4099296488.52</v>
      </c>
      <c r="E113" s="573">
        <f>E111+E101+E66+E15</f>
        <v>298980022</v>
      </c>
      <c r="F113" s="573">
        <f>F111+F101+F66+F15</f>
        <v>20438849</v>
      </c>
      <c r="G113" s="104"/>
    </row>
    <row r="114" spans="1:7" ht="34.5" customHeight="1" thickTop="1" thickBot="1" x14ac:dyDescent="0.25">
      <c r="A114" s="569">
        <v>40000000</v>
      </c>
      <c r="B114" s="569" t="s">
        <v>422</v>
      </c>
      <c r="C114" s="570">
        <f>SUM(D114,E114)</f>
        <v>929135917.20000005</v>
      </c>
      <c r="D114" s="570">
        <f>SUM(D120,D117,D115)</f>
        <v>927335950.20000005</v>
      </c>
      <c r="E114" s="570">
        <f>SUM(E120,E117,E115)</f>
        <v>1799967</v>
      </c>
      <c r="F114" s="570">
        <f>SUM(F120,F117,F115)</f>
        <v>0</v>
      </c>
      <c r="G114" s="104"/>
    </row>
    <row r="115" spans="1:7" ht="27" hidden="1" customHeight="1" thickTop="1" thickBot="1" x14ac:dyDescent="0.25">
      <c r="A115" s="342">
        <v>41020000</v>
      </c>
      <c r="B115" s="349" t="s">
        <v>1283</v>
      </c>
      <c r="C115" s="343">
        <f t="shared" ref="C115:C116" si="9">SUM(D115,E115)</f>
        <v>0</v>
      </c>
      <c r="D115" s="343">
        <f>SUM(D116)</f>
        <v>0</v>
      </c>
      <c r="E115" s="343"/>
      <c r="F115" s="343"/>
      <c r="G115" s="104"/>
    </row>
    <row r="116" spans="1:7" ht="103.5" hidden="1" thickTop="1" thickBot="1" x14ac:dyDescent="0.25">
      <c r="A116" s="345">
        <v>41021400</v>
      </c>
      <c r="B116" s="348" t="s">
        <v>1289</v>
      </c>
      <c r="C116" s="343">
        <f t="shared" si="9"/>
        <v>0</v>
      </c>
      <c r="D116" s="347">
        <v>0</v>
      </c>
      <c r="E116" s="343"/>
      <c r="F116" s="343"/>
      <c r="G116" s="104"/>
    </row>
    <row r="117" spans="1:7" ht="27" thickTop="1" thickBot="1" x14ac:dyDescent="0.25">
      <c r="A117" s="491">
        <v>41040000</v>
      </c>
      <c r="B117" s="498" t="s">
        <v>341</v>
      </c>
      <c r="C117" s="493">
        <f>SUM(D117,E117)</f>
        <v>7340006.0999999996</v>
      </c>
      <c r="D117" s="493">
        <f>SUM(D118:D119)</f>
        <v>7340006.0999999996</v>
      </c>
      <c r="E117" s="493"/>
      <c r="F117" s="493"/>
      <c r="G117" s="104"/>
    </row>
    <row r="118" spans="1:7" ht="65.25" thickTop="1" thickBot="1" x14ac:dyDescent="0.25">
      <c r="A118" s="566">
        <v>41040200</v>
      </c>
      <c r="B118" s="497" t="s">
        <v>1120</v>
      </c>
      <c r="C118" s="493">
        <f t="shared" si="8"/>
        <v>7178900</v>
      </c>
      <c r="D118" s="568">
        <v>7178900</v>
      </c>
      <c r="E118" s="493"/>
      <c r="F118" s="493"/>
      <c r="G118" s="104"/>
    </row>
    <row r="119" spans="1:7" ht="21" customHeight="1" thickTop="1" thickBot="1" x14ac:dyDescent="0.25">
      <c r="A119" s="566">
        <v>41040400</v>
      </c>
      <c r="B119" s="497" t="s">
        <v>1176</v>
      </c>
      <c r="C119" s="493">
        <f t="shared" si="8"/>
        <v>161106.09999999998</v>
      </c>
      <c r="D119" s="568">
        <f>(92669.43)+68436.67</f>
        <v>161106.09999999998</v>
      </c>
      <c r="E119" s="493"/>
      <c r="F119" s="493"/>
      <c r="G119" s="104"/>
    </row>
    <row r="120" spans="1:7" s="485" customFormat="1" ht="15.75" thickTop="1" thickBot="1" x14ac:dyDescent="0.25">
      <c r="A120" s="491">
        <v>41000000</v>
      </c>
      <c r="B120" s="491" t="s">
        <v>112</v>
      </c>
      <c r="C120" s="493">
        <f t="shared" si="8"/>
        <v>921795911.10000002</v>
      </c>
      <c r="D120" s="493">
        <f>SUM(D121,D133)</f>
        <v>919995944.10000002</v>
      </c>
      <c r="E120" s="493">
        <f>SUM(E121,E133)</f>
        <v>1799967</v>
      </c>
      <c r="F120" s="493">
        <f>SUM(F121,F133)</f>
        <v>0</v>
      </c>
      <c r="G120" s="510"/>
    </row>
    <row r="121" spans="1:7" s="485" customFormat="1" ht="27" thickTop="1" thickBot="1" x14ac:dyDescent="0.3">
      <c r="A121" s="491">
        <v>41030000</v>
      </c>
      <c r="B121" s="507" t="s">
        <v>433</v>
      </c>
      <c r="C121" s="493">
        <f t="shared" si="8"/>
        <v>842584267</v>
      </c>
      <c r="D121" s="493">
        <f>SUM(D122:D132)</f>
        <v>840784300</v>
      </c>
      <c r="E121" s="493">
        <f>SUM(E122:E132)</f>
        <v>1799967</v>
      </c>
      <c r="F121" s="493">
        <f>SUM(F122:F132)</f>
        <v>0</v>
      </c>
      <c r="G121" s="492"/>
    </row>
    <row r="122" spans="1:7" ht="52.5" hidden="1" thickTop="1" thickBot="1" x14ac:dyDescent="0.3">
      <c r="A122" s="345">
        <v>41032300</v>
      </c>
      <c r="B122" s="346" t="s">
        <v>961</v>
      </c>
      <c r="C122" s="343">
        <f t="shared" si="7"/>
        <v>0</v>
      </c>
      <c r="D122" s="347">
        <v>0</v>
      </c>
      <c r="E122" s="343"/>
      <c r="F122" s="347"/>
      <c r="G122" s="103"/>
    </row>
    <row r="123" spans="1:7" ht="52.5" hidden="1" thickTop="1" thickBot="1" x14ac:dyDescent="0.3">
      <c r="A123" s="345">
        <v>41033300</v>
      </c>
      <c r="B123" s="346" t="s">
        <v>1529</v>
      </c>
      <c r="C123" s="343">
        <f t="shared" si="7"/>
        <v>0</v>
      </c>
      <c r="D123" s="347">
        <v>0</v>
      </c>
      <c r="E123" s="343"/>
      <c r="F123" s="347"/>
      <c r="G123" s="103"/>
    </row>
    <row r="124" spans="1:7" ht="52.5" hidden="1" thickTop="1" thickBot="1" x14ac:dyDescent="0.3">
      <c r="A124" s="345">
        <v>41033800</v>
      </c>
      <c r="B124" s="346" t="s">
        <v>1010</v>
      </c>
      <c r="C124" s="343">
        <f t="shared" si="7"/>
        <v>0</v>
      </c>
      <c r="D124" s="347">
        <v>0</v>
      </c>
      <c r="E124" s="343"/>
      <c r="F124" s="347"/>
      <c r="G124" s="103"/>
    </row>
    <row r="125" spans="1:7" ht="27" thickTop="1" thickBot="1" x14ac:dyDescent="0.3">
      <c r="A125" s="566">
        <v>41033900</v>
      </c>
      <c r="B125" s="567" t="s">
        <v>113</v>
      </c>
      <c r="C125" s="493">
        <f t="shared" si="7"/>
        <v>784582367</v>
      </c>
      <c r="D125" s="568">
        <f>(522248400)+260534000</f>
        <v>782782400</v>
      </c>
      <c r="E125" s="568">
        <v>1799967</v>
      </c>
      <c r="F125" s="568"/>
      <c r="G125" s="103"/>
    </row>
    <row r="126" spans="1:7" ht="39.75" hidden="1" thickTop="1" thickBot="1" x14ac:dyDescent="0.3">
      <c r="A126" s="345">
        <v>41034500</v>
      </c>
      <c r="B126" s="346" t="s">
        <v>1011</v>
      </c>
      <c r="C126" s="343">
        <f t="shared" si="7"/>
        <v>0</v>
      </c>
      <c r="D126" s="347">
        <v>0</v>
      </c>
      <c r="E126" s="347">
        <v>0</v>
      </c>
      <c r="F126" s="347">
        <v>0</v>
      </c>
      <c r="G126" s="103"/>
    </row>
    <row r="127" spans="1:7" ht="39.75" thickTop="1" thickBot="1" x14ac:dyDescent="0.3">
      <c r="A127" s="566">
        <v>41035400</v>
      </c>
      <c r="B127" s="567" t="s">
        <v>1624</v>
      </c>
      <c r="C127" s="493">
        <f t="shared" si="7"/>
        <v>5255400</v>
      </c>
      <c r="D127" s="568">
        <v>5255400</v>
      </c>
      <c r="E127" s="568"/>
      <c r="F127" s="568"/>
      <c r="G127" s="103"/>
    </row>
    <row r="128" spans="1:7" ht="52.5" hidden="1" thickTop="1" thickBot="1" x14ac:dyDescent="0.3">
      <c r="A128" s="345">
        <v>41035500</v>
      </c>
      <c r="B128" s="346" t="s">
        <v>963</v>
      </c>
      <c r="C128" s="343">
        <f t="shared" si="7"/>
        <v>0</v>
      </c>
      <c r="D128" s="347">
        <v>0</v>
      </c>
      <c r="E128" s="347"/>
      <c r="F128" s="347"/>
      <c r="G128" s="103"/>
    </row>
    <row r="129" spans="1:7" ht="65.25" hidden="1" thickTop="1" thickBot="1" x14ac:dyDescent="0.3">
      <c r="A129" s="345">
        <v>41035600</v>
      </c>
      <c r="B129" s="346" t="s">
        <v>980</v>
      </c>
      <c r="C129" s="343">
        <f t="shared" si="7"/>
        <v>0</v>
      </c>
      <c r="D129" s="347">
        <v>0</v>
      </c>
      <c r="E129" s="347"/>
      <c r="F129" s="347"/>
      <c r="G129" s="103"/>
    </row>
    <row r="130" spans="1:7" ht="65.25" thickTop="1" thickBot="1" x14ac:dyDescent="0.3">
      <c r="A130" s="566">
        <v>41036000</v>
      </c>
      <c r="B130" s="567" t="s">
        <v>1688</v>
      </c>
      <c r="C130" s="493">
        <f t="shared" si="7"/>
        <v>13335900</v>
      </c>
      <c r="D130" s="568">
        <v>13335900</v>
      </c>
      <c r="E130" s="568"/>
      <c r="F130" s="568"/>
      <c r="G130" s="103"/>
    </row>
    <row r="131" spans="1:7" ht="39.75" thickTop="1" thickBot="1" x14ac:dyDescent="0.3">
      <c r="A131" s="566">
        <v>41036300</v>
      </c>
      <c r="B131" s="567" t="s">
        <v>1625</v>
      </c>
      <c r="C131" s="493">
        <f t="shared" si="7"/>
        <v>39410600</v>
      </c>
      <c r="D131" s="568">
        <f>(38198300)+1212300</f>
        <v>39410600</v>
      </c>
      <c r="E131" s="568"/>
      <c r="F131" s="568"/>
      <c r="G131" s="103"/>
    </row>
    <row r="132" spans="1:7" ht="39.75" hidden="1" thickTop="1" thickBot="1" x14ac:dyDescent="0.3">
      <c r="A132" s="345">
        <v>41035700</v>
      </c>
      <c r="B132" s="346" t="s">
        <v>954</v>
      </c>
      <c r="C132" s="343">
        <f t="shared" si="7"/>
        <v>0</v>
      </c>
      <c r="D132" s="347">
        <v>0</v>
      </c>
      <c r="E132" s="347"/>
      <c r="F132" s="347"/>
      <c r="G132" s="103"/>
    </row>
    <row r="133" spans="1:7" s="485" customFormat="1" ht="27" thickTop="1" thickBot="1" x14ac:dyDescent="0.3">
      <c r="A133" s="491">
        <v>41050000</v>
      </c>
      <c r="B133" s="507" t="s">
        <v>468</v>
      </c>
      <c r="C133" s="493">
        <f>SUM(D133,E133)</f>
        <v>79211644.099999994</v>
      </c>
      <c r="D133" s="493">
        <f>SUM(D134:D149)+D156+D157+D158+D159</f>
        <v>79211644.099999994</v>
      </c>
      <c r="E133" s="493">
        <f>SUM(E134:E149)+E156+E157++E158+E159</f>
        <v>0</v>
      </c>
      <c r="F133" s="493">
        <f>SUM(F134:F149)+F156+F157++F158+F159</f>
        <v>0</v>
      </c>
      <c r="G133" s="492"/>
    </row>
    <row r="134" spans="1:7" s="485" customFormat="1" ht="90.75" thickTop="1" thickBot="1" x14ac:dyDescent="0.3">
      <c r="A134" s="566">
        <v>41050100</v>
      </c>
      <c r="B134" s="567" t="s">
        <v>1717</v>
      </c>
      <c r="C134" s="493">
        <f t="shared" si="7"/>
        <v>15857130</v>
      </c>
      <c r="D134" s="568">
        <f>(7780090)+8077040</f>
        <v>15857130</v>
      </c>
      <c r="E134" s="568"/>
      <c r="F134" s="568"/>
      <c r="G134" s="492"/>
    </row>
    <row r="135" spans="1:7" s="485" customFormat="1" ht="358.5" thickTop="1" thickBot="1" x14ac:dyDescent="0.3">
      <c r="A135" s="566">
        <v>41050200</v>
      </c>
      <c r="B135" s="567" t="s">
        <v>1691</v>
      </c>
      <c r="C135" s="493">
        <f t="shared" ref="C135:C143" si="10">SUM(D135,E135)</f>
        <v>44763277.100000001</v>
      </c>
      <c r="D135" s="568">
        <v>44763277.100000001</v>
      </c>
      <c r="E135" s="568"/>
      <c r="F135" s="568"/>
      <c r="G135" s="492"/>
    </row>
    <row r="136" spans="1:7" ht="345.75" hidden="1" thickTop="1" thickBot="1" x14ac:dyDescent="0.3">
      <c r="A136" s="345">
        <v>41050400</v>
      </c>
      <c r="B136" s="346" t="s">
        <v>1358</v>
      </c>
      <c r="C136" s="343">
        <f t="shared" si="10"/>
        <v>0</v>
      </c>
      <c r="D136" s="347">
        <v>0</v>
      </c>
      <c r="E136" s="347"/>
      <c r="F136" s="347"/>
      <c r="G136" s="103"/>
    </row>
    <row r="137" spans="1:7" ht="243.75" hidden="1" thickTop="1" thickBot="1" x14ac:dyDescent="0.3">
      <c r="A137" s="345">
        <v>41050500</v>
      </c>
      <c r="B137" s="346" t="s">
        <v>1012</v>
      </c>
      <c r="C137" s="343">
        <f t="shared" si="10"/>
        <v>0</v>
      </c>
      <c r="D137" s="347">
        <v>0</v>
      </c>
      <c r="E137" s="347"/>
      <c r="F137" s="347"/>
      <c r="G137" s="103"/>
    </row>
    <row r="138" spans="1:7" ht="345.75" hidden="1" thickTop="1" thickBot="1" x14ac:dyDescent="0.3">
      <c r="A138" s="345">
        <v>41050600</v>
      </c>
      <c r="B138" s="346" t="s">
        <v>1359</v>
      </c>
      <c r="C138" s="343">
        <f t="shared" si="10"/>
        <v>0</v>
      </c>
      <c r="D138" s="347">
        <v>0</v>
      </c>
      <c r="E138" s="347"/>
      <c r="F138" s="347"/>
      <c r="G138" s="103"/>
    </row>
    <row r="139" spans="1:7" ht="116.25" hidden="1" thickTop="1" thickBot="1" x14ac:dyDescent="0.3">
      <c r="A139" s="345">
        <v>41050900</v>
      </c>
      <c r="B139" s="346" t="s">
        <v>1013</v>
      </c>
      <c r="C139" s="343">
        <f t="shared" si="10"/>
        <v>0</v>
      </c>
      <c r="D139" s="347">
        <v>0</v>
      </c>
      <c r="E139" s="347"/>
      <c r="F139" s="347"/>
      <c r="G139" s="103"/>
    </row>
    <row r="140" spans="1:7" s="485" customFormat="1" ht="39.75" thickTop="1" thickBot="1" x14ac:dyDescent="0.3">
      <c r="A140" s="566">
        <v>41051000</v>
      </c>
      <c r="B140" s="567" t="s">
        <v>469</v>
      </c>
      <c r="C140" s="493">
        <f t="shared" si="10"/>
        <v>13186800</v>
      </c>
      <c r="D140" s="568">
        <f>((8694404)+98504)+4393892</f>
        <v>13186800</v>
      </c>
      <c r="E140" s="568"/>
      <c r="F140" s="568"/>
      <c r="G140" s="492"/>
    </row>
    <row r="141" spans="1:7" ht="39.75" hidden="1" thickTop="1" thickBot="1" x14ac:dyDescent="0.3">
      <c r="A141" s="345">
        <v>41051100</v>
      </c>
      <c r="B141" s="346" t="s">
        <v>1477</v>
      </c>
      <c r="C141" s="343">
        <f t="shared" si="10"/>
        <v>0</v>
      </c>
      <c r="D141" s="347"/>
      <c r="E141" s="347">
        <v>0</v>
      </c>
      <c r="F141" s="347"/>
      <c r="G141" s="103"/>
    </row>
    <row r="142" spans="1:7" s="485" customFormat="1" ht="52.5" hidden="1" thickTop="1" thickBot="1" x14ac:dyDescent="0.3">
      <c r="A142" s="566">
        <v>41051200</v>
      </c>
      <c r="B142" s="567" t="s">
        <v>1242</v>
      </c>
      <c r="C142" s="493">
        <f>SUM(D142,E142)</f>
        <v>0</v>
      </c>
      <c r="D142" s="568">
        <v>0</v>
      </c>
      <c r="E142" s="568"/>
      <c r="F142" s="568"/>
      <c r="G142" s="492"/>
    </row>
    <row r="143" spans="1:7" ht="65.25" hidden="1" thickTop="1" thickBot="1" x14ac:dyDescent="0.3">
      <c r="A143" s="345">
        <v>41051400</v>
      </c>
      <c r="B143" s="346" t="s">
        <v>1517</v>
      </c>
      <c r="C143" s="343">
        <f t="shared" si="10"/>
        <v>0</v>
      </c>
      <c r="D143" s="347">
        <v>0</v>
      </c>
      <c r="E143" s="347"/>
      <c r="F143" s="347"/>
      <c r="G143" s="103"/>
    </row>
    <row r="144" spans="1:7" ht="65.25" hidden="1" thickTop="1" thickBot="1" x14ac:dyDescent="0.3">
      <c r="A144" s="345">
        <v>41051700</v>
      </c>
      <c r="B144" s="346" t="s">
        <v>925</v>
      </c>
      <c r="C144" s="343">
        <f t="shared" si="7"/>
        <v>0</v>
      </c>
      <c r="D144" s="347">
        <v>0</v>
      </c>
      <c r="E144" s="347"/>
      <c r="F144" s="347"/>
      <c r="G144" s="103"/>
    </row>
    <row r="145" spans="1:10" ht="103.5" hidden="1" thickTop="1" thickBot="1" x14ac:dyDescent="0.3">
      <c r="A145" s="351">
        <v>41056600</v>
      </c>
      <c r="B145" s="352" t="s">
        <v>995</v>
      </c>
      <c r="C145" s="353">
        <f t="shared" si="7"/>
        <v>0</v>
      </c>
      <c r="D145" s="354">
        <f>10623233.82-10623233.82</f>
        <v>0</v>
      </c>
      <c r="E145" s="354"/>
      <c r="F145" s="354"/>
      <c r="G145" s="103"/>
    </row>
    <row r="146" spans="1:10" ht="65.25" hidden="1" thickTop="1" thickBot="1" x14ac:dyDescent="0.25">
      <c r="A146" s="351">
        <v>41055000</v>
      </c>
      <c r="B146" s="352" t="s">
        <v>1014</v>
      </c>
      <c r="C146" s="353">
        <f t="shared" si="7"/>
        <v>0</v>
      </c>
      <c r="D146" s="354">
        <v>0</v>
      </c>
      <c r="E146" s="354"/>
      <c r="F146" s="354"/>
      <c r="G146" s="104"/>
    </row>
    <row r="147" spans="1:10" ht="27" hidden="1" thickTop="1" thickBot="1" x14ac:dyDescent="0.25">
      <c r="A147" s="351">
        <v>41053600</v>
      </c>
      <c r="B147" s="352" t="s">
        <v>927</v>
      </c>
      <c r="C147" s="353">
        <f t="shared" si="7"/>
        <v>0</v>
      </c>
      <c r="D147" s="354"/>
      <c r="E147" s="354">
        <v>0</v>
      </c>
      <c r="F147" s="354"/>
      <c r="G147" s="104"/>
    </row>
    <row r="148" spans="1:10" ht="218.25" hidden="1" thickTop="1" thickBot="1" x14ac:dyDescent="0.25">
      <c r="A148" s="351">
        <v>41054200</v>
      </c>
      <c r="B148" s="352" t="s">
        <v>1015</v>
      </c>
      <c r="C148" s="353">
        <f t="shared" si="7"/>
        <v>0</v>
      </c>
      <c r="D148" s="354">
        <v>0</v>
      </c>
      <c r="E148" s="354"/>
      <c r="F148" s="354"/>
      <c r="G148" s="104"/>
    </row>
    <row r="149" spans="1:10" s="485" customFormat="1" ht="27" thickTop="1" thickBot="1" x14ac:dyDescent="0.25">
      <c r="A149" s="566">
        <v>41053900</v>
      </c>
      <c r="B149" s="567" t="s">
        <v>883</v>
      </c>
      <c r="C149" s="493">
        <f t="shared" si="7"/>
        <v>1442105</v>
      </c>
      <c r="D149" s="493">
        <f>SUM(D150:D155)</f>
        <v>1442105</v>
      </c>
      <c r="E149" s="493">
        <f>SUM(E150:E155)</f>
        <v>0</v>
      </c>
      <c r="F149" s="493">
        <f>SUM(F150:F155)</f>
        <v>0</v>
      </c>
      <c r="G149" s="510"/>
    </row>
    <row r="150" spans="1:10" ht="15.75" hidden="1" thickTop="1" thickBot="1" x14ac:dyDescent="0.25">
      <c r="A150" s="345"/>
      <c r="B150" s="565" t="s">
        <v>928</v>
      </c>
      <c r="C150" s="344">
        <f>SUM(D150,E150)</f>
        <v>0</v>
      </c>
      <c r="D150" s="350"/>
      <c r="E150" s="350">
        <v>0</v>
      </c>
      <c r="F150" s="350">
        <v>0</v>
      </c>
      <c r="G150" s="104"/>
    </row>
    <row r="151" spans="1:10" ht="39.75" thickTop="1" thickBot="1" x14ac:dyDescent="0.25">
      <c r="A151" s="566"/>
      <c r="B151" s="508" t="s">
        <v>884</v>
      </c>
      <c r="C151" s="496">
        <f t="shared" si="7"/>
        <v>381295</v>
      </c>
      <c r="D151" s="509">
        <v>381295</v>
      </c>
      <c r="E151" s="509"/>
      <c r="F151" s="509"/>
      <c r="G151" s="104"/>
    </row>
    <row r="152" spans="1:10" ht="52.5" thickTop="1" thickBot="1" x14ac:dyDescent="0.25">
      <c r="A152" s="566"/>
      <c r="B152" s="508" t="s">
        <v>885</v>
      </c>
      <c r="C152" s="496">
        <f t="shared" si="7"/>
        <v>160170</v>
      </c>
      <c r="D152" s="509">
        <v>160170</v>
      </c>
      <c r="E152" s="509"/>
      <c r="F152" s="509"/>
      <c r="G152" s="104"/>
    </row>
    <row r="153" spans="1:10" ht="51.75" customHeight="1" thickTop="1" thickBot="1" x14ac:dyDescent="0.25">
      <c r="A153" s="566"/>
      <c r="B153" s="508" t="s">
        <v>886</v>
      </c>
      <c r="C153" s="496">
        <f t="shared" si="7"/>
        <v>900640</v>
      </c>
      <c r="D153" s="509">
        <f>(629581)+271059</f>
        <v>900640</v>
      </c>
      <c r="E153" s="509"/>
      <c r="F153" s="509"/>
      <c r="G153" s="104"/>
    </row>
    <row r="154" spans="1:10" ht="39.75" hidden="1" thickTop="1" thickBot="1" x14ac:dyDescent="0.25">
      <c r="A154" s="351"/>
      <c r="B154" s="355" t="s">
        <v>1050</v>
      </c>
      <c r="C154" s="108">
        <f t="shared" si="7"/>
        <v>0</v>
      </c>
      <c r="D154" s="109">
        <v>0</v>
      </c>
      <c r="E154" s="109"/>
      <c r="F154" s="109"/>
      <c r="G154" s="104"/>
    </row>
    <row r="155" spans="1:10" ht="27" hidden="1" thickTop="1" thickBot="1" x14ac:dyDescent="0.25">
      <c r="A155" s="351"/>
      <c r="B155" s="355" t="s">
        <v>1051</v>
      </c>
      <c r="C155" s="108">
        <f t="shared" si="7"/>
        <v>0</v>
      </c>
      <c r="D155" s="109"/>
      <c r="E155" s="109">
        <v>0</v>
      </c>
      <c r="F155" s="109">
        <v>0</v>
      </c>
      <c r="G155" s="104"/>
    </row>
    <row r="156" spans="1:10" ht="65.25" thickTop="1" thickBot="1" x14ac:dyDescent="0.25">
      <c r="A156" s="566">
        <v>41057700</v>
      </c>
      <c r="B156" s="567" t="s">
        <v>1316</v>
      </c>
      <c r="C156" s="493">
        <f>SUM(D156,E156)</f>
        <v>158112</v>
      </c>
      <c r="D156" s="568">
        <v>158112</v>
      </c>
      <c r="E156" s="568"/>
      <c r="F156" s="568"/>
      <c r="G156" s="104"/>
    </row>
    <row r="157" spans="1:10" ht="52.5" hidden="1" thickTop="1" thickBot="1" x14ac:dyDescent="0.25">
      <c r="A157" s="345">
        <v>41059000</v>
      </c>
      <c r="B157" s="346" t="s">
        <v>1339</v>
      </c>
      <c r="C157" s="343">
        <f>SUM(D157,E157)</f>
        <v>0</v>
      </c>
      <c r="D157" s="347">
        <v>0</v>
      </c>
      <c r="E157" s="347"/>
      <c r="F157" s="347"/>
      <c r="G157" s="104"/>
    </row>
    <row r="158" spans="1:10" ht="103.5" thickTop="1" thickBot="1" x14ac:dyDescent="0.25">
      <c r="A158" s="566">
        <v>41059300</v>
      </c>
      <c r="B158" s="567" t="s">
        <v>1647</v>
      </c>
      <c r="C158" s="493">
        <f>SUM(D158,E158)</f>
        <v>3804220</v>
      </c>
      <c r="D158" s="568">
        <f>(2211460)+1592760</f>
        <v>3804220</v>
      </c>
      <c r="E158" s="347"/>
      <c r="F158" s="347"/>
      <c r="G158" s="104"/>
    </row>
    <row r="159" spans="1:10" ht="78" hidden="1" thickTop="1" thickBot="1" x14ac:dyDescent="0.25">
      <c r="A159" s="566">
        <v>41059700</v>
      </c>
      <c r="B159" s="567" t="s">
        <v>1627</v>
      </c>
      <c r="C159" s="493">
        <f>SUM(D159,E159)</f>
        <v>0</v>
      </c>
      <c r="D159" s="568"/>
      <c r="E159" s="568"/>
      <c r="F159" s="568"/>
      <c r="G159" s="104"/>
    </row>
    <row r="160" spans="1:10" ht="33.75" customHeight="1" thickTop="1" thickBot="1" x14ac:dyDescent="0.3">
      <c r="A160" s="571"/>
      <c r="B160" s="572" t="s">
        <v>1006</v>
      </c>
      <c r="C160" s="573">
        <f>SUM(D160,E160)</f>
        <v>5327412427.7200003</v>
      </c>
      <c r="D160" s="573">
        <f>SUM(D113,D114)</f>
        <v>5026632438.7200003</v>
      </c>
      <c r="E160" s="573">
        <f>SUM(E113,E114)</f>
        <v>300779989</v>
      </c>
      <c r="F160" s="573">
        <f>SUM(F113,F114)</f>
        <v>20438849</v>
      </c>
      <c r="G160" s="519" t="b">
        <f>C160=C153+C152+C151+C142+C140+C118+C112+C109+C108+C105+C104+C100+C99+C98+C97+C94+C93+C92+C91+C89+C88+C87+C85+C81+C80+C79+C76+C75+C74+C73+C72+C69+C65+C64+C63+C60+C59+C58+C56+C55+C53+C51+C50+C49+C48+C47+C46+C45+C44+C43+C42+C39+C38+C36+C34+C31+C29+C28+C25+C23+C22+C21+C20+C18+C125+C159+C131+C127+C158+C130+C156+C119+C135+C134+C83</f>
        <v>1</v>
      </c>
      <c r="H160" s="519" t="b">
        <f>D160=D153+D152+D151+D142+D140+D118+D112+D109+D108+D105+D104+D100+D99+D98+D97+D94+D93+D92+D91+D89+D88+D87+D85+D81+D80+D79+D76+D75+D74+D73+D72+D69+D65+D64+D63+D60+D59+D58+D56+D55+D53+D51+D50+D49+D48+D47+D46+D45+D44+D43+D42+D39+D38+D36+D34+D31+D29+D28+D25+D23+D22+D21+D20+D18+D125+D159+D131+D127+D158+D130+D156+D119+D135+D134+D83</f>
        <v>1</v>
      </c>
      <c r="I160" s="519" t="b">
        <f>E160=E153+E152+E151+E142+E140+E118+E112+E109+E108+E105+E104+E100+E99+E98+E97+E94+E93+E92+E91+E89+E88+E87+E85+E81+E80+E79+E76+E75+E74+E73+E72+E69+E65+E64+E63+E60+E59+E58+E56+E55+E53+E51+E50+E49+E48+E47+E46+E45+E44+E43+E42+E39+E38+E36+E34+E31+E29+E28+E25+E23+E22+E21+E20+E18+E125+E159+E131+E127+E158+E130+E156+E119+E135+E134+E83</f>
        <v>1</v>
      </c>
      <c r="J160" s="519" t="b">
        <f>F160=F153+F152+F151+F142+F140+F118+F112+F109+F108+F105+F104+F100+F99+F98+F97+F94+F93+F92+F91+F89+F88+F87+F85+F81+F80+F79+F76+F75+F74+F73+F72+F69+F65+F64+F63+F60+F59+F58+F56+F55+F53+F51+F50+F49+F48+F47+F46+F45+F44+F43+F42+F39+F38+F36+F34+F31+F29+F28+F25+F23+F22+F21+F20+F18+F125+F159+F131+F127+F158+F130+F156+F119+F135+F134+F83</f>
        <v>1</v>
      </c>
    </row>
    <row r="161" spans="1:7" ht="21" customHeight="1" thickTop="1" x14ac:dyDescent="0.25">
      <c r="B161" s="110"/>
      <c r="G161" s="519" t="b">
        <f>((((3737956029+15000000+522248400-'d2'!C38-'d2'!C22)+65484004)+2211460+135179398.52)+298753591.53+7848526.67+1799967)+540931051=C160</f>
        <v>1</v>
      </c>
    </row>
    <row r="162" spans="1:7" ht="15.75" hidden="1" x14ac:dyDescent="0.2">
      <c r="B162" s="338" t="s">
        <v>1649</v>
      </c>
      <c r="C162"/>
      <c r="D162"/>
      <c r="E162" s="339" t="s">
        <v>1650</v>
      </c>
      <c r="F162" s="112"/>
      <c r="G162" s="111"/>
    </row>
    <row r="163" spans="1:7" ht="15.75" hidden="1" x14ac:dyDescent="0.2">
      <c r="B163" s="338" t="s">
        <v>1376</v>
      </c>
      <c r="C163"/>
      <c r="D163"/>
      <c r="E163" s="339" t="s">
        <v>1377</v>
      </c>
      <c r="F163" s="112"/>
      <c r="G163" s="111"/>
    </row>
    <row r="164" spans="1:7" ht="47.25" x14ac:dyDescent="0.2">
      <c r="B164" s="949" t="s">
        <v>1751</v>
      </c>
      <c r="C164"/>
      <c r="D164"/>
      <c r="E164" s="339" t="s">
        <v>1750</v>
      </c>
      <c r="F164" s="112"/>
      <c r="G164" s="111"/>
    </row>
    <row r="165" spans="1:7" ht="9" customHeight="1" x14ac:dyDescent="0.25">
      <c r="B165" s="1"/>
      <c r="C165" s="485"/>
      <c r="D165" s="485"/>
      <c r="E165" s="1"/>
    </row>
    <row r="166" spans="1:7" ht="15.75" x14ac:dyDescent="0.25">
      <c r="A166" s="113"/>
      <c r="B166" s="430" t="s">
        <v>516</v>
      </c>
      <c r="C166" s="1"/>
      <c r="D166" s="1"/>
      <c r="E166" s="1" t="s">
        <v>1290</v>
      </c>
      <c r="F166" s="113"/>
    </row>
    <row r="169" spans="1:7" x14ac:dyDescent="0.2">
      <c r="C169" s="111"/>
      <c r="D169" s="111"/>
      <c r="E169" s="111"/>
      <c r="F169" s="111"/>
    </row>
  </sheetData>
  <mergeCells count="13">
    <mergeCell ref="A6:F6"/>
    <mergeCell ref="A8:F8"/>
    <mergeCell ref="A9:F9"/>
    <mergeCell ref="A12:A13"/>
    <mergeCell ref="B12:B13"/>
    <mergeCell ref="C12:C13"/>
    <mergeCell ref="D12:D13"/>
    <mergeCell ref="E12:F12"/>
    <mergeCell ref="D1:G1"/>
    <mergeCell ref="D2:G2"/>
    <mergeCell ref="D3:G3"/>
    <mergeCell ref="A4:E4"/>
    <mergeCell ref="A5:F5"/>
  </mergeCells>
  <hyperlinks>
    <hyperlink ref="B102" location="_ftn1" display="_ftn1" xr:uid="{00000000-0004-0000-0000-000000000000}"/>
    <hyperlink ref="B101" location="_ftn1" display="_ftn1" xr:uid="{00000000-0004-0000-0000-000001000000}"/>
    <hyperlink ref="B88" location="_ftn1" display="_ftn1" xr:uid="{00000000-0004-0000-0000-000002000000}"/>
    <hyperlink ref="B20" location="_ftn1" display="_ftn1" xr:uid="{00000000-0004-0000-0000-000003000000}"/>
    <hyperlink ref="B19" location="_ftn1" display="_ftn1" xr:uid="{00000000-0004-0000-0000-000004000000}"/>
    <hyperlink ref="B64" location="_ftn1" display="_ftn1" xr:uid="{00000000-0004-0000-0000-000005000000}"/>
    <hyperlink ref="B106" location="_ftn1" display="_ftn1" xr:uid="{00000000-0004-0000-0000-000006000000}"/>
    <hyperlink ref="B107" location="_ftn1" display="_ftn1" xr:uid="{00000000-0004-0000-0000-000007000000}"/>
    <hyperlink ref="B72" location="_ftn1" display="_ftn1" xr:uid="{00000000-0004-0000-0000-000008000000}"/>
  </hyperlinks>
  <printOptions horizontalCentered="1"/>
  <pageMargins left="0.35433070866141736" right="0.15748031496062992" top="0.59055118110236227" bottom="0.51181102362204722" header="0.51181102362204722" footer="0.51181102362204722"/>
  <pageSetup paperSize="9" scale="86" fitToHeight="0" orientation="portrait" r:id="rId1"/>
  <headerFooter alignWithMargins="0"/>
  <rowBreaks count="1" manualBreakCount="1">
    <brk id="84"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J168"/>
  <sheetViews>
    <sheetView view="pageBreakPreview" zoomScaleNormal="100" zoomScaleSheetLayoutView="100" workbookViewId="0">
      <selection activeCell="B158" sqref="B158"/>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5"/>
      <c r="B1" s="485"/>
      <c r="C1" s="485"/>
      <c r="D1" s="730" t="s">
        <v>56</v>
      </c>
      <c r="E1" s="731"/>
      <c r="F1" s="731"/>
      <c r="G1" s="731"/>
    </row>
    <row r="2" spans="1:7" ht="30" customHeight="1" x14ac:dyDescent="0.2">
      <c r="A2" s="485"/>
      <c r="B2" s="485"/>
      <c r="C2" s="486"/>
      <c r="D2" s="732" t="s">
        <v>1604</v>
      </c>
      <c r="E2" s="733"/>
      <c r="F2" s="733"/>
      <c r="G2" s="733"/>
    </row>
    <row r="3" spans="1:7" ht="6" hidden="1" customHeight="1" x14ac:dyDescent="0.2">
      <c r="A3" s="485"/>
      <c r="B3" s="485"/>
      <c r="C3" s="486"/>
      <c r="D3" s="730"/>
      <c r="E3" s="733"/>
      <c r="F3" s="733"/>
      <c r="G3" s="733"/>
    </row>
    <row r="4" spans="1:7" ht="12.75" customHeight="1" x14ac:dyDescent="0.2">
      <c r="A4" s="734"/>
      <c r="B4" s="734"/>
      <c r="C4" s="734"/>
      <c r="D4" s="734"/>
      <c r="E4" s="734"/>
      <c r="F4" s="485"/>
      <c r="G4" s="485"/>
    </row>
    <row r="5" spans="1:7" ht="20.25" x14ac:dyDescent="0.2">
      <c r="A5" s="734" t="s">
        <v>1073</v>
      </c>
      <c r="B5" s="735"/>
      <c r="C5" s="735"/>
      <c r="D5" s="735"/>
      <c r="E5" s="735"/>
      <c r="F5" s="735"/>
      <c r="G5" s="485"/>
    </row>
    <row r="6" spans="1:7" ht="20.25" x14ac:dyDescent="0.2">
      <c r="A6" s="734" t="s">
        <v>1549</v>
      </c>
      <c r="B6" s="735"/>
      <c r="C6" s="735"/>
      <c r="D6" s="735"/>
      <c r="E6" s="735"/>
      <c r="F6" s="735"/>
      <c r="G6" s="485"/>
    </row>
    <row r="7" spans="1:7" ht="20.25" x14ac:dyDescent="0.2">
      <c r="A7" s="487"/>
      <c r="B7" s="295"/>
      <c r="C7" s="295"/>
      <c r="D7" s="295"/>
      <c r="E7" s="295"/>
      <c r="F7" s="295"/>
      <c r="G7" s="485"/>
    </row>
    <row r="8" spans="1:7" ht="20.25" x14ac:dyDescent="0.2">
      <c r="A8" s="736">
        <v>2256400000</v>
      </c>
      <c r="B8" s="737"/>
      <c r="C8" s="737"/>
      <c r="D8" s="737"/>
      <c r="E8" s="737"/>
      <c r="F8" s="737"/>
      <c r="G8" s="485"/>
    </row>
    <row r="9" spans="1:7" ht="15.75" x14ac:dyDescent="0.2">
      <c r="A9" s="738" t="s">
        <v>485</v>
      </c>
      <c r="B9" s="739"/>
      <c r="C9" s="739"/>
      <c r="D9" s="739"/>
      <c r="E9" s="739"/>
      <c r="F9" s="739"/>
      <c r="G9" s="485"/>
    </row>
    <row r="10" spans="1:7" ht="20.25" x14ac:dyDescent="0.2">
      <c r="A10" s="487"/>
      <c r="B10" s="434"/>
      <c r="C10" s="434"/>
      <c r="D10" s="434"/>
      <c r="E10" s="434"/>
      <c r="F10" s="434"/>
      <c r="G10" s="485"/>
    </row>
    <row r="11" spans="1:7" ht="13.5" thickBot="1" x14ac:dyDescent="0.25">
      <c r="A11" s="485"/>
      <c r="B11" s="488"/>
      <c r="C11" s="488"/>
      <c r="D11" s="488"/>
      <c r="E11" s="488"/>
      <c r="F11" s="489" t="s">
        <v>400</v>
      </c>
      <c r="G11" s="485"/>
    </row>
    <row r="12" spans="1:7" ht="14.25" thickTop="1" thickBot="1" x14ac:dyDescent="0.25">
      <c r="A12" s="740" t="s">
        <v>57</v>
      </c>
      <c r="B12" s="740" t="s">
        <v>1436</v>
      </c>
      <c r="C12" s="740" t="s">
        <v>379</v>
      </c>
      <c r="D12" s="740" t="s">
        <v>12</v>
      </c>
      <c r="E12" s="740" t="s">
        <v>52</v>
      </c>
      <c r="F12" s="740"/>
      <c r="G12" s="490"/>
    </row>
    <row r="13" spans="1:7" ht="39.75" thickTop="1" thickBot="1" x14ac:dyDescent="0.3">
      <c r="A13" s="740"/>
      <c r="B13" s="740"/>
      <c r="C13" s="740"/>
      <c r="D13" s="740"/>
      <c r="E13" s="491" t="s">
        <v>380</v>
      </c>
      <c r="F13" s="491" t="s">
        <v>421</v>
      </c>
      <c r="G13" s="492"/>
    </row>
    <row r="14" spans="1:7" ht="16.5" thickTop="1" thickBot="1" x14ac:dyDescent="0.3">
      <c r="A14" s="491">
        <v>1</v>
      </c>
      <c r="B14" s="491">
        <v>2</v>
      </c>
      <c r="C14" s="491">
        <v>3</v>
      </c>
      <c r="D14" s="491">
        <v>4</v>
      </c>
      <c r="E14" s="491">
        <v>5</v>
      </c>
      <c r="F14" s="491">
        <v>6</v>
      </c>
      <c r="G14" s="492"/>
    </row>
    <row r="15" spans="1:7" ht="25.5" customHeight="1" thickTop="1" thickBot="1" x14ac:dyDescent="0.25">
      <c r="A15" s="569">
        <v>10000000</v>
      </c>
      <c r="B15" s="569" t="s">
        <v>58</v>
      </c>
      <c r="C15" s="570">
        <f t="shared" ref="C15:C70" si="0">SUM(D15,E15)</f>
        <v>3721085988.52</v>
      </c>
      <c r="D15" s="570">
        <f>SUM(D16,D32,D40,D61,D26)</f>
        <v>3718685988.52</v>
      </c>
      <c r="E15" s="570">
        <f>SUM(E16,E32,E40,E61,E26)</f>
        <v>2400000</v>
      </c>
      <c r="F15" s="570">
        <f>SUM(F16,F32,F40,F61,F26)</f>
        <v>0</v>
      </c>
      <c r="G15" s="104"/>
    </row>
    <row r="16" spans="1:7" ht="31.7" customHeight="1" thickTop="1" thickBot="1" x14ac:dyDescent="0.25">
      <c r="A16" s="491">
        <v>11000000</v>
      </c>
      <c r="B16" s="491" t="s">
        <v>59</v>
      </c>
      <c r="C16" s="493">
        <f>SUM(D16,E16)</f>
        <v>2278531160.52</v>
      </c>
      <c r="D16" s="493">
        <f>SUM(D17,D24)</f>
        <v>2278531160.52</v>
      </c>
      <c r="E16" s="493"/>
      <c r="F16" s="493"/>
      <c r="G16" s="105"/>
    </row>
    <row r="17" spans="1:7" ht="24.75" customHeight="1" thickTop="1" thickBot="1" x14ac:dyDescent="0.25">
      <c r="A17" s="494">
        <v>11010000</v>
      </c>
      <c r="B17" s="495" t="s">
        <v>60</v>
      </c>
      <c r="C17" s="496">
        <f t="shared" si="0"/>
        <v>2276531160.52</v>
      </c>
      <c r="D17" s="496">
        <f>SUM(D18:D23)</f>
        <v>2276531160.52</v>
      </c>
      <c r="E17" s="496"/>
      <c r="F17" s="496"/>
      <c r="G17" s="105"/>
    </row>
    <row r="18" spans="1:7" ht="39.75" thickTop="1" thickBot="1" x14ac:dyDescent="0.25">
      <c r="A18" s="566">
        <v>11010100</v>
      </c>
      <c r="B18" s="567" t="s">
        <v>61</v>
      </c>
      <c r="C18" s="493">
        <f>SUM(D18,E18)</f>
        <v>2091051160.52</v>
      </c>
      <c r="D18" s="568">
        <f>((1853714559)+132602098.52)+129934503-31200000+6000000</f>
        <v>2091051160.52</v>
      </c>
      <c r="E18" s="568"/>
      <c r="F18" s="568"/>
      <c r="G18" s="105"/>
    </row>
    <row r="19" spans="1:7" ht="65.25" hidden="1" thickTop="1" thickBot="1" x14ac:dyDescent="0.25">
      <c r="A19" s="345">
        <v>11010200</v>
      </c>
      <c r="B19" s="346" t="s">
        <v>62</v>
      </c>
      <c r="C19" s="343">
        <f t="shared" si="0"/>
        <v>0</v>
      </c>
      <c r="D19" s="347">
        <v>0</v>
      </c>
      <c r="E19" s="347"/>
      <c r="F19" s="347"/>
      <c r="G19" s="105"/>
    </row>
    <row r="20" spans="1:7" ht="39.75" thickTop="1" thickBot="1" x14ac:dyDescent="0.25">
      <c r="A20" s="566">
        <v>11010400</v>
      </c>
      <c r="B20" s="567" t="s">
        <v>63</v>
      </c>
      <c r="C20" s="493">
        <f t="shared" si="0"/>
        <v>96255000</v>
      </c>
      <c r="D20" s="568">
        <f>(65055000)+31200000</f>
        <v>96255000</v>
      </c>
      <c r="E20" s="568"/>
      <c r="F20" s="568"/>
      <c r="G20" s="105"/>
    </row>
    <row r="21" spans="1:7" ht="39.75" thickTop="1" thickBot="1" x14ac:dyDescent="0.3">
      <c r="A21" s="566">
        <v>11010500</v>
      </c>
      <c r="B21" s="567" t="s">
        <v>64</v>
      </c>
      <c r="C21" s="493">
        <f t="shared" si="0"/>
        <v>84910000</v>
      </c>
      <c r="D21" s="568">
        <f>(64200000)+20710000</f>
        <v>84910000</v>
      </c>
      <c r="E21" s="568"/>
      <c r="F21" s="568"/>
      <c r="G21" s="103"/>
    </row>
    <row r="22" spans="1:7" ht="27" thickTop="1" thickBot="1" x14ac:dyDescent="0.3">
      <c r="A22" s="566">
        <v>11011200</v>
      </c>
      <c r="B22" s="567" t="s">
        <v>1437</v>
      </c>
      <c r="C22" s="493">
        <f t="shared" si="0"/>
        <v>3965000</v>
      </c>
      <c r="D22" s="568">
        <f>(1850000)+2115000</f>
        <v>3965000</v>
      </c>
      <c r="E22" s="568"/>
      <c r="F22" s="568"/>
      <c r="G22" s="103"/>
    </row>
    <row r="23" spans="1:7" ht="39.75" thickTop="1" thickBot="1" x14ac:dyDescent="0.3">
      <c r="A23" s="566">
        <v>11011300</v>
      </c>
      <c r="B23" s="567" t="s">
        <v>1438</v>
      </c>
      <c r="C23" s="493">
        <f t="shared" si="0"/>
        <v>350000</v>
      </c>
      <c r="D23" s="568">
        <v>350000</v>
      </c>
      <c r="E23" s="568"/>
      <c r="F23" s="568"/>
      <c r="G23" s="103"/>
    </row>
    <row r="24" spans="1:7" ht="28.5" customHeight="1" thickTop="1" thickBot="1" x14ac:dyDescent="0.25">
      <c r="A24" s="494">
        <v>11020000</v>
      </c>
      <c r="B24" s="495" t="s">
        <v>65</v>
      </c>
      <c r="C24" s="496">
        <f>SUM(D24,E24)</f>
        <v>2000000</v>
      </c>
      <c r="D24" s="496">
        <f>D25</f>
        <v>2000000</v>
      </c>
      <c r="E24" s="496"/>
      <c r="F24" s="496"/>
      <c r="G24" s="104"/>
    </row>
    <row r="25" spans="1:7" ht="27" thickTop="1" thickBot="1" x14ac:dyDescent="0.3">
      <c r="A25" s="566">
        <v>11020200</v>
      </c>
      <c r="B25" s="497" t="s">
        <v>66</v>
      </c>
      <c r="C25" s="493">
        <f>SUM(D25,E25)</f>
        <v>2000000</v>
      </c>
      <c r="D25" s="568">
        <v>2000000</v>
      </c>
      <c r="E25" s="568"/>
      <c r="F25" s="568"/>
      <c r="G25" s="103"/>
    </row>
    <row r="26" spans="1:7" ht="27" thickTop="1" thickBot="1" x14ac:dyDescent="0.3">
      <c r="A26" s="491">
        <v>13000000</v>
      </c>
      <c r="B26" s="498" t="s">
        <v>519</v>
      </c>
      <c r="C26" s="493">
        <f>D26+E26</f>
        <v>650000</v>
      </c>
      <c r="D26" s="493">
        <f>SUM(D27,D30)</f>
        <v>650000</v>
      </c>
      <c r="E26" s="568"/>
      <c r="F26" s="568"/>
      <c r="G26" s="103"/>
    </row>
    <row r="27" spans="1:7" ht="28.5" thickTop="1" thickBot="1" x14ac:dyDescent="0.3">
      <c r="A27" s="494">
        <v>13010000</v>
      </c>
      <c r="B27" s="499" t="s">
        <v>520</v>
      </c>
      <c r="C27" s="496">
        <f>D27+E27</f>
        <v>630000</v>
      </c>
      <c r="D27" s="496">
        <f>SUM(D28:D29)</f>
        <v>630000</v>
      </c>
      <c r="E27" s="496"/>
      <c r="F27" s="496"/>
      <c r="G27" s="103"/>
    </row>
    <row r="28" spans="1:7" ht="52.5" thickTop="1" thickBot="1" x14ac:dyDescent="0.3">
      <c r="A28" s="566">
        <v>13010100</v>
      </c>
      <c r="B28" s="500" t="s">
        <v>1439</v>
      </c>
      <c r="C28" s="493">
        <f t="shared" ref="C28:C32" si="1">D28+E28</f>
        <v>230000</v>
      </c>
      <c r="D28" s="568">
        <v>230000</v>
      </c>
      <c r="E28" s="568"/>
      <c r="F28" s="568"/>
      <c r="G28" s="103"/>
    </row>
    <row r="29" spans="1:7" ht="65.25" thickTop="1" thickBot="1" x14ac:dyDescent="0.3">
      <c r="A29" s="566">
        <v>13010200</v>
      </c>
      <c r="B29" s="500" t="s">
        <v>521</v>
      </c>
      <c r="C29" s="493">
        <f t="shared" si="1"/>
        <v>400000</v>
      </c>
      <c r="D29" s="568">
        <v>400000</v>
      </c>
      <c r="E29" s="568"/>
      <c r="F29" s="568"/>
      <c r="G29" s="103"/>
    </row>
    <row r="30" spans="1:7" ht="16.5" thickTop="1" thickBot="1" x14ac:dyDescent="0.3">
      <c r="A30" s="494">
        <v>13030000</v>
      </c>
      <c r="B30" s="501" t="s">
        <v>522</v>
      </c>
      <c r="C30" s="496">
        <f>D30+E30</f>
        <v>20000</v>
      </c>
      <c r="D30" s="496">
        <f>SUM(D31)</f>
        <v>20000</v>
      </c>
      <c r="E30" s="496"/>
      <c r="F30" s="496"/>
      <c r="G30" s="103"/>
    </row>
    <row r="31" spans="1:7" ht="39.75" thickTop="1" thickBot="1" x14ac:dyDescent="0.3">
      <c r="A31" s="566">
        <v>13030100</v>
      </c>
      <c r="B31" s="500" t="s">
        <v>523</v>
      </c>
      <c r="C31" s="493">
        <f t="shared" si="1"/>
        <v>20000</v>
      </c>
      <c r="D31" s="568">
        <v>20000</v>
      </c>
      <c r="E31" s="568"/>
      <c r="F31" s="568"/>
      <c r="G31" s="103"/>
    </row>
    <row r="32" spans="1:7" ht="26.45" customHeight="1" thickTop="1" thickBot="1" x14ac:dyDescent="0.3">
      <c r="A32" s="491">
        <v>14000000</v>
      </c>
      <c r="B32" s="498" t="s">
        <v>524</v>
      </c>
      <c r="C32" s="493">
        <f t="shared" si="1"/>
        <v>342770000</v>
      </c>
      <c r="D32" s="493">
        <f>SUM(D33,D35,D37)</f>
        <v>342770000</v>
      </c>
      <c r="E32" s="493"/>
      <c r="F32" s="568"/>
      <c r="G32" s="103"/>
    </row>
    <row r="33" spans="1:7" ht="30" customHeight="1" thickTop="1" thickBot="1" x14ac:dyDescent="0.3">
      <c r="A33" s="494">
        <v>14020000</v>
      </c>
      <c r="B33" s="499" t="s">
        <v>613</v>
      </c>
      <c r="C33" s="496">
        <f>SUM(D33,E33)</f>
        <v>21850000</v>
      </c>
      <c r="D33" s="496">
        <f>SUM(D34,E34)</f>
        <v>21850000</v>
      </c>
      <c r="E33" s="496"/>
      <c r="F33" s="509"/>
      <c r="G33" s="103"/>
    </row>
    <row r="34" spans="1:7" ht="16.5" thickTop="1" thickBot="1" x14ac:dyDescent="0.3">
      <c r="A34" s="566">
        <v>14021900</v>
      </c>
      <c r="B34" s="497" t="s">
        <v>612</v>
      </c>
      <c r="C34" s="568">
        <f>SUM(D34,E34)</f>
        <v>21850000</v>
      </c>
      <c r="D34" s="568">
        <f>(17350000)+4500000</f>
        <v>21850000</v>
      </c>
      <c r="E34" s="493"/>
      <c r="F34" s="568"/>
      <c r="G34" s="103"/>
    </row>
    <row r="35" spans="1:7" ht="42" thickTop="1" thickBot="1" x14ac:dyDescent="0.3">
      <c r="A35" s="494">
        <v>14030000</v>
      </c>
      <c r="B35" s="499" t="s">
        <v>614</v>
      </c>
      <c r="C35" s="496">
        <f>SUM(D35,E35)</f>
        <v>103520000</v>
      </c>
      <c r="D35" s="496">
        <f>SUM(D36,E36)</f>
        <v>103520000</v>
      </c>
      <c r="E35" s="496"/>
      <c r="F35" s="509"/>
      <c r="G35" s="103"/>
    </row>
    <row r="36" spans="1:7" ht="16.5" thickTop="1" thickBot="1" x14ac:dyDescent="0.3">
      <c r="A36" s="566">
        <v>14031900</v>
      </c>
      <c r="B36" s="497" t="s">
        <v>612</v>
      </c>
      <c r="C36" s="568">
        <f>SUM(D36,E36)</f>
        <v>103520000</v>
      </c>
      <c r="D36" s="568">
        <f>(80900000)+22620000</f>
        <v>103520000</v>
      </c>
      <c r="E36" s="493"/>
      <c r="F36" s="568"/>
      <c r="G36" s="103"/>
    </row>
    <row r="37" spans="1:7" ht="42" thickTop="1" thickBot="1" x14ac:dyDescent="0.3">
      <c r="A37" s="494">
        <v>14040000</v>
      </c>
      <c r="B37" s="499" t="s">
        <v>1168</v>
      </c>
      <c r="C37" s="496">
        <f>SUM(C38:C39)</f>
        <v>217400000</v>
      </c>
      <c r="D37" s="496">
        <f>SUM(D38:D39)</f>
        <v>217400000</v>
      </c>
      <c r="E37" s="496"/>
      <c r="F37" s="509"/>
      <c r="G37" s="103"/>
    </row>
    <row r="38" spans="1:7" ht="103.5" thickTop="1" thickBot="1" x14ac:dyDescent="0.25">
      <c r="A38" s="566">
        <v>14040100</v>
      </c>
      <c r="B38" s="497" t="s">
        <v>1188</v>
      </c>
      <c r="C38" s="568">
        <f>SUM(D38,E38)</f>
        <v>99520000</v>
      </c>
      <c r="D38" s="568">
        <v>99520000</v>
      </c>
      <c r="E38" s="493"/>
      <c r="F38" s="568"/>
      <c r="G38" s="106"/>
    </row>
    <row r="39" spans="1:7" ht="78" thickTop="1" thickBot="1" x14ac:dyDescent="0.25">
      <c r="A39" s="566">
        <v>14040200</v>
      </c>
      <c r="B39" s="497" t="s">
        <v>1167</v>
      </c>
      <c r="C39" s="568">
        <f>SUM(D39,E39)</f>
        <v>117880000</v>
      </c>
      <c r="D39" s="568">
        <v>117880000</v>
      </c>
      <c r="E39" s="493"/>
      <c r="F39" s="568"/>
      <c r="G39" s="106"/>
    </row>
    <row r="40" spans="1:7" ht="29.25" customHeight="1" thickTop="1" thickBot="1" x14ac:dyDescent="0.3">
      <c r="A40" s="491">
        <v>18000000</v>
      </c>
      <c r="B40" s="491" t="s">
        <v>67</v>
      </c>
      <c r="C40" s="493">
        <f t="shared" si="0"/>
        <v>1096734828</v>
      </c>
      <c r="D40" s="493">
        <f>SUM(D41,D54,D57,D52)</f>
        <v>1096734828</v>
      </c>
      <c r="E40" s="493"/>
      <c r="F40" s="493"/>
      <c r="G40" s="103"/>
    </row>
    <row r="41" spans="1:7" ht="16.5" thickTop="1" thickBot="1" x14ac:dyDescent="0.3">
      <c r="A41" s="494">
        <v>18010000</v>
      </c>
      <c r="B41" s="499" t="s">
        <v>68</v>
      </c>
      <c r="C41" s="496">
        <f>SUM(D41,E41)</f>
        <v>349434828</v>
      </c>
      <c r="D41" s="496">
        <f>SUM(D42:D51)</f>
        <v>349434828</v>
      </c>
      <c r="E41" s="496"/>
      <c r="F41" s="496"/>
      <c r="G41" s="103"/>
    </row>
    <row r="42" spans="1:7" ht="52.5" thickTop="1" thickBot="1" x14ac:dyDescent="0.3">
      <c r="A42" s="566">
        <v>18010100</v>
      </c>
      <c r="B42" s="497" t="s">
        <v>69</v>
      </c>
      <c r="C42" s="493">
        <f t="shared" si="0"/>
        <v>405010</v>
      </c>
      <c r="D42" s="568">
        <v>405010</v>
      </c>
      <c r="E42" s="568"/>
      <c r="F42" s="568"/>
      <c r="G42" s="103"/>
    </row>
    <row r="43" spans="1:7" ht="52.5" thickTop="1" thickBot="1" x14ac:dyDescent="0.3">
      <c r="A43" s="566">
        <v>18010200</v>
      </c>
      <c r="B43" s="497" t="s">
        <v>70</v>
      </c>
      <c r="C43" s="493">
        <f t="shared" si="0"/>
        <v>28120560</v>
      </c>
      <c r="D43" s="568">
        <v>28120560</v>
      </c>
      <c r="E43" s="568"/>
      <c r="F43" s="568"/>
      <c r="G43" s="103"/>
    </row>
    <row r="44" spans="1:7" ht="52.5" thickTop="1" thickBot="1" x14ac:dyDescent="0.3">
      <c r="A44" s="566">
        <v>18010300</v>
      </c>
      <c r="B44" s="497" t="s">
        <v>71</v>
      </c>
      <c r="C44" s="493">
        <f t="shared" si="0"/>
        <v>23800000</v>
      </c>
      <c r="D44" s="568">
        <v>23800000</v>
      </c>
      <c r="E44" s="568"/>
      <c r="F44" s="568"/>
      <c r="G44" s="103"/>
    </row>
    <row r="45" spans="1:7" ht="52.5" thickTop="1" thickBot="1" x14ac:dyDescent="0.3">
      <c r="A45" s="566">
        <v>18010400</v>
      </c>
      <c r="B45" s="497" t="s">
        <v>72</v>
      </c>
      <c r="C45" s="493">
        <f t="shared" si="0"/>
        <v>42179430</v>
      </c>
      <c r="D45" s="568">
        <f>(37679430)+4500000</f>
        <v>42179430</v>
      </c>
      <c r="E45" s="568"/>
      <c r="F45" s="568"/>
      <c r="G45" s="103"/>
    </row>
    <row r="46" spans="1:7" ht="16.5" thickTop="1" thickBot="1" x14ac:dyDescent="0.3">
      <c r="A46" s="566">
        <v>18010500</v>
      </c>
      <c r="B46" s="497" t="s">
        <v>73</v>
      </c>
      <c r="C46" s="493">
        <f t="shared" si="0"/>
        <v>44750000</v>
      </c>
      <c r="D46" s="568">
        <f>(40500000)+4250000</f>
        <v>44750000</v>
      </c>
      <c r="E46" s="568"/>
      <c r="F46" s="568"/>
      <c r="G46" s="103"/>
    </row>
    <row r="47" spans="1:7" ht="16.5" thickTop="1" thickBot="1" x14ac:dyDescent="0.3">
      <c r="A47" s="566">
        <v>18010600</v>
      </c>
      <c r="B47" s="497" t="s">
        <v>74</v>
      </c>
      <c r="C47" s="493">
        <f t="shared" si="0"/>
        <v>159829828</v>
      </c>
      <c r="D47" s="568">
        <f>(151150000)+7750000+929828</f>
        <v>159829828</v>
      </c>
      <c r="E47" s="568"/>
      <c r="F47" s="568"/>
      <c r="G47" s="103"/>
    </row>
    <row r="48" spans="1:7" ht="16.5" thickTop="1" thickBot="1" x14ac:dyDescent="0.3">
      <c r="A48" s="566">
        <v>18010700</v>
      </c>
      <c r="B48" s="497" t="s">
        <v>75</v>
      </c>
      <c r="C48" s="493">
        <f t="shared" si="0"/>
        <v>2500000</v>
      </c>
      <c r="D48" s="568">
        <v>2500000</v>
      </c>
      <c r="E48" s="568"/>
      <c r="F48" s="568"/>
      <c r="G48" s="103"/>
    </row>
    <row r="49" spans="1:7" ht="16.5" thickTop="1" thickBot="1" x14ac:dyDescent="0.3">
      <c r="A49" s="566">
        <v>18010900</v>
      </c>
      <c r="B49" s="497" t="s">
        <v>76</v>
      </c>
      <c r="C49" s="493">
        <f t="shared" si="0"/>
        <v>46350000</v>
      </c>
      <c r="D49" s="568">
        <v>46350000</v>
      </c>
      <c r="E49" s="568"/>
      <c r="F49" s="568"/>
      <c r="G49" s="103"/>
    </row>
    <row r="50" spans="1:7" ht="15.75" thickTop="1" thickBot="1" x14ac:dyDescent="0.25">
      <c r="A50" s="566">
        <v>18011000</v>
      </c>
      <c r="B50" s="497" t="s">
        <v>77</v>
      </c>
      <c r="C50" s="493">
        <f t="shared" si="0"/>
        <v>1000000</v>
      </c>
      <c r="D50" s="568">
        <v>1000000</v>
      </c>
      <c r="E50" s="568"/>
      <c r="F50" s="568"/>
      <c r="G50" s="104"/>
    </row>
    <row r="51" spans="1:7" ht="16.5" thickTop="1" thickBot="1" x14ac:dyDescent="0.3">
      <c r="A51" s="566">
        <v>18011100</v>
      </c>
      <c r="B51" s="497" t="s">
        <v>78</v>
      </c>
      <c r="C51" s="493">
        <f t="shared" si="0"/>
        <v>500000</v>
      </c>
      <c r="D51" s="568">
        <v>500000</v>
      </c>
      <c r="E51" s="568"/>
      <c r="F51" s="568"/>
      <c r="G51" s="103"/>
    </row>
    <row r="52" spans="1:7" ht="28.5" thickTop="1" thickBot="1" x14ac:dyDescent="0.3">
      <c r="A52" s="494">
        <v>18020000</v>
      </c>
      <c r="B52" s="499" t="s">
        <v>1118</v>
      </c>
      <c r="C52" s="496">
        <f t="shared" si="0"/>
        <v>300000</v>
      </c>
      <c r="D52" s="496">
        <f>SUM(D53,E53)</f>
        <v>300000</v>
      </c>
      <c r="E52" s="496"/>
      <c r="F52" s="496"/>
      <c r="G52" s="103"/>
    </row>
    <row r="53" spans="1:7" ht="27" thickTop="1" thickBot="1" x14ac:dyDescent="0.3">
      <c r="A53" s="566">
        <v>180201000</v>
      </c>
      <c r="B53" s="497" t="s">
        <v>1119</v>
      </c>
      <c r="C53" s="493">
        <f t="shared" si="0"/>
        <v>300000</v>
      </c>
      <c r="D53" s="568">
        <v>300000</v>
      </c>
      <c r="E53" s="568"/>
      <c r="F53" s="568"/>
      <c r="G53" s="103"/>
    </row>
    <row r="54" spans="1:7" ht="16.5" thickTop="1" thickBot="1" x14ac:dyDescent="0.3">
      <c r="A54" s="494">
        <v>18030000</v>
      </c>
      <c r="B54" s="499" t="s">
        <v>79</v>
      </c>
      <c r="C54" s="496">
        <f>SUM(D54,E54)</f>
        <v>2450000</v>
      </c>
      <c r="D54" s="496">
        <f>SUM(D55:D56)</f>
        <v>2450000</v>
      </c>
      <c r="E54" s="496"/>
      <c r="F54" s="496"/>
      <c r="G54" s="103"/>
    </row>
    <row r="55" spans="1:7" ht="27" thickTop="1" thickBot="1" x14ac:dyDescent="0.3">
      <c r="A55" s="566">
        <v>18030100</v>
      </c>
      <c r="B55" s="497" t="s">
        <v>80</v>
      </c>
      <c r="C55" s="493">
        <f>SUM(D55,E55)</f>
        <v>1220000</v>
      </c>
      <c r="D55" s="568">
        <f>(1020000)+200000</f>
        <v>1220000</v>
      </c>
      <c r="E55" s="568"/>
      <c r="F55" s="568"/>
      <c r="G55" s="103"/>
    </row>
    <row r="56" spans="1:7" ht="27" thickTop="1" thickBot="1" x14ac:dyDescent="0.3">
      <c r="A56" s="566">
        <v>18030200</v>
      </c>
      <c r="B56" s="497" t="s">
        <v>81</v>
      </c>
      <c r="C56" s="493">
        <f>SUM(D56,E56)</f>
        <v>1230000</v>
      </c>
      <c r="D56" s="568">
        <f>(930000)+300000</f>
        <v>1230000</v>
      </c>
      <c r="E56" s="568"/>
      <c r="F56" s="568"/>
      <c r="G56" s="103"/>
    </row>
    <row r="57" spans="1:7" ht="16.5" thickTop="1" thickBot="1" x14ac:dyDescent="0.3">
      <c r="A57" s="494">
        <v>18050000</v>
      </c>
      <c r="B57" s="499" t="s">
        <v>82</v>
      </c>
      <c r="C57" s="496">
        <f>SUM(D57,E57)</f>
        <v>744550000</v>
      </c>
      <c r="D57" s="496">
        <f>SUM(D58:D60)</f>
        <v>744550000</v>
      </c>
      <c r="E57" s="509"/>
      <c r="F57" s="509"/>
      <c r="G57" s="103"/>
    </row>
    <row r="58" spans="1:7" ht="16.5" thickTop="1" thickBot="1" x14ac:dyDescent="0.3">
      <c r="A58" s="566">
        <v>18050300</v>
      </c>
      <c r="B58" s="567" t="s">
        <v>1007</v>
      </c>
      <c r="C58" s="493">
        <f t="shared" si="0"/>
        <v>140970100</v>
      </c>
      <c r="D58" s="568">
        <f>(110520100)+30450000</f>
        <v>140970100</v>
      </c>
      <c r="E58" s="568"/>
      <c r="F58" s="568"/>
      <c r="G58" s="103"/>
    </row>
    <row r="59" spans="1:7" ht="15.75" thickTop="1" thickBot="1" x14ac:dyDescent="0.25">
      <c r="A59" s="566">
        <v>18050400</v>
      </c>
      <c r="B59" s="497" t="s">
        <v>83</v>
      </c>
      <c r="C59" s="493">
        <f t="shared" si="0"/>
        <v>598729900</v>
      </c>
      <c r="D59" s="568">
        <f>583729900+15000000</f>
        <v>598729900</v>
      </c>
      <c r="E59" s="568"/>
      <c r="F59" s="568"/>
      <c r="G59" s="104"/>
    </row>
    <row r="60" spans="1:7" ht="65.25" thickTop="1" thickBot="1" x14ac:dyDescent="0.25">
      <c r="A60" s="566">
        <v>18050500</v>
      </c>
      <c r="B60" s="497" t="s">
        <v>532</v>
      </c>
      <c r="C60" s="493">
        <f t="shared" si="0"/>
        <v>4850000</v>
      </c>
      <c r="D60" s="568">
        <v>4850000</v>
      </c>
      <c r="E60" s="568"/>
      <c r="F60" s="568"/>
      <c r="G60" s="104"/>
    </row>
    <row r="61" spans="1:7" ht="31.7" customHeight="1" thickTop="1" thickBot="1" x14ac:dyDescent="0.25">
      <c r="A61" s="491">
        <v>19000000</v>
      </c>
      <c r="B61" s="502" t="s">
        <v>525</v>
      </c>
      <c r="C61" s="493">
        <f t="shared" si="0"/>
        <v>2400000</v>
      </c>
      <c r="D61" s="493"/>
      <c r="E61" s="493">
        <f>SUM(E63:E65)</f>
        <v>2400000</v>
      </c>
      <c r="F61" s="568"/>
      <c r="G61" s="104"/>
    </row>
    <row r="62" spans="1:7" ht="16.5" thickTop="1" thickBot="1" x14ac:dyDescent="0.3">
      <c r="A62" s="494">
        <v>1901000</v>
      </c>
      <c r="B62" s="495" t="s">
        <v>84</v>
      </c>
      <c r="C62" s="496">
        <f t="shared" si="0"/>
        <v>2400000</v>
      </c>
      <c r="D62" s="496">
        <f>SUM(D63:D65)</f>
        <v>0</v>
      </c>
      <c r="E62" s="496">
        <f>SUM(E63:E65)</f>
        <v>2400000</v>
      </c>
      <c r="F62" s="496"/>
      <c r="G62" s="103"/>
    </row>
    <row r="63" spans="1:7" ht="65.25" thickTop="1" thickBot="1" x14ac:dyDescent="0.3">
      <c r="A63" s="566">
        <v>19010100</v>
      </c>
      <c r="B63" s="567" t="s">
        <v>526</v>
      </c>
      <c r="C63" s="493">
        <f t="shared" si="0"/>
        <v>225600</v>
      </c>
      <c r="D63" s="568"/>
      <c r="E63" s="568">
        <v>225600</v>
      </c>
      <c r="F63" s="568"/>
      <c r="G63" s="103"/>
    </row>
    <row r="64" spans="1:7" ht="27" thickTop="1" thickBot="1" x14ac:dyDescent="0.25">
      <c r="A64" s="566">
        <v>19010200</v>
      </c>
      <c r="B64" s="567" t="s">
        <v>1229</v>
      </c>
      <c r="C64" s="493">
        <f t="shared" si="0"/>
        <v>765800</v>
      </c>
      <c r="D64" s="568"/>
      <c r="E64" s="568">
        <v>765800</v>
      </c>
      <c r="F64" s="568"/>
      <c r="G64" s="106"/>
    </row>
    <row r="65" spans="1:7" ht="52.5" thickTop="1" thickBot="1" x14ac:dyDescent="0.3">
      <c r="A65" s="566">
        <v>19010300</v>
      </c>
      <c r="B65" s="567" t="s">
        <v>1230</v>
      </c>
      <c r="C65" s="493">
        <f t="shared" si="0"/>
        <v>1408600</v>
      </c>
      <c r="D65" s="568"/>
      <c r="E65" s="568">
        <f>(1008600)+400000</f>
        <v>1408600</v>
      </c>
      <c r="F65" s="568"/>
      <c r="G65" s="103"/>
    </row>
    <row r="66" spans="1:7" ht="30" customHeight="1" thickTop="1" thickBot="1" x14ac:dyDescent="0.3">
      <c r="A66" s="569">
        <v>20000000</v>
      </c>
      <c r="B66" s="569" t="s">
        <v>85</v>
      </c>
      <c r="C66" s="570">
        <f t="shared" si="0"/>
        <v>387979697</v>
      </c>
      <c r="D66" s="570">
        <f>SUM(D67,D77,D90,D95)+D89</f>
        <v>116785500</v>
      </c>
      <c r="E66" s="570">
        <f>SUM(E67,E77,E90,E95)+E89</f>
        <v>271194197</v>
      </c>
      <c r="F66" s="570">
        <f>SUM(F67,F77,F90,F95)+F89</f>
        <v>2050024</v>
      </c>
      <c r="G66" s="103"/>
    </row>
    <row r="67" spans="1:7" ht="27" thickTop="1" thickBot="1" x14ac:dyDescent="0.3">
      <c r="A67" s="491">
        <v>21000000</v>
      </c>
      <c r="B67" s="491" t="s">
        <v>527</v>
      </c>
      <c r="C67" s="493">
        <f>SUM(D67,E67)</f>
        <v>29105000</v>
      </c>
      <c r="D67" s="493">
        <f>SUM(D68,D71,D70)</f>
        <v>29105000</v>
      </c>
      <c r="E67" s="493"/>
      <c r="F67" s="493"/>
      <c r="G67" s="103"/>
    </row>
    <row r="68" spans="1:7" ht="55.5" thickTop="1" thickBot="1" x14ac:dyDescent="0.3">
      <c r="A68" s="494">
        <v>21010000</v>
      </c>
      <c r="B68" s="499" t="s">
        <v>528</v>
      </c>
      <c r="C68" s="496">
        <f t="shared" si="0"/>
        <v>1500000</v>
      </c>
      <c r="D68" s="496">
        <f>D69</f>
        <v>1500000</v>
      </c>
      <c r="E68" s="496"/>
      <c r="F68" s="496"/>
      <c r="G68" s="103"/>
    </row>
    <row r="69" spans="1:7" ht="52.5" thickTop="1" thickBot="1" x14ac:dyDescent="0.3">
      <c r="A69" s="566">
        <v>21010300</v>
      </c>
      <c r="B69" s="497" t="s">
        <v>1337</v>
      </c>
      <c r="C69" s="493">
        <f t="shared" si="0"/>
        <v>1500000</v>
      </c>
      <c r="D69" s="568">
        <v>1500000</v>
      </c>
      <c r="E69" s="568"/>
      <c r="F69" s="568"/>
      <c r="G69" s="103"/>
    </row>
    <row r="70" spans="1:7" ht="28.5" hidden="1" thickTop="1" thickBot="1" x14ac:dyDescent="0.3">
      <c r="A70" s="562">
        <v>21050000</v>
      </c>
      <c r="B70" s="564" t="s">
        <v>86</v>
      </c>
      <c r="C70" s="344">
        <f t="shared" si="0"/>
        <v>0</v>
      </c>
      <c r="D70" s="344">
        <v>0</v>
      </c>
      <c r="E70" s="344"/>
      <c r="F70" s="344"/>
      <c r="G70" s="103"/>
    </row>
    <row r="71" spans="1:7" ht="15" thickTop="1" thickBot="1" x14ac:dyDescent="0.25">
      <c r="A71" s="494">
        <v>21080000</v>
      </c>
      <c r="B71" s="499" t="s">
        <v>1008</v>
      </c>
      <c r="C71" s="496">
        <f>SUM(D71,E71)</f>
        <v>27605000</v>
      </c>
      <c r="D71" s="496">
        <f>SUM(D72:D76)</f>
        <v>27605000</v>
      </c>
      <c r="E71" s="496"/>
      <c r="F71" s="496"/>
      <c r="G71" s="106"/>
    </row>
    <row r="72" spans="1:7" ht="16.5" thickTop="1" thickBot="1" x14ac:dyDescent="0.3">
      <c r="A72" s="566">
        <v>21081100</v>
      </c>
      <c r="B72" s="503" t="s">
        <v>87</v>
      </c>
      <c r="C72" s="493">
        <f t="shared" ref="C72:C108" si="2">SUM(D72,E72)</f>
        <v>7500000</v>
      </c>
      <c r="D72" s="568">
        <f>(6000000)+1500000</f>
        <v>7500000</v>
      </c>
      <c r="E72" s="568"/>
      <c r="F72" s="568"/>
      <c r="G72" s="103"/>
    </row>
    <row r="73" spans="1:7" ht="103.5" thickTop="1" thickBot="1" x14ac:dyDescent="0.3">
      <c r="A73" s="566">
        <v>21081500</v>
      </c>
      <c r="B73" s="567" t="s">
        <v>1613</v>
      </c>
      <c r="C73" s="493">
        <f t="shared" si="2"/>
        <v>1055000</v>
      </c>
      <c r="D73" s="568">
        <v>1055000</v>
      </c>
      <c r="E73" s="568"/>
      <c r="F73" s="568"/>
      <c r="G73" s="103"/>
    </row>
    <row r="74" spans="1:7" ht="16.5" thickTop="1" thickBot="1" x14ac:dyDescent="0.3">
      <c r="A74" s="566">
        <v>21081700</v>
      </c>
      <c r="B74" s="567" t="s">
        <v>370</v>
      </c>
      <c r="C74" s="493">
        <f t="shared" si="2"/>
        <v>18250000</v>
      </c>
      <c r="D74" s="568">
        <f>(17100000)+1150000</f>
        <v>18250000</v>
      </c>
      <c r="E74" s="568"/>
      <c r="F74" s="568"/>
      <c r="G74" s="107"/>
    </row>
    <row r="75" spans="1:7" ht="52.5" thickTop="1" thickBot="1" x14ac:dyDescent="0.3">
      <c r="A75" s="566">
        <v>21081800</v>
      </c>
      <c r="B75" s="567" t="s">
        <v>1440</v>
      </c>
      <c r="C75" s="493">
        <f t="shared" si="2"/>
        <v>750000</v>
      </c>
      <c r="D75" s="568">
        <v>750000</v>
      </c>
      <c r="E75" s="568"/>
      <c r="F75" s="568"/>
      <c r="G75" s="107"/>
    </row>
    <row r="76" spans="1:7" ht="78" thickTop="1" thickBot="1" x14ac:dyDescent="0.3">
      <c r="A76" s="566">
        <v>21082400</v>
      </c>
      <c r="B76" s="567" t="s">
        <v>1441</v>
      </c>
      <c r="C76" s="493">
        <f t="shared" si="2"/>
        <v>50000</v>
      </c>
      <c r="D76" s="568">
        <v>50000</v>
      </c>
      <c r="E76" s="568"/>
      <c r="F76" s="568"/>
      <c r="G76" s="107"/>
    </row>
    <row r="77" spans="1:7" ht="39.75" thickTop="1" thickBot="1" x14ac:dyDescent="0.3">
      <c r="A77" s="491">
        <v>22000000</v>
      </c>
      <c r="B77" s="491" t="s">
        <v>88</v>
      </c>
      <c r="C77" s="493">
        <f t="shared" si="2"/>
        <v>65250000</v>
      </c>
      <c r="D77" s="493">
        <f>SUM(D78,D84,D86,D82)</f>
        <v>65250000</v>
      </c>
      <c r="E77" s="568"/>
      <c r="F77" s="568"/>
      <c r="G77" s="103"/>
    </row>
    <row r="78" spans="1:7" ht="24.75" customHeight="1" thickTop="1" thickBot="1" x14ac:dyDescent="0.3">
      <c r="A78" s="494">
        <v>22010000</v>
      </c>
      <c r="B78" s="495" t="s">
        <v>529</v>
      </c>
      <c r="C78" s="496">
        <f t="shared" si="2"/>
        <v>45200000</v>
      </c>
      <c r="D78" s="496">
        <f>SUM(D79:D81)</f>
        <v>45200000</v>
      </c>
      <c r="E78" s="496"/>
      <c r="F78" s="496"/>
      <c r="G78" s="103"/>
    </row>
    <row r="79" spans="1:7" ht="65.25" thickTop="1" thickBot="1" x14ac:dyDescent="0.3">
      <c r="A79" s="566">
        <v>22010300</v>
      </c>
      <c r="B79" s="567" t="s">
        <v>1614</v>
      </c>
      <c r="C79" s="493">
        <f t="shared" si="2"/>
        <v>1115500</v>
      </c>
      <c r="D79" s="568">
        <v>1115500</v>
      </c>
      <c r="E79" s="568"/>
      <c r="F79" s="568"/>
      <c r="G79" s="103"/>
    </row>
    <row r="80" spans="1:7" ht="27" thickTop="1" thickBot="1" x14ac:dyDescent="0.3">
      <c r="A80" s="566">
        <v>22012500</v>
      </c>
      <c r="B80" s="567" t="s">
        <v>90</v>
      </c>
      <c r="C80" s="493">
        <f t="shared" si="2"/>
        <v>40359450</v>
      </c>
      <c r="D80" s="568">
        <v>40359450</v>
      </c>
      <c r="E80" s="568"/>
      <c r="F80" s="568"/>
      <c r="G80" s="103"/>
    </row>
    <row r="81" spans="1:7" ht="39.75" thickTop="1" thickBot="1" x14ac:dyDescent="0.3">
      <c r="A81" s="566">
        <v>22012600</v>
      </c>
      <c r="B81" s="567" t="s">
        <v>89</v>
      </c>
      <c r="C81" s="493">
        <f>SUM(D81,E81)</f>
        <v>3725050</v>
      </c>
      <c r="D81" s="568">
        <v>3725050</v>
      </c>
      <c r="E81" s="568"/>
      <c r="F81" s="568"/>
      <c r="G81" s="103"/>
    </row>
    <row r="82" spans="1:7" ht="55.5" hidden="1" thickTop="1" thickBot="1" x14ac:dyDescent="0.3">
      <c r="A82" s="562">
        <v>22020000</v>
      </c>
      <c r="B82" s="563" t="s">
        <v>1507</v>
      </c>
      <c r="C82" s="344">
        <f t="shared" ref="C82" si="3">SUM(D82,E82)</f>
        <v>0</v>
      </c>
      <c r="D82" s="344">
        <f>SUM(D83)</f>
        <v>0</v>
      </c>
      <c r="E82" s="344"/>
      <c r="F82" s="344"/>
      <c r="G82" s="103"/>
    </row>
    <row r="83" spans="1:7" ht="39.75" hidden="1" thickTop="1" thickBot="1" x14ac:dyDescent="0.3">
      <c r="A83" s="345">
        <v>22020400</v>
      </c>
      <c r="B83" s="346" t="s">
        <v>1508</v>
      </c>
      <c r="C83" s="343">
        <f>SUM(D83,E83)</f>
        <v>0</v>
      </c>
      <c r="D83" s="347">
        <v>0</v>
      </c>
      <c r="E83" s="347"/>
      <c r="F83" s="347"/>
      <c r="G83" s="103"/>
    </row>
    <row r="84" spans="1:7" ht="55.5" thickTop="1" thickBot="1" x14ac:dyDescent="0.3">
      <c r="A84" s="494">
        <v>2208000</v>
      </c>
      <c r="B84" s="495" t="s">
        <v>530</v>
      </c>
      <c r="C84" s="496">
        <f t="shared" si="2"/>
        <v>19500000</v>
      </c>
      <c r="D84" s="496">
        <f>D85</f>
        <v>19500000</v>
      </c>
      <c r="E84" s="496"/>
      <c r="F84" s="496"/>
      <c r="G84" s="103"/>
    </row>
    <row r="85" spans="1:7" ht="52.5" thickTop="1" thickBot="1" x14ac:dyDescent="0.3">
      <c r="A85" s="566">
        <v>22080400</v>
      </c>
      <c r="B85" s="503" t="s">
        <v>91</v>
      </c>
      <c r="C85" s="493">
        <f t="shared" si="2"/>
        <v>19500000</v>
      </c>
      <c r="D85" s="568">
        <v>19500000</v>
      </c>
      <c r="E85" s="568"/>
      <c r="F85" s="568"/>
      <c r="G85" s="103"/>
    </row>
    <row r="86" spans="1:7" ht="16.5" thickTop="1" thickBot="1" x14ac:dyDescent="0.3">
      <c r="A86" s="494">
        <v>22090000</v>
      </c>
      <c r="B86" s="504" t="s">
        <v>92</v>
      </c>
      <c r="C86" s="496">
        <f t="shared" si="2"/>
        <v>550000</v>
      </c>
      <c r="D86" s="496">
        <f>SUM(D87:D88)</f>
        <v>550000</v>
      </c>
      <c r="E86" s="496"/>
      <c r="F86" s="496"/>
      <c r="G86" s="103"/>
    </row>
    <row r="87" spans="1:7" ht="52.5" thickTop="1" thickBot="1" x14ac:dyDescent="0.3">
      <c r="A87" s="566">
        <v>22090100</v>
      </c>
      <c r="B87" s="497" t="s">
        <v>93</v>
      </c>
      <c r="C87" s="493">
        <f t="shared" si="2"/>
        <v>447500</v>
      </c>
      <c r="D87" s="568">
        <v>447500</v>
      </c>
      <c r="E87" s="568"/>
      <c r="F87" s="568"/>
      <c r="G87" s="103"/>
    </row>
    <row r="88" spans="1:7" ht="39.75" thickTop="1" thickBot="1" x14ac:dyDescent="0.25">
      <c r="A88" s="566">
        <v>22090400</v>
      </c>
      <c r="B88" s="497" t="s">
        <v>94</v>
      </c>
      <c r="C88" s="493">
        <f t="shared" si="2"/>
        <v>102500</v>
      </c>
      <c r="D88" s="568">
        <v>102500</v>
      </c>
      <c r="E88" s="568"/>
      <c r="F88" s="568"/>
      <c r="G88" s="105"/>
    </row>
    <row r="89" spans="1:7" ht="90.75" thickTop="1" thickBot="1" x14ac:dyDescent="0.25">
      <c r="A89" s="491">
        <v>22130000</v>
      </c>
      <c r="B89" s="505" t="s">
        <v>1442</v>
      </c>
      <c r="C89" s="493">
        <f t="shared" si="2"/>
        <v>124300</v>
      </c>
      <c r="D89" s="493">
        <v>124300</v>
      </c>
      <c r="E89" s="493"/>
      <c r="F89" s="493"/>
      <c r="G89" s="105"/>
    </row>
    <row r="90" spans="1:7" ht="20.25" customHeight="1" thickTop="1" thickBot="1" x14ac:dyDescent="0.3">
      <c r="A90" s="491">
        <v>24000000</v>
      </c>
      <c r="B90" s="505" t="s">
        <v>95</v>
      </c>
      <c r="C90" s="493">
        <f t="shared" si="2"/>
        <v>24356224</v>
      </c>
      <c r="D90" s="493">
        <f>D91+D92+D94+D93</f>
        <v>22306200</v>
      </c>
      <c r="E90" s="493">
        <f>E91+E92+E94+E93</f>
        <v>2050024</v>
      </c>
      <c r="F90" s="493">
        <f>F91+F92+F94+F93</f>
        <v>2050024</v>
      </c>
      <c r="G90" s="103"/>
    </row>
    <row r="91" spans="1:7" ht="16.5" thickTop="1" thickBot="1" x14ac:dyDescent="0.3">
      <c r="A91" s="566">
        <v>24060300</v>
      </c>
      <c r="B91" s="567" t="s">
        <v>96</v>
      </c>
      <c r="C91" s="493">
        <f t="shared" si="2"/>
        <v>21306200</v>
      </c>
      <c r="D91" s="568">
        <f>(5306200)+16000000</f>
        <v>21306200</v>
      </c>
      <c r="E91" s="568"/>
      <c r="F91" s="568"/>
      <c r="G91" s="103"/>
    </row>
    <row r="92" spans="1:7" ht="78" thickTop="1" thickBot="1" x14ac:dyDescent="0.3">
      <c r="A92" s="566">
        <v>24062200</v>
      </c>
      <c r="B92" s="567" t="s">
        <v>371</v>
      </c>
      <c r="C92" s="493">
        <f t="shared" si="2"/>
        <v>1000000</v>
      </c>
      <c r="D92" s="568">
        <v>1000000</v>
      </c>
      <c r="E92" s="568"/>
      <c r="F92" s="568"/>
      <c r="G92" s="103"/>
    </row>
    <row r="93" spans="1:7" ht="39.75" thickTop="1" thickBot="1" x14ac:dyDescent="0.3">
      <c r="A93" s="566">
        <v>24110700</v>
      </c>
      <c r="B93" s="506" t="s">
        <v>580</v>
      </c>
      <c r="C93" s="493">
        <f t="shared" si="2"/>
        <v>24</v>
      </c>
      <c r="D93" s="568"/>
      <c r="E93" s="568">
        <v>24</v>
      </c>
      <c r="F93" s="568">
        <v>24</v>
      </c>
      <c r="G93" s="103"/>
    </row>
    <row r="94" spans="1:7" ht="39.75" thickTop="1" thickBot="1" x14ac:dyDescent="0.25">
      <c r="A94" s="566">
        <v>24170000</v>
      </c>
      <c r="B94" s="497" t="s">
        <v>97</v>
      </c>
      <c r="C94" s="493">
        <f t="shared" si="2"/>
        <v>2050000</v>
      </c>
      <c r="D94" s="568"/>
      <c r="E94" s="568">
        <v>2050000</v>
      </c>
      <c r="F94" s="568">
        <v>2050000</v>
      </c>
      <c r="G94" s="104"/>
    </row>
    <row r="95" spans="1:7" ht="16.5" thickTop="1" thickBot="1" x14ac:dyDescent="0.3">
      <c r="A95" s="491">
        <v>25000000</v>
      </c>
      <c r="B95" s="507" t="s">
        <v>98</v>
      </c>
      <c r="C95" s="493">
        <f t="shared" si="2"/>
        <v>269144173</v>
      </c>
      <c r="D95" s="493">
        <f>SUM(D96:D100,)</f>
        <v>0</v>
      </c>
      <c r="E95" s="493">
        <f>SUM(E96)</f>
        <v>269144173</v>
      </c>
      <c r="F95" s="493"/>
      <c r="G95" s="103"/>
    </row>
    <row r="96" spans="1:7" ht="42" thickTop="1" thickBot="1" x14ac:dyDescent="0.3">
      <c r="A96" s="494">
        <v>25010000</v>
      </c>
      <c r="B96" s="499" t="s">
        <v>99</v>
      </c>
      <c r="C96" s="496">
        <f t="shared" si="2"/>
        <v>269144173</v>
      </c>
      <c r="D96" s="496">
        <v>0</v>
      </c>
      <c r="E96" s="496">
        <f>SUM(E97:E100)</f>
        <v>269144173</v>
      </c>
      <c r="F96" s="496"/>
      <c r="G96" s="103"/>
    </row>
    <row r="97" spans="1:7" ht="39.75" thickTop="1" thickBot="1" x14ac:dyDescent="0.3">
      <c r="A97" s="566">
        <v>25010100</v>
      </c>
      <c r="B97" s="497" t="s">
        <v>100</v>
      </c>
      <c r="C97" s="493">
        <f t="shared" si="2"/>
        <v>249831850</v>
      </c>
      <c r="D97" s="568"/>
      <c r="E97" s="568">
        <f>(249100152)+731698</f>
        <v>249831850</v>
      </c>
      <c r="F97" s="568"/>
      <c r="G97" s="103"/>
    </row>
    <row r="98" spans="1:7" ht="27" thickTop="1" thickBot="1" x14ac:dyDescent="0.3">
      <c r="A98" s="566">
        <v>25010200</v>
      </c>
      <c r="B98" s="497" t="s">
        <v>101</v>
      </c>
      <c r="C98" s="493">
        <f t="shared" si="2"/>
        <v>14929490</v>
      </c>
      <c r="D98" s="568"/>
      <c r="E98" s="568">
        <v>14929490</v>
      </c>
      <c r="F98" s="568"/>
      <c r="G98" s="103"/>
    </row>
    <row r="99" spans="1:7" ht="16.5" thickTop="1" thickBot="1" x14ac:dyDescent="0.3">
      <c r="A99" s="566">
        <v>25010300</v>
      </c>
      <c r="B99" s="497" t="s">
        <v>102</v>
      </c>
      <c r="C99" s="493">
        <f t="shared" si="2"/>
        <v>4343833</v>
      </c>
      <c r="D99" s="568"/>
      <c r="E99" s="568">
        <v>4343833</v>
      </c>
      <c r="F99" s="568"/>
      <c r="G99" s="103"/>
    </row>
    <row r="100" spans="1:7" ht="39.75" thickTop="1" thickBot="1" x14ac:dyDescent="0.3">
      <c r="A100" s="566">
        <v>25010400</v>
      </c>
      <c r="B100" s="497" t="s">
        <v>103</v>
      </c>
      <c r="C100" s="493">
        <f t="shared" si="2"/>
        <v>39000</v>
      </c>
      <c r="D100" s="568"/>
      <c r="E100" s="568">
        <v>39000</v>
      </c>
      <c r="F100" s="568"/>
      <c r="G100" s="103"/>
    </row>
    <row r="101" spans="1:7" ht="24.75" customHeight="1" thickTop="1" thickBot="1" x14ac:dyDescent="0.25">
      <c r="A101" s="569">
        <v>30000000</v>
      </c>
      <c r="B101" s="569" t="s">
        <v>104</v>
      </c>
      <c r="C101" s="570">
        <f>SUM(D101,E101)</f>
        <v>18163825</v>
      </c>
      <c r="D101" s="570">
        <f>SUM(D102)+D106</f>
        <v>25000</v>
      </c>
      <c r="E101" s="570">
        <f>SUM(E102)+E106</f>
        <v>18138825</v>
      </c>
      <c r="F101" s="570">
        <f>SUM(F102)+F106</f>
        <v>18138825</v>
      </c>
      <c r="G101" s="105"/>
    </row>
    <row r="102" spans="1:7" ht="27" customHeight="1" thickTop="1" thickBot="1" x14ac:dyDescent="0.3">
      <c r="A102" s="491">
        <v>31000000</v>
      </c>
      <c r="B102" s="491" t="s">
        <v>105</v>
      </c>
      <c r="C102" s="493">
        <f>SUM(D102,E102)</f>
        <v>4025000</v>
      </c>
      <c r="D102" s="493">
        <f>D103+D105</f>
        <v>25000</v>
      </c>
      <c r="E102" s="493">
        <f>E103+E105</f>
        <v>4000000</v>
      </c>
      <c r="F102" s="493">
        <f>F103+F105</f>
        <v>4000000</v>
      </c>
      <c r="G102" s="103"/>
    </row>
    <row r="103" spans="1:7" ht="82.5" thickTop="1" thickBot="1" x14ac:dyDescent="0.3">
      <c r="A103" s="494">
        <v>3101000</v>
      </c>
      <c r="B103" s="495" t="s">
        <v>531</v>
      </c>
      <c r="C103" s="496">
        <f>SUM(D103,E103)</f>
        <v>25000</v>
      </c>
      <c r="D103" s="496">
        <f>D104</f>
        <v>25000</v>
      </c>
      <c r="E103" s="496"/>
      <c r="F103" s="496"/>
      <c r="G103" s="103"/>
    </row>
    <row r="104" spans="1:7" ht="78" thickTop="1" thickBot="1" x14ac:dyDescent="0.3">
      <c r="A104" s="566">
        <v>31010200</v>
      </c>
      <c r="B104" s="497" t="s">
        <v>106</v>
      </c>
      <c r="C104" s="493">
        <f>SUM(D104,E104)</f>
        <v>25000</v>
      </c>
      <c r="D104" s="568">
        <v>25000</v>
      </c>
      <c r="E104" s="568"/>
      <c r="F104" s="568"/>
      <c r="G104" s="103"/>
    </row>
    <row r="105" spans="1:7" ht="55.5" thickTop="1" thickBot="1" x14ac:dyDescent="0.3">
      <c r="A105" s="494">
        <v>31030000</v>
      </c>
      <c r="B105" s="499" t="s">
        <v>107</v>
      </c>
      <c r="C105" s="496">
        <f t="shared" si="2"/>
        <v>4000000</v>
      </c>
      <c r="D105" s="496"/>
      <c r="E105" s="496">
        <v>4000000</v>
      </c>
      <c r="F105" s="496">
        <v>4000000</v>
      </c>
      <c r="G105" s="103"/>
    </row>
    <row r="106" spans="1:7" ht="27" thickTop="1" thickBot="1" x14ac:dyDescent="0.3">
      <c r="A106" s="491">
        <v>33000000</v>
      </c>
      <c r="B106" s="491" t="s">
        <v>108</v>
      </c>
      <c r="C106" s="493">
        <f t="shared" si="2"/>
        <v>14138825</v>
      </c>
      <c r="D106" s="493">
        <f>SUM(D107)</f>
        <v>0</v>
      </c>
      <c r="E106" s="493">
        <f>SUM(E107)</f>
        <v>14138825</v>
      </c>
      <c r="F106" s="493">
        <f>SUM(F107)</f>
        <v>14138825</v>
      </c>
      <c r="G106" s="103"/>
    </row>
    <row r="107" spans="1:7" ht="16.5" thickTop="1" thickBot="1" x14ac:dyDescent="0.3">
      <c r="A107" s="494">
        <v>33010000</v>
      </c>
      <c r="B107" s="495" t="s">
        <v>109</v>
      </c>
      <c r="C107" s="496">
        <f>SUM(D107,E107)</f>
        <v>14138825</v>
      </c>
      <c r="D107" s="496">
        <f>SUM(D108:D110)</f>
        <v>0</v>
      </c>
      <c r="E107" s="496">
        <f>SUM(E108:E110)</f>
        <v>14138825</v>
      </c>
      <c r="F107" s="496">
        <f>SUM(F108:F110)</f>
        <v>14138825</v>
      </c>
      <c r="G107" s="103"/>
    </row>
    <row r="108" spans="1:7" ht="52.5" thickTop="1" thickBot="1" x14ac:dyDescent="0.3">
      <c r="A108" s="566">
        <v>33010100</v>
      </c>
      <c r="B108" s="497" t="s">
        <v>340</v>
      </c>
      <c r="C108" s="493">
        <f t="shared" si="2"/>
        <v>12572910</v>
      </c>
      <c r="D108" s="568"/>
      <c r="E108" s="568">
        <f>(11092610)+1480300</f>
        <v>12572910</v>
      </c>
      <c r="F108" s="568">
        <f>(11092610)+1480300</f>
        <v>12572910</v>
      </c>
      <c r="G108" s="103"/>
    </row>
    <row r="109" spans="1:7" ht="52.5" thickTop="1" thickBot="1" x14ac:dyDescent="0.3">
      <c r="A109" s="566">
        <v>33010200</v>
      </c>
      <c r="B109" s="497" t="s">
        <v>110</v>
      </c>
      <c r="C109" s="493">
        <f>SUM(D109,E109)</f>
        <v>1565915</v>
      </c>
      <c r="D109" s="568"/>
      <c r="E109" s="568">
        <v>1565915</v>
      </c>
      <c r="F109" s="568">
        <v>1565915</v>
      </c>
      <c r="G109" s="103"/>
    </row>
    <row r="110" spans="1:7" ht="78" hidden="1" thickTop="1" thickBot="1" x14ac:dyDescent="0.3">
      <c r="A110" s="345">
        <v>33010500</v>
      </c>
      <c r="B110" s="348" t="s">
        <v>1338</v>
      </c>
      <c r="C110" s="343">
        <f>SUM(D110,E110)</f>
        <v>0</v>
      </c>
      <c r="D110" s="347"/>
      <c r="E110" s="347">
        <v>0</v>
      </c>
      <c r="F110" s="347">
        <v>0</v>
      </c>
      <c r="G110" s="103"/>
    </row>
    <row r="111" spans="1:7" ht="27" customHeight="1" thickTop="1" thickBot="1" x14ac:dyDescent="0.3">
      <c r="A111" s="569">
        <v>50000000</v>
      </c>
      <c r="B111" s="569" t="s">
        <v>482</v>
      </c>
      <c r="C111" s="570">
        <f>SUM(D111,E111)</f>
        <v>6197000</v>
      </c>
      <c r="D111" s="570">
        <f>SUM(D112)</f>
        <v>0</v>
      </c>
      <c r="E111" s="570">
        <f>SUM(E112)</f>
        <v>6197000</v>
      </c>
      <c r="F111" s="570">
        <f>SUM(F112)</f>
        <v>0</v>
      </c>
      <c r="G111" s="103"/>
    </row>
    <row r="112" spans="1:7" ht="52.5" thickTop="1" thickBot="1" x14ac:dyDescent="0.3">
      <c r="A112" s="491">
        <v>50110000</v>
      </c>
      <c r="B112" s="502" t="s">
        <v>111</v>
      </c>
      <c r="C112" s="493">
        <f t="shared" ref="C112:C155" si="4">SUM(D112,E112)</f>
        <v>6197000</v>
      </c>
      <c r="D112" s="568"/>
      <c r="E112" s="493">
        <f>(5500000)+697000</f>
        <v>6197000</v>
      </c>
      <c r="F112" s="568"/>
      <c r="G112" s="103"/>
    </row>
    <row r="113" spans="1:7" ht="45.75" customHeight="1" thickTop="1" thickBot="1" x14ac:dyDescent="0.25">
      <c r="A113" s="571"/>
      <c r="B113" s="572" t="s">
        <v>483</v>
      </c>
      <c r="C113" s="573">
        <f t="shared" si="4"/>
        <v>4133426510.52</v>
      </c>
      <c r="D113" s="573">
        <f>D111+D101+D66+D15</f>
        <v>3835496488.52</v>
      </c>
      <c r="E113" s="573">
        <f>E111+E101+E66+E15</f>
        <v>297930022</v>
      </c>
      <c r="F113" s="573">
        <f>F111+F101+F66+F15</f>
        <v>20188849</v>
      </c>
      <c r="G113" s="104"/>
    </row>
    <row r="114" spans="1:7" ht="34.5" customHeight="1" thickTop="1" thickBot="1" x14ac:dyDescent="0.25">
      <c r="A114" s="569">
        <v>40000000</v>
      </c>
      <c r="B114" s="569" t="s">
        <v>422</v>
      </c>
      <c r="C114" s="570">
        <f>SUM(D114,E114)</f>
        <v>653054866.20000005</v>
      </c>
      <c r="D114" s="570">
        <f>SUM(D120,D117,D115)</f>
        <v>651254899.20000005</v>
      </c>
      <c r="E114" s="570">
        <f>SUM(E120,E117,E115)</f>
        <v>1799967</v>
      </c>
      <c r="F114" s="570">
        <f>SUM(F120,F117,F115)</f>
        <v>0</v>
      </c>
      <c r="G114" s="104"/>
    </row>
    <row r="115" spans="1:7" ht="27" hidden="1" customHeight="1" thickTop="1" thickBot="1" x14ac:dyDescent="0.25">
      <c r="A115" s="342">
        <v>41020000</v>
      </c>
      <c r="B115" s="349" t="s">
        <v>1283</v>
      </c>
      <c r="C115" s="343">
        <f t="shared" ref="C115:C116" si="5">SUM(D115,E115)</f>
        <v>0</v>
      </c>
      <c r="D115" s="343">
        <f>SUM(D116)</f>
        <v>0</v>
      </c>
      <c r="E115" s="343"/>
      <c r="F115" s="343"/>
      <c r="G115" s="104"/>
    </row>
    <row r="116" spans="1:7" ht="103.5" hidden="1" thickTop="1" thickBot="1" x14ac:dyDescent="0.25">
      <c r="A116" s="345">
        <v>41021400</v>
      </c>
      <c r="B116" s="348" t="s">
        <v>1289</v>
      </c>
      <c r="C116" s="343">
        <f t="shared" si="5"/>
        <v>0</v>
      </c>
      <c r="D116" s="347">
        <v>0</v>
      </c>
      <c r="E116" s="343"/>
      <c r="F116" s="343"/>
      <c r="G116" s="104"/>
    </row>
    <row r="117" spans="1:7" ht="27" thickTop="1" thickBot="1" x14ac:dyDescent="0.25">
      <c r="A117" s="491">
        <v>41040000</v>
      </c>
      <c r="B117" s="498" t="s">
        <v>341</v>
      </c>
      <c r="C117" s="493">
        <f>SUM(D117,E117)</f>
        <v>7340006.0999999996</v>
      </c>
      <c r="D117" s="493">
        <f>SUM(D118:D119)</f>
        <v>7340006.0999999996</v>
      </c>
      <c r="E117" s="493"/>
      <c r="F117" s="493"/>
      <c r="G117" s="104"/>
    </row>
    <row r="118" spans="1:7" ht="65.25" thickTop="1" thickBot="1" x14ac:dyDescent="0.25">
      <c r="A118" s="566">
        <v>41040200</v>
      </c>
      <c r="B118" s="497" t="s">
        <v>1120</v>
      </c>
      <c r="C118" s="493">
        <f t="shared" si="4"/>
        <v>7178900</v>
      </c>
      <c r="D118" s="568">
        <v>7178900</v>
      </c>
      <c r="E118" s="493"/>
      <c r="F118" s="493"/>
      <c r="G118" s="104"/>
    </row>
    <row r="119" spans="1:7" ht="21" customHeight="1" thickTop="1" thickBot="1" x14ac:dyDescent="0.25">
      <c r="A119" s="566">
        <v>41040400</v>
      </c>
      <c r="B119" s="497" t="s">
        <v>1176</v>
      </c>
      <c r="C119" s="493">
        <f t="shared" si="4"/>
        <v>161106.09999999998</v>
      </c>
      <c r="D119" s="568">
        <f>(92669.43)+68436.67</f>
        <v>161106.09999999998</v>
      </c>
      <c r="E119" s="493"/>
      <c r="F119" s="493"/>
      <c r="G119" s="104"/>
    </row>
    <row r="120" spans="1:7" s="485" customFormat="1" ht="15.75" thickTop="1" thickBot="1" x14ac:dyDescent="0.25">
      <c r="A120" s="491">
        <v>41000000</v>
      </c>
      <c r="B120" s="491" t="s">
        <v>112</v>
      </c>
      <c r="C120" s="493">
        <f t="shared" si="4"/>
        <v>645714860.10000002</v>
      </c>
      <c r="D120" s="493">
        <f>SUM(D121,D133)</f>
        <v>643914893.10000002</v>
      </c>
      <c r="E120" s="493">
        <f>SUM(E121,E133)</f>
        <v>1799967</v>
      </c>
      <c r="F120" s="493">
        <f>SUM(F121,F133)</f>
        <v>0</v>
      </c>
      <c r="G120" s="510"/>
    </row>
    <row r="121" spans="1:7" s="485" customFormat="1" ht="27" thickTop="1" thickBot="1" x14ac:dyDescent="0.3">
      <c r="A121" s="491">
        <v>41030000</v>
      </c>
      <c r="B121" s="507" t="s">
        <v>433</v>
      </c>
      <c r="C121" s="493">
        <f t="shared" si="4"/>
        <v>580837967</v>
      </c>
      <c r="D121" s="493">
        <f>SUM(D122:D132)</f>
        <v>579038000</v>
      </c>
      <c r="E121" s="493">
        <f>SUM(E122:E132)</f>
        <v>1799967</v>
      </c>
      <c r="F121" s="493">
        <f>SUM(F122:F132)</f>
        <v>0</v>
      </c>
      <c r="G121" s="492"/>
    </row>
    <row r="122" spans="1:7" ht="52.5" hidden="1" thickTop="1" thickBot="1" x14ac:dyDescent="0.3">
      <c r="A122" s="345">
        <v>41032300</v>
      </c>
      <c r="B122" s="346" t="s">
        <v>961</v>
      </c>
      <c r="C122" s="343">
        <f t="shared" si="4"/>
        <v>0</v>
      </c>
      <c r="D122" s="347">
        <v>0</v>
      </c>
      <c r="E122" s="343"/>
      <c r="F122" s="347"/>
      <c r="G122" s="103"/>
    </row>
    <row r="123" spans="1:7" ht="52.5" hidden="1" thickTop="1" thickBot="1" x14ac:dyDescent="0.3">
      <c r="A123" s="345">
        <v>41033300</v>
      </c>
      <c r="B123" s="346" t="s">
        <v>1529</v>
      </c>
      <c r="C123" s="343">
        <f t="shared" si="4"/>
        <v>0</v>
      </c>
      <c r="D123" s="347">
        <v>0</v>
      </c>
      <c r="E123" s="343"/>
      <c r="F123" s="347"/>
      <c r="G123" s="103"/>
    </row>
    <row r="124" spans="1:7" ht="52.5" hidden="1" thickTop="1" thickBot="1" x14ac:dyDescent="0.3">
      <c r="A124" s="345">
        <v>41033800</v>
      </c>
      <c r="B124" s="346" t="s">
        <v>1010</v>
      </c>
      <c r="C124" s="343">
        <f t="shared" si="4"/>
        <v>0</v>
      </c>
      <c r="D124" s="347">
        <v>0</v>
      </c>
      <c r="E124" s="343"/>
      <c r="F124" s="347"/>
      <c r="G124" s="103"/>
    </row>
    <row r="125" spans="1:7" ht="27" thickTop="1" thickBot="1" x14ac:dyDescent="0.3">
      <c r="A125" s="566">
        <v>41033900</v>
      </c>
      <c r="B125" s="567" t="s">
        <v>113</v>
      </c>
      <c r="C125" s="493">
        <f t="shared" si="4"/>
        <v>524048367</v>
      </c>
      <c r="D125" s="568">
        <v>522248400</v>
      </c>
      <c r="E125" s="568">
        <v>1799967</v>
      </c>
      <c r="F125" s="568"/>
      <c r="G125" s="103"/>
    </row>
    <row r="126" spans="1:7" ht="52.5" hidden="1" thickTop="1" thickBot="1" x14ac:dyDescent="0.3">
      <c r="A126" s="345">
        <v>41034500</v>
      </c>
      <c r="B126" s="346" t="s">
        <v>1011</v>
      </c>
      <c r="C126" s="343">
        <f t="shared" si="4"/>
        <v>0</v>
      </c>
      <c r="D126" s="347">
        <v>0</v>
      </c>
      <c r="E126" s="347">
        <v>0</v>
      </c>
      <c r="F126" s="347">
        <v>0</v>
      </c>
      <c r="G126" s="103"/>
    </row>
    <row r="127" spans="1:7" ht="39.75" thickTop="1" thickBot="1" x14ac:dyDescent="0.3">
      <c r="A127" s="566">
        <v>41035400</v>
      </c>
      <c r="B127" s="567" t="s">
        <v>1624</v>
      </c>
      <c r="C127" s="493">
        <f t="shared" si="4"/>
        <v>5255400</v>
      </c>
      <c r="D127" s="568">
        <v>5255400</v>
      </c>
      <c r="E127" s="568"/>
      <c r="F127" s="568"/>
      <c r="G127" s="103"/>
    </row>
    <row r="128" spans="1:7" ht="65.25" hidden="1" thickTop="1" thickBot="1" x14ac:dyDescent="0.3">
      <c r="A128" s="345">
        <v>41035500</v>
      </c>
      <c r="B128" s="346" t="s">
        <v>963</v>
      </c>
      <c r="C128" s="343">
        <f t="shared" si="4"/>
        <v>0</v>
      </c>
      <c r="D128" s="347">
        <v>0</v>
      </c>
      <c r="E128" s="347"/>
      <c r="F128" s="347"/>
      <c r="G128" s="103"/>
    </row>
    <row r="129" spans="1:7" ht="65.25" hidden="1" thickTop="1" thickBot="1" x14ac:dyDescent="0.3">
      <c r="A129" s="345">
        <v>41035600</v>
      </c>
      <c r="B129" s="346" t="s">
        <v>980</v>
      </c>
      <c r="C129" s="343">
        <f t="shared" si="4"/>
        <v>0</v>
      </c>
      <c r="D129" s="347">
        <v>0</v>
      </c>
      <c r="E129" s="347"/>
      <c r="F129" s="347"/>
      <c r="G129" s="103"/>
    </row>
    <row r="130" spans="1:7" ht="65.25" thickTop="1" thickBot="1" x14ac:dyDescent="0.3">
      <c r="A130" s="566">
        <v>41036000</v>
      </c>
      <c r="B130" s="567" t="s">
        <v>1688</v>
      </c>
      <c r="C130" s="493">
        <f t="shared" si="4"/>
        <v>13335900</v>
      </c>
      <c r="D130" s="568">
        <v>13335900</v>
      </c>
      <c r="E130" s="568"/>
      <c r="F130" s="568"/>
      <c r="G130" s="103"/>
    </row>
    <row r="131" spans="1:7" ht="52.5" thickTop="1" thickBot="1" x14ac:dyDescent="0.3">
      <c r="A131" s="566">
        <v>41036300</v>
      </c>
      <c r="B131" s="567" t="s">
        <v>1625</v>
      </c>
      <c r="C131" s="493">
        <f t="shared" si="4"/>
        <v>38198300</v>
      </c>
      <c r="D131" s="568">
        <v>38198300</v>
      </c>
      <c r="E131" s="568"/>
      <c r="F131" s="568"/>
      <c r="G131" s="103"/>
    </row>
    <row r="132" spans="1:7" ht="39.75" hidden="1" thickTop="1" thickBot="1" x14ac:dyDescent="0.3">
      <c r="A132" s="345">
        <v>41035700</v>
      </c>
      <c r="B132" s="346" t="s">
        <v>954</v>
      </c>
      <c r="C132" s="343">
        <f t="shared" si="4"/>
        <v>0</v>
      </c>
      <c r="D132" s="347">
        <v>0</v>
      </c>
      <c r="E132" s="347"/>
      <c r="F132" s="347"/>
      <c r="G132" s="103"/>
    </row>
    <row r="133" spans="1:7" s="485" customFormat="1" ht="27" thickTop="1" thickBot="1" x14ac:dyDescent="0.3">
      <c r="A133" s="491">
        <v>41050000</v>
      </c>
      <c r="B133" s="507" t="s">
        <v>468</v>
      </c>
      <c r="C133" s="493">
        <f>SUM(D133,E133)</f>
        <v>64876893.100000001</v>
      </c>
      <c r="D133" s="493">
        <f>SUM(D134:D149)+D156+D157+D158+D159</f>
        <v>64876893.100000001</v>
      </c>
      <c r="E133" s="493">
        <f>SUM(E134:E149)+E156+E157++E158+E159</f>
        <v>0</v>
      </c>
      <c r="F133" s="493">
        <f>SUM(F134:F149)+F156+F157++F158+F159</f>
        <v>0</v>
      </c>
      <c r="G133" s="492"/>
    </row>
    <row r="134" spans="1:7" s="485" customFormat="1" ht="90.75" thickTop="1" thickBot="1" x14ac:dyDescent="0.3">
      <c r="A134" s="566">
        <v>41050100</v>
      </c>
      <c r="B134" s="567" t="s">
        <v>1717</v>
      </c>
      <c r="C134" s="493">
        <f t="shared" si="4"/>
        <v>7780090</v>
      </c>
      <c r="D134" s="568">
        <v>7780090</v>
      </c>
      <c r="E134" s="568"/>
      <c r="F134" s="568"/>
      <c r="G134" s="492"/>
    </row>
    <row r="135" spans="1:7" s="485" customFormat="1" ht="358.5" thickTop="1" thickBot="1" x14ac:dyDescent="0.3">
      <c r="A135" s="566">
        <v>41050200</v>
      </c>
      <c r="B135" s="567" t="s">
        <v>1691</v>
      </c>
      <c r="C135" s="493">
        <f t="shared" si="4"/>
        <v>44763277.100000001</v>
      </c>
      <c r="D135" s="568">
        <v>44763277.100000001</v>
      </c>
      <c r="E135" s="568"/>
      <c r="F135" s="568"/>
      <c r="G135" s="492"/>
    </row>
    <row r="136" spans="1:7" ht="345.75" hidden="1" thickTop="1" thickBot="1" x14ac:dyDescent="0.3">
      <c r="A136" s="345">
        <v>41050400</v>
      </c>
      <c r="B136" s="346" t="s">
        <v>1358</v>
      </c>
      <c r="C136" s="343">
        <f t="shared" si="4"/>
        <v>0</v>
      </c>
      <c r="D136" s="347">
        <v>0</v>
      </c>
      <c r="E136" s="347"/>
      <c r="F136" s="347"/>
      <c r="G136" s="103"/>
    </row>
    <row r="137" spans="1:7" ht="243.75" hidden="1" thickTop="1" thickBot="1" x14ac:dyDescent="0.3">
      <c r="A137" s="345">
        <v>41050500</v>
      </c>
      <c r="B137" s="346" t="s">
        <v>1012</v>
      </c>
      <c r="C137" s="343">
        <f t="shared" si="4"/>
        <v>0</v>
      </c>
      <c r="D137" s="347">
        <v>0</v>
      </c>
      <c r="E137" s="347"/>
      <c r="F137" s="347"/>
      <c r="G137" s="103"/>
    </row>
    <row r="138" spans="1:7" ht="345.75" hidden="1" thickTop="1" thickBot="1" x14ac:dyDescent="0.3">
      <c r="A138" s="345">
        <v>41050600</v>
      </c>
      <c r="B138" s="346" t="s">
        <v>1359</v>
      </c>
      <c r="C138" s="343">
        <f t="shared" si="4"/>
        <v>0</v>
      </c>
      <c r="D138" s="347">
        <v>0</v>
      </c>
      <c r="E138" s="347"/>
      <c r="F138" s="347"/>
      <c r="G138" s="103"/>
    </row>
    <row r="139" spans="1:7" ht="116.25" hidden="1" thickTop="1" thickBot="1" x14ac:dyDescent="0.3">
      <c r="A139" s="345">
        <v>41050900</v>
      </c>
      <c r="B139" s="346" t="s">
        <v>1013</v>
      </c>
      <c r="C139" s="343">
        <f t="shared" si="4"/>
        <v>0</v>
      </c>
      <c r="D139" s="347">
        <v>0</v>
      </c>
      <c r="E139" s="347"/>
      <c r="F139" s="347"/>
      <c r="G139" s="103"/>
    </row>
    <row r="140" spans="1:7" s="485" customFormat="1" ht="39.75" thickTop="1" thickBot="1" x14ac:dyDescent="0.3">
      <c r="A140" s="566">
        <v>41051000</v>
      </c>
      <c r="B140" s="567" t="s">
        <v>469</v>
      </c>
      <c r="C140" s="493">
        <f t="shared" si="4"/>
        <v>8792908</v>
      </c>
      <c r="D140" s="568">
        <f>(8694404)+98504</f>
        <v>8792908</v>
      </c>
      <c r="E140" s="568"/>
      <c r="F140" s="568"/>
      <c r="G140" s="492"/>
    </row>
    <row r="141" spans="1:7" ht="39.75" hidden="1" thickTop="1" thickBot="1" x14ac:dyDescent="0.3">
      <c r="A141" s="345">
        <v>41051100</v>
      </c>
      <c r="B141" s="346" t="s">
        <v>1477</v>
      </c>
      <c r="C141" s="343">
        <f t="shared" si="4"/>
        <v>0</v>
      </c>
      <c r="D141" s="347"/>
      <c r="E141" s="347">
        <v>0</v>
      </c>
      <c r="F141" s="347"/>
      <c r="G141" s="103"/>
    </row>
    <row r="142" spans="1:7" s="485" customFormat="1" ht="52.5" hidden="1" thickTop="1" thickBot="1" x14ac:dyDescent="0.3">
      <c r="A142" s="566">
        <v>41051200</v>
      </c>
      <c r="B142" s="567" t="s">
        <v>1242</v>
      </c>
      <c r="C142" s="493">
        <f>SUM(D142,E142)</f>
        <v>0</v>
      </c>
      <c r="D142" s="568">
        <v>0</v>
      </c>
      <c r="E142" s="568"/>
      <c r="F142" s="568"/>
      <c r="G142" s="492"/>
    </row>
    <row r="143" spans="1:7" ht="65.25" hidden="1" thickTop="1" thickBot="1" x14ac:dyDescent="0.3">
      <c r="A143" s="345">
        <v>41051400</v>
      </c>
      <c r="B143" s="346" t="s">
        <v>1517</v>
      </c>
      <c r="C143" s="343">
        <f t="shared" si="4"/>
        <v>0</v>
      </c>
      <c r="D143" s="347">
        <v>0</v>
      </c>
      <c r="E143" s="347"/>
      <c r="F143" s="347"/>
      <c r="G143" s="103"/>
    </row>
    <row r="144" spans="1:7" ht="65.25" hidden="1" thickTop="1" thickBot="1" x14ac:dyDescent="0.3">
      <c r="A144" s="345">
        <v>41051700</v>
      </c>
      <c r="B144" s="346" t="s">
        <v>925</v>
      </c>
      <c r="C144" s="343">
        <f t="shared" si="4"/>
        <v>0</v>
      </c>
      <c r="D144" s="347">
        <v>0</v>
      </c>
      <c r="E144" s="347"/>
      <c r="F144" s="347"/>
      <c r="G144" s="103"/>
    </row>
    <row r="145" spans="1:10" ht="103.5" hidden="1" thickTop="1" thickBot="1" x14ac:dyDescent="0.3">
      <c r="A145" s="351">
        <v>41056600</v>
      </c>
      <c r="B145" s="352" t="s">
        <v>995</v>
      </c>
      <c r="C145" s="353">
        <f t="shared" si="4"/>
        <v>0</v>
      </c>
      <c r="D145" s="354">
        <f>10623233.82-10623233.82</f>
        <v>0</v>
      </c>
      <c r="E145" s="354"/>
      <c r="F145" s="354"/>
      <c r="G145" s="103"/>
    </row>
    <row r="146" spans="1:10" ht="65.25" hidden="1" thickTop="1" thickBot="1" x14ac:dyDescent="0.25">
      <c r="A146" s="351">
        <v>41055000</v>
      </c>
      <c r="B146" s="352" t="s">
        <v>1014</v>
      </c>
      <c r="C146" s="353">
        <f t="shared" si="4"/>
        <v>0</v>
      </c>
      <c r="D146" s="354">
        <v>0</v>
      </c>
      <c r="E146" s="354"/>
      <c r="F146" s="354"/>
      <c r="G146" s="104"/>
    </row>
    <row r="147" spans="1:10" ht="27" hidden="1" thickTop="1" thickBot="1" x14ac:dyDescent="0.25">
      <c r="A147" s="351">
        <v>41053600</v>
      </c>
      <c r="B147" s="352" t="s">
        <v>927</v>
      </c>
      <c r="C147" s="353">
        <f t="shared" si="4"/>
        <v>0</v>
      </c>
      <c r="D147" s="354"/>
      <c r="E147" s="354">
        <v>0</v>
      </c>
      <c r="F147" s="354"/>
      <c r="G147" s="104"/>
    </row>
    <row r="148" spans="1:10" ht="218.25" hidden="1" thickTop="1" thickBot="1" x14ac:dyDescent="0.25">
      <c r="A148" s="351">
        <v>41054200</v>
      </c>
      <c r="B148" s="352" t="s">
        <v>1015</v>
      </c>
      <c r="C148" s="353">
        <f t="shared" si="4"/>
        <v>0</v>
      </c>
      <c r="D148" s="354">
        <v>0</v>
      </c>
      <c r="E148" s="354"/>
      <c r="F148" s="354"/>
      <c r="G148" s="104"/>
    </row>
    <row r="149" spans="1:10" s="485" customFormat="1" ht="27" thickTop="1" thickBot="1" x14ac:dyDescent="0.25">
      <c r="A149" s="566">
        <v>41053900</v>
      </c>
      <c r="B149" s="567" t="s">
        <v>883</v>
      </c>
      <c r="C149" s="493">
        <f t="shared" si="4"/>
        <v>1171046</v>
      </c>
      <c r="D149" s="493">
        <f>SUM(D150:D155)</f>
        <v>1171046</v>
      </c>
      <c r="E149" s="493">
        <f>SUM(E150:E155)</f>
        <v>0</v>
      </c>
      <c r="F149" s="493">
        <f>SUM(F150:F155)</f>
        <v>0</v>
      </c>
      <c r="G149" s="510"/>
    </row>
    <row r="150" spans="1:10" ht="15.75" hidden="1" thickTop="1" thickBot="1" x14ac:dyDescent="0.25">
      <c r="A150" s="345"/>
      <c r="B150" s="565" t="s">
        <v>928</v>
      </c>
      <c r="C150" s="344">
        <f>SUM(D150,E150)</f>
        <v>0</v>
      </c>
      <c r="D150" s="350"/>
      <c r="E150" s="350">
        <v>0</v>
      </c>
      <c r="F150" s="350">
        <v>0</v>
      </c>
      <c r="G150" s="104"/>
    </row>
    <row r="151" spans="1:10" ht="39.75" thickTop="1" thickBot="1" x14ac:dyDescent="0.25">
      <c r="A151" s="566"/>
      <c r="B151" s="508" t="s">
        <v>884</v>
      </c>
      <c r="C151" s="496">
        <f t="shared" si="4"/>
        <v>381295</v>
      </c>
      <c r="D151" s="509">
        <v>381295</v>
      </c>
      <c r="E151" s="509"/>
      <c r="F151" s="509"/>
      <c r="G151" s="104"/>
    </row>
    <row r="152" spans="1:10" ht="52.5" thickTop="1" thickBot="1" x14ac:dyDescent="0.25">
      <c r="A152" s="566"/>
      <c r="B152" s="508" t="s">
        <v>885</v>
      </c>
      <c r="C152" s="496">
        <f t="shared" si="4"/>
        <v>160170</v>
      </c>
      <c r="D152" s="509">
        <v>160170</v>
      </c>
      <c r="E152" s="509"/>
      <c r="F152" s="509"/>
      <c r="G152" s="104"/>
    </row>
    <row r="153" spans="1:10" ht="51.75" customHeight="1" thickTop="1" thickBot="1" x14ac:dyDescent="0.25">
      <c r="A153" s="566"/>
      <c r="B153" s="508" t="s">
        <v>886</v>
      </c>
      <c r="C153" s="496">
        <f t="shared" si="4"/>
        <v>629581</v>
      </c>
      <c r="D153" s="509">
        <v>629581</v>
      </c>
      <c r="E153" s="509"/>
      <c r="F153" s="509"/>
      <c r="G153" s="104"/>
    </row>
    <row r="154" spans="1:10" ht="39.75" hidden="1" thickTop="1" thickBot="1" x14ac:dyDescent="0.25">
      <c r="A154" s="351"/>
      <c r="B154" s="355" t="s">
        <v>1050</v>
      </c>
      <c r="C154" s="108">
        <f t="shared" si="4"/>
        <v>0</v>
      </c>
      <c r="D154" s="109">
        <v>0</v>
      </c>
      <c r="E154" s="109"/>
      <c r="F154" s="109"/>
      <c r="G154" s="104"/>
    </row>
    <row r="155" spans="1:10" ht="27" hidden="1" thickTop="1" thickBot="1" x14ac:dyDescent="0.25">
      <c r="A155" s="351"/>
      <c r="B155" s="355" t="s">
        <v>1051</v>
      </c>
      <c r="C155" s="108">
        <f t="shared" si="4"/>
        <v>0</v>
      </c>
      <c r="D155" s="109"/>
      <c r="E155" s="109">
        <v>0</v>
      </c>
      <c r="F155" s="109">
        <v>0</v>
      </c>
      <c r="G155" s="104"/>
    </row>
    <row r="156" spans="1:10" ht="65.25" thickTop="1" thickBot="1" x14ac:dyDescent="0.25">
      <c r="A156" s="566">
        <v>41057700</v>
      </c>
      <c r="B156" s="567" t="s">
        <v>1316</v>
      </c>
      <c r="C156" s="493">
        <f>SUM(D156,E156)</f>
        <v>158112</v>
      </c>
      <c r="D156" s="568">
        <v>158112</v>
      </c>
      <c r="E156" s="568"/>
      <c r="F156" s="568"/>
      <c r="G156" s="104"/>
    </row>
    <row r="157" spans="1:10" ht="52.5" hidden="1" thickTop="1" thickBot="1" x14ac:dyDescent="0.25">
      <c r="A157" s="345">
        <v>41059000</v>
      </c>
      <c r="B157" s="346" t="s">
        <v>1339</v>
      </c>
      <c r="C157" s="343">
        <f>SUM(D157,E157)</f>
        <v>0</v>
      </c>
      <c r="D157" s="347">
        <v>0</v>
      </c>
      <c r="E157" s="347"/>
      <c r="F157" s="347"/>
      <c r="G157" s="104"/>
    </row>
    <row r="158" spans="1:10" ht="103.5" thickTop="1" thickBot="1" x14ac:dyDescent="0.25">
      <c r="A158" s="566">
        <v>41059300</v>
      </c>
      <c r="B158" s="567" t="s">
        <v>1647</v>
      </c>
      <c r="C158" s="493">
        <f>SUM(D158,E158)</f>
        <v>2211460</v>
      </c>
      <c r="D158" s="568">
        <v>2211460</v>
      </c>
      <c r="E158" s="347"/>
      <c r="F158" s="347"/>
      <c r="G158" s="104"/>
    </row>
    <row r="159" spans="1:10" ht="78" hidden="1" thickTop="1" thickBot="1" x14ac:dyDescent="0.25">
      <c r="A159" s="566">
        <v>41059700</v>
      </c>
      <c r="B159" s="567" t="s">
        <v>1627</v>
      </c>
      <c r="C159" s="493">
        <f>SUM(D159,E159)</f>
        <v>0</v>
      </c>
      <c r="D159" s="568"/>
      <c r="E159" s="568"/>
      <c r="F159" s="568"/>
      <c r="G159" s="104"/>
    </row>
    <row r="160" spans="1:10" ht="33.75" customHeight="1" thickTop="1" thickBot="1" x14ac:dyDescent="0.3">
      <c r="A160" s="571"/>
      <c r="B160" s="572" t="s">
        <v>1006</v>
      </c>
      <c r="C160" s="573">
        <f>SUM(D160,E160)</f>
        <v>4786481376.7200003</v>
      </c>
      <c r="D160" s="573">
        <f>SUM(D113,D114)</f>
        <v>4486751387.7200003</v>
      </c>
      <c r="E160" s="573">
        <f>SUM(E113,E114)</f>
        <v>299729989</v>
      </c>
      <c r="F160" s="573">
        <f>SUM(F113,F114)</f>
        <v>20188849</v>
      </c>
      <c r="G160" s="519" t="b">
        <f>C160=C153+C152+C151+C142+C140+C118+C112+C109+C108+C105+C104+C100+C99+C98+C97+C94+C93+C92+C91+C89+C88+C87+C85+C81+C80+C79+C76+C75+C74+C73+C72+C69+C65+C64+C63+C60+C59+C58+C56+C55+C53+C51+C50+C49+C48+C47+C46+C45+C44+C43+C42+C39+C38+C36+C34+C31+C29+C28+C25+C23+C22+C21+C20+C18+C125+C159+C131+C127+C158+C130+C156+C119+C135+C134</f>
        <v>1</v>
      </c>
      <c r="H160" s="519" t="b">
        <f>D160=D153+D152+D151+D142+D140+D118+D112+D109+D108+D105+D104+D100+D99+D98+D97+D94+D93+D92+D91+D89+D88+D87+D85+D81+D80+D79+D76+D75+D74+D73+D72+D69+D65+D64+D63+D60+D59+D58+D56+D55+D53+D51+D50+D49+D48+D47+D46+D45+D44+D43+D42+D39+D38+D36+D34+D31+D29+D28+D25+D23+D22+D21+D20+D18+D125+D159+D131+D127+D158+D130+D156+D119+D135+D134</f>
        <v>1</v>
      </c>
      <c r="I160" s="519" t="b">
        <f>E160=E153+E152+E151+E142+E140+E118+E112+E109+E108+E105+E104+E100+E99+E98+E97+E94+E93+E92+E91+E89+E88+E87+E85+E81+E80+E79+E76+E75+E74+E73+E72+E69+E65+E64+E63+E60+E59+E58+E56+E55+E53+E51+E50+E49+E48+E47+E46+E45+E44+E43+E42+E39+E38+E36+E34+E31+E29+E28+E25+E23+E22+E21+E20+E18+E125+E159+E131+E127+E158+E130+E156+E119+E135+E134</f>
        <v>1</v>
      </c>
      <c r="J160" s="519" t="b">
        <f>F160=F153+F152+F151+F142+F140+F118+F112+F109+F108+F105+F104+F100+F99+F98+F97+F94+F93+F92+F91+F89+F88+F87+F85+F81+F80+F79+F76+F75+F74+F73+F72+F69+F65+F64+F63+F60+F59+F58+F56+F55+F53+F51+F50+F49+F48+F47+F46+F45+F44+F43+F42+F39+F38+F36+F34+F31+F29+F28+F25+F23+F22+F21+F20+F18+F125+F159+F131+F127+F158+F130+F156+F119+F135+F134</f>
        <v>1</v>
      </c>
    </row>
    <row r="161" spans="1:7" ht="21" customHeight="1" thickTop="1" x14ac:dyDescent="0.25">
      <c r="B161" s="110"/>
      <c r="G161" s="519" t="b">
        <f>(((3737956029+15000000+522248400-[1]d2!C38-[1]d2!C22)+65484004)+2211460+135179398.52)+298753591.53+7848526.67+1799967=C160</f>
        <v>1</v>
      </c>
    </row>
    <row r="162" spans="1:7" ht="15.75" hidden="1" x14ac:dyDescent="0.2">
      <c r="B162" s="338" t="s">
        <v>1649</v>
      </c>
      <c r="C162"/>
      <c r="D162"/>
      <c r="E162" s="339" t="s">
        <v>1650</v>
      </c>
      <c r="F162" s="112"/>
      <c r="G162" s="111"/>
    </row>
    <row r="163" spans="1:7" ht="15.75" x14ac:dyDescent="0.2">
      <c r="B163" s="338" t="s">
        <v>1376</v>
      </c>
      <c r="C163"/>
      <c r="D163"/>
      <c r="E163" s="339" t="s">
        <v>1377</v>
      </c>
      <c r="F163" s="112"/>
      <c r="G163" s="111"/>
    </row>
    <row r="164" spans="1:7" ht="9" customHeight="1" x14ac:dyDescent="0.25">
      <c r="B164" s="1"/>
      <c r="C164" s="485"/>
      <c r="D164" s="485"/>
      <c r="E164" s="1"/>
    </row>
    <row r="165" spans="1:7" ht="15.75" x14ac:dyDescent="0.25">
      <c r="A165" s="113"/>
      <c r="B165" s="430" t="s">
        <v>516</v>
      </c>
      <c r="C165" s="1"/>
      <c r="D165" s="1"/>
      <c r="E165" s="1" t="s">
        <v>1290</v>
      </c>
      <c r="F165" s="113"/>
    </row>
    <row r="168" spans="1:7" x14ac:dyDescent="0.2">
      <c r="C168" s="111"/>
      <c r="D168" s="111"/>
      <c r="E168" s="111"/>
      <c r="F168" s="111"/>
    </row>
  </sheetData>
  <mergeCells count="13">
    <mergeCell ref="A6:F6"/>
    <mergeCell ref="D1:G1"/>
    <mergeCell ref="D2:G2"/>
    <mergeCell ref="D3:G3"/>
    <mergeCell ref="A4:E4"/>
    <mergeCell ref="A5:F5"/>
    <mergeCell ref="A8:F8"/>
    <mergeCell ref="A9:F9"/>
    <mergeCell ref="A12:A13"/>
    <mergeCell ref="B12:B13"/>
    <mergeCell ref="C12:C13"/>
    <mergeCell ref="D12:D13"/>
    <mergeCell ref="E12:F12"/>
  </mergeCells>
  <hyperlinks>
    <hyperlink ref="B102" location="_ftn1" display="_ftn1" xr:uid="{00000000-0004-0000-0900-000000000000}"/>
    <hyperlink ref="B101" location="_ftn1" display="_ftn1" xr:uid="{00000000-0004-0000-0900-000001000000}"/>
    <hyperlink ref="B88" location="_ftn1" display="_ftn1" xr:uid="{00000000-0004-0000-0900-000002000000}"/>
    <hyperlink ref="B20" location="_ftn1" display="_ftn1" xr:uid="{00000000-0004-0000-0900-000003000000}"/>
    <hyperlink ref="B19" location="_ftn1" display="_ftn1" xr:uid="{00000000-0004-0000-0900-000004000000}"/>
    <hyperlink ref="B64" location="_ftn1" display="_ftn1" xr:uid="{00000000-0004-0000-0900-000005000000}"/>
    <hyperlink ref="B106" location="_ftn1" display="_ftn1" xr:uid="{00000000-0004-0000-0900-000006000000}"/>
    <hyperlink ref="B107" location="_ftn1" display="_ftn1" xr:uid="{00000000-0004-0000-0900-000007000000}"/>
    <hyperlink ref="B72" location="_ftn1" display="_ftn1" xr:uid="{00000000-0004-0000-0900-000008000000}"/>
  </hyperlinks>
  <printOptions horizontalCentered="1"/>
  <pageMargins left="0.35433070866141736" right="0.15748031496062992" top="0.59055118110236227" bottom="0.51181102362204722" header="0.51181102362204722" footer="0.51181102362204722"/>
  <pageSetup paperSize="9" scale="86" fitToHeight="0" orientation="portrait" verticalDpi="4294967295" r:id="rId1"/>
  <headerFooter alignWithMargins="0"/>
  <rowBreaks count="1" manualBreakCount="1">
    <brk id="84"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J168"/>
  <sheetViews>
    <sheetView view="pageBreakPreview" topLeftCell="A149" zoomScaleNormal="100" zoomScaleSheetLayoutView="100" workbookViewId="0">
      <selection activeCell="C152" sqref="C152:F158"/>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5"/>
      <c r="B1" s="485"/>
      <c r="C1" s="485"/>
      <c r="D1" s="730" t="s">
        <v>56</v>
      </c>
      <c r="E1" s="731"/>
      <c r="F1" s="731"/>
      <c r="G1" s="731"/>
    </row>
    <row r="2" spans="1:7" ht="30" customHeight="1" x14ac:dyDescent="0.2">
      <c r="A2" s="485"/>
      <c r="B2" s="485"/>
      <c r="C2" s="486"/>
      <c r="D2" s="732" t="s">
        <v>1604</v>
      </c>
      <c r="E2" s="733"/>
      <c r="F2" s="733"/>
      <c r="G2" s="733"/>
    </row>
    <row r="3" spans="1:7" ht="6" hidden="1" customHeight="1" x14ac:dyDescent="0.2">
      <c r="A3" s="485"/>
      <c r="B3" s="485"/>
      <c r="C3" s="486"/>
      <c r="D3" s="730"/>
      <c r="E3" s="733"/>
      <c r="F3" s="733"/>
      <c r="G3" s="733"/>
    </row>
    <row r="4" spans="1:7" ht="12.75" customHeight="1" x14ac:dyDescent="0.2">
      <c r="A4" s="734"/>
      <c r="B4" s="734"/>
      <c r="C4" s="734"/>
      <c r="D4" s="734"/>
      <c r="E4" s="734"/>
      <c r="F4" s="485"/>
      <c r="G4" s="485"/>
    </row>
    <row r="5" spans="1:7" ht="20.25" x14ac:dyDescent="0.2">
      <c r="A5" s="734" t="s">
        <v>1745</v>
      </c>
      <c r="B5" s="735"/>
      <c r="C5" s="735"/>
      <c r="D5" s="735"/>
      <c r="E5" s="735"/>
      <c r="F5" s="735"/>
      <c r="G5" s="485"/>
    </row>
    <row r="6" spans="1:7" ht="20.25" x14ac:dyDescent="0.2">
      <c r="A6" s="734" t="s">
        <v>1549</v>
      </c>
      <c r="B6" s="735"/>
      <c r="C6" s="735"/>
      <c r="D6" s="735"/>
      <c r="E6" s="735"/>
      <c r="F6" s="735"/>
      <c r="G6" s="485"/>
    </row>
    <row r="7" spans="1:7" ht="20.25" x14ac:dyDescent="0.2">
      <c r="A7" s="487"/>
      <c r="B7" s="295"/>
      <c r="C7" s="295"/>
      <c r="D7" s="295"/>
      <c r="E7" s="295"/>
      <c r="F7" s="295"/>
      <c r="G7" s="485"/>
    </row>
    <row r="8" spans="1:7" ht="20.25" x14ac:dyDescent="0.2">
      <c r="A8" s="736">
        <v>2256400000</v>
      </c>
      <c r="B8" s="737"/>
      <c r="C8" s="737"/>
      <c r="D8" s="737"/>
      <c r="E8" s="737"/>
      <c r="F8" s="737"/>
      <c r="G8" s="485"/>
    </row>
    <row r="9" spans="1:7" ht="15.75" x14ac:dyDescent="0.2">
      <c r="A9" s="738" t="s">
        <v>485</v>
      </c>
      <c r="B9" s="739"/>
      <c r="C9" s="739"/>
      <c r="D9" s="739"/>
      <c r="E9" s="739"/>
      <c r="F9" s="739"/>
      <c r="G9" s="485"/>
    </row>
    <row r="10" spans="1:7" ht="20.25" x14ac:dyDescent="0.2">
      <c r="A10" s="487"/>
      <c r="B10" s="434"/>
      <c r="C10" s="434"/>
      <c r="D10" s="434"/>
      <c r="E10" s="434"/>
      <c r="F10" s="434"/>
      <c r="G10" s="485"/>
    </row>
    <row r="11" spans="1:7" ht="13.5" thickBot="1" x14ac:dyDescent="0.25">
      <c r="A11" s="485"/>
      <c r="B11" s="488"/>
      <c r="C11" s="488"/>
      <c r="D11" s="488"/>
      <c r="E11" s="488"/>
      <c r="F11" s="489" t="s">
        <v>400</v>
      </c>
      <c r="G11" s="485"/>
    </row>
    <row r="12" spans="1:7" ht="14.25" thickTop="1" thickBot="1" x14ac:dyDescent="0.25">
      <c r="A12" s="740" t="s">
        <v>57</v>
      </c>
      <c r="B12" s="740" t="s">
        <v>1436</v>
      </c>
      <c r="C12" s="740" t="s">
        <v>379</v>
      </c>
      <c r="D12" s="740" t="s">
        <v>12</v>
      </c>
      <c r="E12" s="740" t="s">
        <v>52</v>
      </c>
      <c r="F12" s="740"/>
      <c r="G12" s="490"/>
    </row>
    <row r="13" spans="1:7" ht="39.75" thickTop="1" thickBot="1" x14ac:dyDescent="0.3">
      <c r="A13" s="740"/>
      <c r="B13" s="740"/>
      <c r="C13" s="740"/>
      <c r="D13" s="740"/>
      <c r="E13" s="491" t="s">
        <v>380</v>
      </c>
      <c r="F13" s="491" t="s">
        <v>421</v>
      </c>
      <c r="G13" s="492"/>
    </row>
    <row r="14" spans="1:7" ht="16.5" thickTop="1" thickBot="1" x14ac:dyDescent="0.3">
      <c r="A14" s="491">
        <v>1</v>
      </c>
      <c r="B14" s="491">
        <v>2</v>
      </c>
      <c r="C14" s="491">
        <v>3</v>
      </c>
      <c r="D14" s="491">
        <v>4</v>
      </c>
      <c r="E14" s="491">
        <v>5</v>
      </c>
      <c r="F14" s="491">
        <v>6</v>
      </c>
      <c r="G14" s="492"/>
    </row>
    <row r="15" spans="1:7" ht="25.5" customHeight="1" thickTop="1" thickBot="1" x14ac:dyDescent="0.25">
      <c r="A15" s="569">
        <v>10000000</v>
      </c>
      <c r="B15" s="569" t="s">
        <v>58</v>
      </c>
      <c r="C15" s="570">
        <f t="shared" ref="C15:C66" si="0">SUM(D15,E15)</f>
        <v>249795000</v>
      </c>
      <c r="D15" s="570">
        <f>SUM(D16,D32,D40,D61,D26)</f>
        <v>249795000</v>
      </c>
      <c r="E15" s="570">
        <f>SUM(E16,E32,E40,E61,E26)</f>
        <v>0</v>
      </c>
      <c r="F15" s="570">
        <f>SUM(F16,F32,F40,F61,F26)</f>
        <v>0</v>
      </c>
      <c r="G15" s="104"/>
    </row>
    <row r="16" spans="1:7" ht="31.7" customHeight="1" thickTop="1" thickBot="1" x14ac:dyDescent="0.25">
      <c r="A16" s="491">
        <v>11000000</v>
      </c>
      <c r="B16" s="491" t="s">
        <v>59</v>
      </c>
      <c r="C16" s="493">
        <f>'d1'!C16-d1П!C16</f>
        <v>93800000</v>
      </c>
      <c r="D16" s="493">
        <f>'d1'!D16-d1П!D16</f>
        <v>93800000</v>
      </c>
      <c r="E16" s="493">
        <f>'d1'!E16-d1П!E16</f>
        <v>0</v>
      </c>
      <c r="F16" s="493">
        <f>'d1'!F16-d1П!F16</f>
        <v>0</v>
      </c>
      <c r="G16" s="105"/>
    </row>
    <row r="17" spans="1:7" ht="24.75" customHeight="1" thickTop="1" thickBot="1" x14ac:dyDescent="0.25">
      <c r="A17" s="494">
        <v>11010000</v>
      </c>
      <c r="B17" s="495" t="s">
        <v>60</v>
      </c>
      <c r="C17" s="493">
        <f>'d1'!C17-d1П!C17</f>
        <v>93800000</v>
      </c>
      <c r="D17" s="493">
        <f>'d1'!D17-d1П!D17</f>
        <v>93800000</v>
      </c>
      <c r="E17" s="493">
        <f>'d1'!E17-d1П!E17</f>
        <v>0</v>
      </c>
      <c r="F17" s="493">
        <f>'d1'!F17-d1П!F17</f>
        <v>0</v>
      </c>
      <c r="G17" s="105"/>
    </row>
    <row r="18" spans="1:7" ht="39.75" thickTop="1" thickBot="1" x14ac:dyDescent="0.25">
      <c r="A18" s="566">
        <v>11010100</v>
      </c>
      <c r="B18" s="567" t="s">
        <v>61</v>
      </c>
      <c r="C18" s="493">
        <f>'d1'!C18-d1П!C18</f>
        <v>69800000</v>
      </c>
      <c r="D18" s="493">
        <f>'d1'!D18-d1П!D18</f>
        <v>69800000</v>
      </c>
      <c r="E18" s="493">
        <f>'d1'!E18-d1П!E18</f>
        <v>0</v>
      </c>
      <c r="F18" s="493">
        <f>'d1'!F18-d1П!F18</f>
        <v>0</v>
      </c>
      <c r="G18" s="105"/>
    </row>
    <row r="19" spans="1:7" ht="65.25" hidden="1" thickTop="1" thickBot="1" x14ac:dyDescent="0.25">
      <c r="A19" s="345">
        <v>11010200</v>
      </c>
      <c r="B19" s="346" t="s">
        <v>62</v>
      </c>
      <c r="C19" s="493">
        <f>'d1'!C19-d1П!C19</f>
        <v>0</v>
      </c>
      <c r="D19" s="493">
        <f>'d1'!D19-d1П!D19</f>
        <v>0</v>
      </c>
      <c r="E19" s="493">
        <f>'d1'!E19-d1П!E19</f>
        <v>0</v>
      </c>
      <c r="F19" s="493">
        <f>'d1'!F19-d1П!F19</f>
        <v>0</v>
      </c>
      <c r="G19" s="105"/>
    </row>
    <row r="20" spans="1:7" ht="39.75" thickTop="1" thickBot="1" x14ac:dyDescent="0.25">
      <c r="A20" s="566">
        <v>11010400</v>
      </c>
      <c r="B20" s="567" t="s">
        <v>63</v>
      </c>
      <c r="C20" s="493">
        <f>'d1'!C20-d1П!C20</f>
        <v>5500000</v>
      </c>
      <c r="D20" s="493">
        <f>'d1'!D20-d1П!D20</f>
        <v>5500000</v>
      </c>
      <c r="E20" s="493">
        <f>'d1'!E20-d1П!E20</f>
        <v>0</v>
      </c>
      <c r="F20" s="493">
        <f>'d1'!F20-d1П!F20</f>
        <v>0</v>
      </c>
      <c r="G20" s="105"/>
    </row>
    <row r="21" spans="1:7" ht="39.75" thickTop="1" thickBot="1" x14ac:dyDescent="0.3">
      <c r="A21" s="566">
        <v>11010500</v>
      </c>
      <c r="B21" s="567" t="s">
        <v>64</v>
      </c>
      <c r="C21" s="493">
        <f>'d1'!C21-d1П!C21</f>
        <v>18500000</v>
      </c>
      <c r="D21" s="493">
        <f>'d1'!D21-d1П!D21</f>
        <v>18500000</v>
      </c>
      <c r="E21" s="493">
        <f>'d1'!E21-d1П!E21</f>
        <v>0</v>
      </c>
      <c r="F21" s="493">
        <f>'d1'!F21-d1П!F21</f>
        <v>0</v>
      </c>
      <c r="G21" s="103"/>
    </row>
    <row r="22" spans="1:7" ht="27" thickTop="1" thickBot="1" x14ac:dyDescent="0.3">
      <c r="A22" s="566">
        <v>11011200</v>
      </c>
      <c r="B22" s="567" t="s">
        <v>1437</v>
      </c>
      <c r="C22" s="493">
        <f>'d1'!C22-d1П!C22</f>
        <v>0</v>
      </c>
      <c r="D22" s="493">
        <f>'d1'!D22-d1П!D22</f>
        <v>0</v>
      </c>
      <c r="E22" s="493">
        <f>'d1'!E22-d1П!E22</f>
        <v>0</v>
      </c>
      <c r="F22" s="493">
        <f>'d1'!F22-d1П!F22</f>
        <v>0</v>
      </c>
      <c r="G22" s="103"/>
    </row>
    <row r="23" spans="1:7" ht="39.75" thickTop="1" thickBot="1" x14ac:dyDescent="0.3">
      <c r="A23" s="566">
        <v>11011300</v>
      </c>
      <c r="B23" s="567" t="s">
        <v>1438</v>
      </c>
      <c r="C23" s="493">
        <f>'d1'!C23-d1П!C23</f>
        <v>0</v>
      </c>
      <c r="D23" s="493">
        <f>'d1'!D23-d1П!D23</f>
        <v>0</v>
      </c>
      <c r="E23" s="493">
        <f>'d1'!E23-d1П!E23</f>
        <v>0</v>
      </c>
      <c r="F23" s="493">
        <f>'d1'!F23-d1П!F23</f>
        <v>0</v>
      </c>
      <c r="G23" s="103"/>
    </row>
    <row r="24" spans="1:7" ht="28.5" customHeight="1" thickTop="1" thickBot="1" x14ac:dyDescent="0.25">
      <c r="A24" s="494">
        <v>11020000</v>
      </c>
      <c r="B24" s="495" t="s">
        <v>65</v>
      </c>
      <c r="C24" s="493">
        <f>'d1'!C24-d1П!C24</f>
        <v>0</v>
      </c>
      <c r="D24" s="493">
        <f>'d1'!D24-d1П!D24</f>
        <v>0</v>
      </c>
      <c r="E24" s="493">
        <f>'d1'!E24-d1П!E24</f>
        <v>0</v>
      </c>
      <c r="F24" s="493">
        <f>'d1'!F24-d1П!F24</f>
        <v>0</v>
      </c>
      <c r="G24" s="104"/>
    </row>
    <row r="25" spans="1:7" ht="27" thickTop="1" thickBot="1" x14ac:dyDescent="0.3">
      <c r="A25" s="566">
        <v>11020200</v>
      </c>
      <c r="B25" s="497" t="s">
        <v>66</v>
      </c>
      <c r="C25" s="493">
        <f>'d1'!C25-d1П!C25</f>
        <v>0</v>
      </c>
      <c r="D25" s="493">
        <f>'d1'!D25-d1П!D25</f>
        <v>0</v>
      </c>
      <c r="E25" s="493">
        <f>'d1'!E25-d1П!E25</f>
        <v>0</v>
      </c>
      <c r="F25" s="493">
        <f>'d1'!F25-d1П!F25</f>
        <v>0</v>
      </c>
      <c r="G25" s="103"/>
    </row>
    <row r="26" spans="1:7" ht="27" thickTop="1" thickBot="1" x14ac:dyDescent="0.3">
      <c r="A26" s="491">
        <v>13000000</v>
      </c>
      <c r="B26" s="498" t="s">
        <v>519</v>
      </c>
      <c r="C26" s="493">
        <f>'d1'!C26-d1П!C26</f>
        <v>0</v>
      </c>
      <c r="D26" s="493">
        <f>'d1'!D26-d1П!D26</f>
        <v>0</v>
      </c>
      <c r="E26" s="493">
        <f>'d1'!E26-d1П!E26</f>
        <v>0</v>
      </c>
      <c r="F26" s="493">
        <f>'d1'!F26-d1П!F26</f>
        <v>0</v>
      </c>
      <c r="G26" s="103"/>
    </row>
    <row r="27" spans="1:7" ht="28.5" thickTop="1" thickBot="1" x14ac:dyDescent="0.3">
      <c r="A27" s="494">
        <v>13010000</v>
      </c>
      <c r="B27" s="499" t="s">
        <v>520</v>
      </c>
      <c r="C27" s="493">
        <f>'d1'!C27-d1П!C27</f>
        <v>0</v>
      </c>
      <c r="D27" s="493">
        <f>'d1'!D27-d1П!D27</f>
        <v>0</v>
      </c>
      <c r="E27" s="493">
        <f>'d1'!E27-d1П!E27</f>
        <v>0</v>
      </c>
      <c r="F27" s="493">
        <f>'d1'!F27-d1П!F27</f>
        <v>0</v>
      </c>
      <c r="G27" s="103"/>
    </row>
    <row r="28" spans="1:7" ht="52.5" thickTop="1" thickBot="1" x14ac:dyDescent="0.3">
      <c r="A28" s="566">
        <v>13010100</v>
      </c>
      <c r="B28" s="500" t="s">
        <v>1439</v>
      </c>
      <c r="C28" s="493">
        <f>'d1'!C28-d1П!C28</f>
        <v>0</v>
      </c>
      <c r="D28" s="493">
        <f>'d1'!D28-d1П!D28</f>
        <v>0</v>
      </c>
      <c r="E28" s="493">
        <f>'d1'!E28-d1П!E28</f>
        <v>0</v>
      </c>
      <c r="F28" s="493">
        <f>'d1'!F28-d1П!F28</f>
        <v>0</v>
      </c>
      <c r="G28" s="103"/>
    </row>
    <row r="29" spans="1:7" ht="65.25" thickTop="1" thickBot="1" x14ac:dyDescent="0.3">
      <c r="A29" s="566">
        <v>13010200</v>
      </c>
      <c r="B29" s="500" t="s">
        <v>521</v>
      </c>
      <c r="C29" s="493">
        <f>'d1'!C29-d1П!C29</f>
        <v>0</v>
      </c>
      <c r="D29" s="493">
        <f>'d1'!D29-d1П!D29</f>
        <v>0</v>
      </c>
      <c r="E29" s="493">
        <f>'d1'!E29-d1П!E29</f>
        <v>0</v>
      </c>
      <c r="F29" s="493">
        <f>'d1'!F29-d1П!F29</f>
        <v>0</v>
      </c>
      <c r="G29" s="103"/>
    </row>
    <row r="30" spans="1:7" ht="16.5" thickTop="1" thickBot="1" x14ac:dyDescent="0.3">
      <c r="A30" s="494">
        <v>13030000</v>
      </c>
      <c r="B30" s="501" t="s">
        <v>522</v>
      </c>
      <c r="C30" s="493">
        <f>'d1'!C30-d1П!C30</f>
        <v>0</v>
      </c>
      <c r="D30" s="493">
        <f>'d1'!D30-d1П!D30</f>
        <v>0</v>
      </c>
      <c r="E30" s="493">
        <f>'d1'!E30-d1П!E30</f>
        <v>0</v>
      </c>
      <c r="F30" s="493">
        <f>'d1'!F30-d1П!F30</f>
        <v>0</v>
      </c>
      <c r="G30" s="103"/>
    </row>
    <row r="31" spans="1:7" ht="39.75" thickTop="1" thickBot="1" x14ac:dyDescent="0.3">
      <c r="A31" s="566">
        <v>13030100</v>
      </c>
      <c r="B31" s="500" t="s">
        <v>523</v>
      </c>
      <c r="C31" s="493">
        <f>'d1'!C31-d1П!C31</f>
        <v>0</v>
      </c>
      <c r="D31" s="493">
        <f>'d1'!D31-d1П!D31</f>
        <v>0</v>
      </c>
      <c r="E31" s="493">
        <f>'d1'!E31-d1П!E31</f>
        <v>0</v>
      </c>
      <c r="F31" s="493">
        <f>'d1'!F31-d1П!F31</f>
        <v>0</v>
      </c>
      <c r="G31" s="103"/>
    </row>
    <row r="32" spans="1:7" ht="26.45" customHeight="1" thickTop="1" thickBot="1" x14ac:dyDescent="0.3">
      <c r="A32" s="491">
        <v>14000000</v>
      </c>
      <c r="B32" s="498" t="s">
        <v>524</v>
      </c>
      <c r="C32" s="493">
        <f>'d1'!C32-d1П!C32</f>
        <v>79150000</v>
      </c>
      <c r="D32" s="493">
        <f>'d1'!D32-d1П!D32</f>
        <v>79150000</v>
      </c>
      <c r="E32" s="493">
        <f>'d1'!E32-d1П!E32</f>
        <v>0</v>
      </c>
      <c r="F32" s="493">
        <f>'d1'!F32-d1П!F32</f>
        <v>0</v>
      </c>
      <c r="G32" s="103"/>
    </row>
    <row r="33" spans="1:7" ht="30" customHeight="1" thickTop="1" thickBot="1" x14ac:dyDescent="0.3">
      <c r="A33" s="494">
        <v>14020000</v>
      </c>
      <c r="B33" s="499" t="s">
        <v>613</v>
      </c>
      <c r="C33" s="493">
        <f>'d1'!C33-d1П!C33</f>
        <v>0</v>
      </c>
      <c r="D33" s="493">
        <f>'d1'!D33-d1П!D33</f>
        <v>0</v>
      </c>
      <c r="E33" s="493">
        <f>'d1'!E33-d1П!E33</f>
        <v>0</v>
      </c>
      <c r="F33" s="493">
        <f>'d1'!F33-d1П!F33</f>
        <v>0</v>
      </c>
      <c r="G33" s="103"/>
    </row>
    <row r="34" spans="1:7" ht="16.5" thickTop="1" thickBot="1" x14ac:dyDescent="0.3">
      <c r="A34" s="566">
        <v>14021900</v>
      </c>
      <c r="B34" s="497" t="s">
        <v>612</v>
      </c>
      <c r="C34" s="493">
        <f>'d1'!C34-d1П!C34</f>
        <v>0</v>
      </c>
      <c r="D34" s="493">
        <f>'d1'!D34-d1П!D34</f>
        <v>0</v>
      </c>
      <c r="E34" s="493">
        <f>'d1'!E34-d1П!E34</f>
        <v>0</v>
      </c>
      <c r="F34" s="493">
        <f>'d1'!F34-d1П!F34</f>
        <v>0</v>
      </c>
      <c r="G34" s="103"/>
    </row>
    <row r="35" spans="1:7" ht="42" thickTop="1" thickBot="1" x14ac:dyDescent="0.3">
      <c r="A35" s="494">
        <v>14030000</v>
      </c>
      <c r="B35" s="499" t="s">
        <v>614</v>
      </c>
      <c r="C35" s="493">
        <f>'d1'!C35-d1П!C35</f>
        <v>41000000</v>
      </c>
      <c r="D35" s="493">
        <f>'d1'!D35-d1П!D35</f>
        <v>41000000</v>
      </c>
      <c r="E35" s="493">
        <f>'d1'!E35-d1П!E35</f>
        <v>0</v>
      </c>
      <c r="F35" s="493">
        <f>'d1'!F35-d1П!F35</f>
        <v>0</v>
      </c>
      <c r="G35" s="103"/>
    </row>
    <row r="36" spans="1:7" ht="16.5" thickTop="1" thickBot="1" x14ac:dyDescent="0.3">
      <c r="A36" s="566">
        <v>14031900</v>
      </c>
      <c r="B36" s="497" t="s">
        <v>612</v>
      </c>
      <c r="C36" s="493">
        <f>'d1'!C36-d1П!C36</f>
        <v>41000000</v>
      </c>
      <c r="D36" s="493">
        <f>'d1'!D36-d1П!D36</f>
        <v>41000000</v>
      </c>
      <c r="E36" s="493">
        <f>'d1'!E36-d1П!E36</f>
        <v>0</v>
      </c>
      <c r="F36" s="493">
        <f>'d1'!F36-d1П!F36</f>
        <v>0</v>
      </c>
      <c r="G36" s="103"/>
    </row>
    <row r="37" spans="1:7" ht="42" thickTop="1" thickBot="1" x14ac:dyDescent="0.3">
      <c r="A37" s="494">
        <v>14040000</v>
      </c>
      <c r="B37" s="499" t="s">
        <v>1168</v>
      </c>
      <c r="C37" s="493">
        <f>'d1'!C37-d1П!C37</f>
        <v>38150000</v>
      </c>
      <c r="D37" s="493">
        <f>'d1'!D37-d1П!D37</f>
        <v>38150000</v>
      </c>
      <c r="E37" s="493">
        <f>'d1'!E37-d1П!E37</f>
        <v>0</v>
      </c>
      <c r="F37" s="493">
        <f>'d1'!F37-d1П!F37</f>
        <v>0</v>
      </c>
      <c r="G37" s="103"/>
    </row>
    <row r="38" spans="1:7" ht="103.5" thickTop="1" thickBot="1" x14ac:dyDescent="0.25">
      <c r="A38" s="566">
        <v>14040100</v>
      </c>
      <c r="B38" s="497" t="s">
        <v>1188</v>
      </c>
      <c r="C38" s="493">
        <f>'d1'!C38-d1П!C38</f>
        <v>38150000</v>
      </c>
      <c r="D38" s="493">
        <f>'d1'!D38-d1П!D38</f>
        <v>38150000</v>
      </c>
      <c r="E38" s="493">
        <f>'d1'!E38-d1П!E38</f>
        <v>0</v>
      </c>
      <c r="F38" s="493">
        <f>'d1'!F38-d1П!F38</f>
        <v>0</v>
      </c>
      <c r="G38" s="106"/>
    </row>
    <row r="39" spans="1:7" ht="65.25" thickTop="1" thickBot="1" x14ac:dyDescent="0.25">
      <c r="A39" s="566">
        <v>14040200</v>
      </c>
      <c r="B39" s="497" t="s">
        <v>1167</v>
      </c>
      <c r="C39" s="493">
        <f>'d1'!C39-d1П!C39</f>
        <v>0</v>
      </c>
      <c r="D39" s="493">
        <f>'d1'!D39-d1П!D39</f>
        <v>0</v>
      </c>
      <c r="E39" s="493">
        <f>'d1'!E39-d1П!E39</f>
        <v>0</v>
      </c>
      <c r="F39" s="493">
        <f>'d1'!F39-d1П!F39</f>
        <v>0</v>
      </c>
      <c r="G39" s="106"/>
    </row>
    <row r="40" spans="1:7" ht="29.25" customHeight="1" thickTop="1" thickBot="1" x14ac:dyDescent="0.3">
      <c r="A40" s="491">
        <v>18000000</v>
      </c>
      <c r="B40" s="491" t="s">
        <v>67</v>
      </c>
      <c r="C40" s="493">
        <f>'d1'!C40-d1П!C40</f>
        <v>76845000</v>
      </c>
      <c r="D40" s="493">
        <f>'d1'!D40-d1П!D40</f>
        <v>76845000</v>
      </c>
      <c r="E40" s="493">
        <f>'d1'!E40-d1П!E40</f>
        <v>0</v>
      </c>
      <c r="F40" s="493">
        <f>'d1'!F40-d1П!F40</f>
        <v>0</v>
      </c>
      <c r="G40" s="103"/>
    </row>
    <row r="41" spans="1:7" ht="16.5" thickTop="1" thickBot="1" x14ac:dyDescent="0.3">
      <c r="A41" s="494">
        <v>18010000</v>
      </c>
      <c r="B41" s="499" t="s">
        <v>68</v>
      </c>
      <c r="C41" s="493">
        <f>'d1'!C41-d1П!C41</f>
        <v>20845000</v>
      </c>
      <c r="D41" s="493">
        <f>'d1'!D41-d1П!D41</f>
        <v>20845000</v>
      </c>
      <c r="E41" s="493">
        <f>'d1'!E41-d1П!E41</f>
        <v>0</v>
      </c>
      <c r="F41" s="493">
        <f>'d1'!F41-d1П!F41</f>
        <v>0</v>
      </c>
      <c r="G41" s="103"/>
    </row>
    <row r="42" spans="1:7" ht="52.5" thickTop="1" thickBot="1" x14ac:dyDescent="0.3">
      <c r="A42" s="566">
        <v>18010100</v>
      </c>
      <c r="B42" s="497" t="s">
        <v>69</v>
      </c>
      <c r="C42" s="493">
        <f>'d1'!C42-d1П!C42</f>
        <v>0</v>
      </c>
      <c r="D42" s="493">
        <f>'d1'!D42-d1П!D42</f>
        <v>0</v>
      </c>
      <c r="E42" s="493">
        <f>'d1'!E42-d1П!E42</f>
        <v>0</v>
      </c>
      <c r="F42" s="493">
        <f>'d1'!F42-d1П!F42</f>
        <v>0</v>
      </c>
      <c r="G42" s="103"/>
    </row>
    <row r="43" spans="1:7" ht="52.5" thickTop="1" thickBot="1" x14ac:dyDescent="0.3">
      <c r="A43" s="566">
        <v>18010200</v>
      </c>
      <c r="B43" s="497" t="s">
        <v>70</v>
      </c>
      <c r="C43" s="493">
        <f>'d1'!C43-d1П!C43</f>
        <v>0</v>
      </c>
      <c r="D43" s="493">
        <f>'d1'!D43-d1П!D43</f>
        <v>0</v>
      </c>
      <c r="E43" s="493">
        <f>'d1'!E43-d1П!E43</f>
        <v>0</v>
      </c>
      <c r="F43" s="493">
        <f>'d1'!F43-d1П!F43</f>
        <v>0</v>
      </c>
      <c r="G43" s="103"/>
    </row>
    <row r="44" spans="1:7" ht="52.5" thickTop="1" thickBot="1" x14ac:dyDescent="0.3">
      <c r="A44" s="566">
        <v>18010300</v>
      </c>
      <c r="B44" s="497" t="s">
        <v>71</v>
      </c>
      <c r="C44" s="493">
        <f>'d1'!C44-d1П!C44</f>
        <v>6500000</v>
      </c>
      <c r="D44" s="493">
        <f>'d1'!D44-d1П!D44</f>
        <v>6500000</v>
      </c>
      <c r="E44" s="493">
        <f>'d1'!E44-d1П!E44</f>
        <v>0</v>
      </c>
      <c r="F44" s="493">
        <f>'d1'!F44-d1П!F44</f>
        <v>0</v>
      </c>
      <c r="G44" s="103"/>
    </row>
    <row r="45" spans="1:7" ht="52.5" thickTop="1" thickBot="1" x14ac:dyDescent="0.3">
      <c r="A45" s="566">
        <v>18010400</v>
      </c>
      <c r="B45" s="497" t="s">
        <v>72</v>
      </c>
      <c r="C45" s="493">
        <f>'d1'!C45-d1П!C45</f>
        <v>3500000</v>
      </c>
      <c r="D45" s="493">
        <f>'d1'!D45-d1П!D45</f>
        <v>3500000</v>
      </c>
      <c r="E45" s="493">
        <f>'d1'!E45-d1П!E45</f>
        <v>0</v>
      </c>
      <c r="F45" s="493">
        <f>'d1'!F45-d1П!F45</f>
        <v>0</v>
      </c>
      <c r="G45" s="103"/>
    </row>
    <row r="46" spans="1:7" ht="16.5" thickTop="1" thickBot="1" x14ac:dyDescent="0.3">
      <c r="A46" s="566">
        <v>18010500</v>
      </c>
      <c r="B46" s="497" t="s">
        <v>73</v>
      </c>
      <c r="C46" s="493">
        <f>'d1'!C46-d1П!C46</f>
        <v>0</v>
      </c>
      <c r="D46" s="493">
        <f>'d1'!D46-d1П!D46</f>
        <v>0</v>
      </c>
      <c r="E46" s="493">
        <f>'d1'!E46-d1П!E46</f>
        <v>0</v>
      </c>
      <c r="F46" s="493">
        <f>'d1'!F46-d1П!F46</f>
        <v>0</v>
      </c>
      <c r="G46" s="103"/>
    </row>
    <row r="47" spans="1:7" ht="16.5" thickTop="1" thickBot="1" x14ac:dyDescent="0.3">
      <c r="A47" s="566">
        <v>18010600</v>
      </c>
      <c r="B47" s="497" t="s">
        <v>74</v>
      </c>
      <c r="C47" s="493">
        <f>'d1'!C47-d1П!C47</f>
        <v>7495000</v>
      </c>
      <c r="D47" s="493">
        <f>'d1'!D47-d1П!D47</f>
        <v>7495000</v>
      </c>
      <c r="E47" s="493">
        <f>'d1'!E47-d1П!E47</f>
        <v>0</v>
      </c>
      <c r="F47" s="493">
        <f>'d1'!F47-d1П!F47</f>
        <v>0</v>
      </c>
      <c r="G47" s="103"/>
    </row>
    <row r="48" spans="1:7" ht="16.5" thickTop="1" thickBot="1" x14ac:dyDescent="0.3">
      <c r="A48" s="566">
        <v>18010700</v>
      </c>
      <c r="B48" s="497" t="s">
        <v>75</v>
      </c>
      <c r="C48" s="493">
        <f>'d1'!C48-d1П!C48</f>
        <v>3350000</v>
      </c>
      <c r="D48" s="493">
        <f>'d1'!D48-d1П!D48</f>
        <v>3350000</v>
      </c>
      <c r="E48" s="493">
        <f>'d1'!E48-d1П!E48</f>
        <v>0</v>
      </c>
      <c r="F48" s="493">
        <f>'d1'!F48-d1П!F48</f>
        <v>0</v>
      </c>
      <c r="G48" s="103"/>
    </row>
    <row r="49" spans="1:7" ht="16.5" thickTop="1" thickBot="1" x14ac:dyDescent="0.3">
      <c r="A49" s="566">
        <v>18010900</v>
      </c>
      <c r="B49" s="497" t="s">
        <v>76</v>
      </c>
      <c r="C49" s="493">
        <f>'d1'!C49-d1П!C49</f>
        <v>0</v>
      </c>
      <c r="D49" s="493">
        <f>'d1'!D49-d1П!D49</f>
        <v>0</v>
      </c>
      <c r="E49" s="493">
        <f>'d1'!E49-d1П!E49</f>
        <v>0</v>
      </c>
      <c r="F49" s="493">
        <f>'d1'!F49-d1П!F49</f>
        <v>0</v>
      </c>
      <c r="G49" s="103"/>
    </row>
    <row r="50" spans="1:7" ht="15.75" thickTop="1" thickBot="1" x14ac:dyDescent="0.25">
      <c r="A50" s="566">
        <v>18011000</v>
      </c>
      <c r="B50" s="497" t="s">
        <v>77</v>
      </c>
      <c r="C50" s="493">
        <f>'d1'!C50-d1П!C50</f>
        <v>0</v>
      </c>
      <c r="D50" s="493">
        <f>'d1'!D50-d1П!D50</f>
        <v>0</v>
      </c>
      <c r="E50" s="493">
        <f>'d1'!E50-d1П!E50</f>
        <v>0</v>
      </c>
      <c r="F50" s="493">
        <f>'d1'!F50-d1П!F50</f>
        <v>0</v>
      </c>
      <c r="G50" s="104"/>
    </row>
    <row r="51" spans="1:7" ht="16.5" thickTop="1" thickBot="1" x14ac:dyDescent="0.3">
      <c r="A51" s="566">
        <v>18011100</v>
      </c>
      <c r="B51" s="497" t="s">
        <v>78</v>
      </c>
      <c r="C51" s="493">
        <f>'d1'!C51-d1П!C51</f>
        <v>0</v>
      </c>
      <c r="D51" s="493">
        <f>'d1'!D51-d1П!D51</f>
        <v>0</v>
      </c>
      <c r="E51" s="493">
        <f>'d1'!E51-d1П!E51</f>
        <v>0</v>
      </c>
      <c r="F51" s="493">
        <f>'d1'!F51-d1П!F51</f>
        <v>0</v>
      </c>
      <c r="G51" s="103"/>
    </row>
    <row r="52" spans="1:7" ht="28.5" thickTop="1" thickBot="1" x14ac:dyDescent="0.3">
      <c r="A52" s="494">
        <v>18020000</v>
      </c>
      <c r="B52" s="499" t="s">
        <v>1118</v>
      </c>
      <c r="C52" s="493">
        <f>'d1'!C52-d1П!C52</f>
        <v>0</v>
      </c>
      <c r="D52" s="493">
        <f>'d1'!D52-d1П!D52</f>
        <v>0</v>
      </c>
      <c r="E52" s="493">
        <f>'d1'!E52-d1П!E52</f>
        <v>0</v>
      </c>
      <c r="F52" s="493">
        <f>'d1'!F52-d1П!F52</f>
        <v>0</v>
      </c>
      <c r="G52" s="103"/>
    </row>
    <row r="53" spans="1:7" ht="27" thickTop="1" thickBot="1" x14ac:dyDescent="0.3">
      <c r="A53" s="566">
        <v>180201000</v>
      </c>
      <c r="B53" s="497" t="s">
        <v>1119</v>
      </c>
      <c r="C53" s="493">
        <f>'d1'!C53-d1П!C53</f>
        <v>0</v>
      </c>
      <c r="D53" s="493">
        <f>'d1'!D53-d1П!D53</f>
        <v>0</v>
      </c>
      <c r="E53" s="493">
        <f>'d1'!E53-d1П!E53</f>
        <v>0</v>
      </c>
      <c r="F53" s="493">
        <f>'d1'!F53-d1П!F53</f>
        <v>0</v>
      </c>
      <c r="G53" s="103"/>
    </row>
    <row r="54" spans="1:7" ht="16.5" thickTop="1" thickBot="1" x14ac:dyDescent="0.3">
      <c r="A54" s="494">
        <v>18030000</v>
      </c>
      <c r="B54" s="499" t="s">
        <v>79</v>
      </c>
      <c r="C54" s="493">
        <f>'d1'!C54-d1П!C54</f>
        <v>0</v>
      </c>
      <c r="D54" s="493">
        <f>'d1'!D54-d1П!D54</f>
        <v>0</v>
      </c>
      <c r="E54" s="493">
        <f>'d1'!E54-d1П!E54</f>
        <v>0</v>
      </c>
      <c r="F54" s="493">
        <f>'d1'!F54-d1П!F54</f>
        <v>0</v>
      </c>
      <c r="G54" s="103"/>
    </row>
    <row r="55" spans="1:7" ht="27" thickTop="1" thickBot="1" x14ac:dyDescent="0.3">
      <c r="A55" s="566">
        <v>18030100</v>
      </c>
      <c r="B55" s="497" t="s">
        <v>80</v>
      </c>
      <c r="C55" s="493">
        <f>'d1'!C55-d1П!C55</f>
        <v>0</v>
      </c>
      <c r="D55" s="493">
        <f>'d1'!D55-d1П!D55</f>
        <v>0</v>
      </c>
      <c r="E55" s="493">
        <f>'d1'!E55-d1П!E55</f>
        <v>0</v>
      </c>
      <c r="F55" s="493">
        <f>'d1'!F55-d1П!F55</f>
        <v>0</v>
      </c>
      <c r="G55" s="103"/>
    </row>
    <row r="56" spans="1:7" ht="27" thickTop="1" thickBot="1" x14ac:dyDescent="0.3">
      <c r="A56" s="566">
        <v>18030200</v>
      </c>
      <c r="B56" s="497" t="s">
        <v>81</v>
      </c>
      <c r="C56" s="493">
        <f>'d1'!C56-d1П!C56</f>
        <v>0</v>
      </c>
      <c r="D56" s="493">
        <f>'d1'!D56-d1П!D56</f>
        <v>0</v>
      </c>
      <c r="E56" s="493">
        <f>'d1'!E56-d1П!E56</f>
        <v>0</v>
      </c>
      <c r="F56" s="493">
        <f>'d1'!F56-d1П!F56</f>
        <v>0</v>
      </c>
      <c r="G56" s="103"/>
    </row>
    <row r="57" spans="1:7" ht="16.5" thickTop="1" thickBot="1" x14ac:dyDescent="0.3">
      <c r="A57" s="494">
        <v>18050000</v>
      </c>
      <c r="B57" s="499" t="s">
        <v>82</v>
      </c>
      <c r="C57" s="493">
        <f>'d1'!C57-d1П!C57</f>
        <v>56000000</v>
      </c>
      <c r="D57" s="493">
        <f>'d1'!D57-d1П!D57</f>
        <v>56000000</v>
      </c>
      <c r="E57" s="493">
        <f>'d1'!E57-d1П!E57</f>
        <v>0</v>
      </c>
      <c r="F57" s="493">
        <f>'d1'!F57-d1П!F57</f>
        <v>0</v>
      </c>
      <c r="G57" s="103"/>
    </row>
    <row r="58" spans="1:7" ht="16.5" thickTop="1" thickBot="1" x14ac:dyDescent="0.3">
      <c r="A58" s="566">
        <v>18050300</v>
      </c>
      <c r="B58" s="567" t="s">
        <v>1007</v>
      </c>
      <c r="C58" s="493">
        <f>'d1'!C58-d1П!C58</f>
        <v>16000000</v>
      </c>
      <c r="D58" s="493">
        <f>'d1'!D58-d1П!D58</f>
        <v>16000000</v>
      </c>
      <c r="E58" s="493">
        <f>'d1'!E58-d1П!E58</f>
        <v>0</v>
      </c>
      <c r="F58" s="493">
        <f>'d1'!F58-d1П!F58</f>
        <v>0</v>
      </c>
      <c r="G58" s="103"/>
    </row>
    <row r="59" spans="1:7" ht="15.75" thickTop="1" thickBot="1" x14ac:dyDescent="0.25">
      <c r="A59" s="566">
        <v>18050400</v>
      </c>
      <c r="B59" s="497" t="s">
        <v>83</v>
      </c>
      <c r="C59" s="493">
        <f>'d1'!C59-d1П!C59</f>
        <v>40000000</v>
      </c>
      <c r="D59" s="493">
        <f>'d1'!D59-d1П!D59</f>
        <v>40000000</v>
      </c>
      <c r="E59" s="493">
        <f>'d1'!E59-d1П!E59</f>
        <v>0</v>
      </c>
      <c r="F59" s="493">
        <f>'d1'!F59-d1П!F59</f>
        <v>0</v>
      </c>
      <c r="G59" s="104"/>
    </row>
    <row r="60" spans="1:7" ht="65.25" thickTop="1" thickBot="1" x14ac:dyDescent="0.25">
      <c r="A60" s="566">
        <v>18050500</v>
      </c>
      <c r="B60" s="497" t="s">
        <v>532</v>
      </c>
      <c r="C60" s="493">
        <f>'d1'!C60-d1П!C60</f>
        <v>0</v>
      </c>
      <c r="D60" s="493">
        <f>'d1'!D60-d1П!D60</f>
        <v>0</v>
      </c>
      <c r="E60" s="493">
        <f>'d1'!E60-d1П!E60</f>
        <v>0</v>
      </c>
      <c r="F60" s="493">
        <f>'d1'!F60-d1П!F60</f>
        <v>0</v>
      </c>
      <c r="G60" s="104"/>
    </row>
    <row r="61" spans="1:7" ht="31.7" customHeight="1" thickTop="1" thickBot="1" x14ac:dyDescent="0.25">
      <c r="A61" s="491">
        <v>19000000</v>
      </c>
      <c r="B61" s="502" t="s">
        <v>525</v>
      </c>
      <c r="C61" s="493">
        <f>'d1'!C61-d1П!C61</f>
        <v>0</v>
      </c>
      <c r="D61" s="493">
        <f>'d1'!D61-d1П!D61</f>
        <v>0</v>
      </c>
      <c r="E61" s="493">
        <f>'d1'!E61-d1П!E61</f>
        <v>0</v>
      </c>
      <c r="F61" s="493">
        <f>'d1'!F61-d1П!F61</f>
        <v>0</v>
      </c>
      <c r="G61" s="104"/>
    </row>
    <row r="62" spans="1:7" ht="16.5" thickTop="1" thickBot="1" x14ac:dyDescent="0.3">
      <c r="A62" s="494">
        <v>1901000</v>
      </c>
      <c r="B62" s="495" t="s">
        <v>84</v>
      </c>
      <c r="C62" s="493">
        <f>'d1'!C62-d1П!C62</f>
        <v>0</v>
      </c>
      <c r="D62" s="493">
        <f>'d1'!D62-d1П!D62</f>
        <v>0</v>
      </c>
      <c r="E62" s="493">
        <f>'d1'!E62-d1П!E62</f>
        <v>0</v>
      </c>
      <c r="F62" s="493">
        <f>'d1'!F62-d1П!F62</f>
        <v>0</v>
      </c>
      <c r="G62" s="103"/>
    </row>
    <row r="63" spans="1:7" ht="52.5" thickTop="1" thickBot="1" x14ac:dyDescent="0.3">
      <c r="A63" s="566">
        <v>19010100</v>
      </c>
      <c r="B63" s="567" t="s">
        <v>526</v>
      </c>
      <c r="C63" s="493">
        <f>'d1'!C63-d1П!C63</f>
        <v>0</v>
      </c>
      <c r="D63" s="493">
        <f>'d1'!D63-d1П!D63</f>
        <v>0</v>
      </c>
      <c r="E63" s="493">
        <f>'d1'!E63-d1П!E63</f>
        <v>0</v>
      </c>
      <c r="F63" s="493">
        <f>'d1'!F63-d1П!F63</f>
        <v>0</v>
      </c>
      <c r="G63" s="103"/>
    </row>
    <row r="64" spans="1:7" ht="27" thickTop="1" thickBot="1" x14ac:dyDescent="0.25">
      <c r="A64" s="566">
        <v>19010200</v>
      </c>
      <c r="B64" s="567" t="s">
        <v>1229</v>
      </c>
      <c r="C64" s="493">
        <f>'d1'!C64-d1П!C64</f>
        <v>0</v>
      </c>
      <c r="D64" s="493">
        <f>'d1'!D64-d1П!D64</f>
        <v>0</v>
      </c>
      <c r="E64" s="493">
        <f>'d1'!E64-d1П!E64</f>
        <v>0</v>
      </c>
      <c r="F64" s="493">
        <f>'d1'!F64-d1П!F64</f>
        <v>0</v>
      </c>
      <c r="G64" s="106"/>
    </row>
    <row r="65" spans="1:7" ht="52.5" thickTop="1" thickBot="1" x14ac:dyDescent="0.3">
      <c r="A65" s="566">
        <v>19010300</v>
      </c>
      <c r="B65" s="567" t="s">
        <v>1230</v>
      </c>
      <c r="C65" s="493">
        <f>'d1'!C65-d1П!C65</f>
        <v>0</v>
      </c>
      <c r="D65" s="493">
        <f>'d1'!D65-d1П!D65</f>
        <v>0</v>
      </c>
      <c r="E65" s="493">
        <f>'d1'!E65-d1П!E65</f>
        <v>0</v>
      </c>
      <c r="F65" s="493">
        <f>'d1'!F65-d1П!F65</f>
        <v>0</v>
      </c>
      <c r="G65" s="103"/>
    </row>
    <row r="66" spans="1:7" ht="30" customHeight="1" thickTop="1" thickBot="1" x14ac:dyDescent="0.3">
      <c r="A66" s="569">
        <v>20000000</v>
      </c>
      <c r="B66" s="569" t="s">
        <v>85</v>
      </c>
      <c r="C66" s="570">
        <f t="shared" si="0"/>
        <v>14255000</v>
      </c>
      <c r="D66" s="570">
        <f>SUM(D67,D77,D90,D95)+D89</f>
        <v>14005000</v>
      </c>
      <c r="E66" s="570">
        <f>SUM(E67,E77,E90,E95)+E89</f>
        <v>250000</v>
      </c>
      <c r="F66" s="570">
        <f>SUM(F67,F77,F90,F95)+F89</f>
        <v>250000</v>
      </c>
      <c r="G66" s="103"/>
    </row>
    <row r="67" spans="1:7" ht="27" thickTop="1" thickBot="1" x14ac:dyDescent="0.3">
      <c r="A67" s="491">
        <v>21000000</v>
      </c>
      <c r="B67" s="491" t="s">
        <v>527</v>
      </c>
      <c r="C67" s="493">
        <f>'d1'!C67-d1П!C67</f>
        <v>7200000</v>
      </c>
      <c r="D67" s="493">
        <f>'d1'!D67-d1П!D67</f>
        <v>7200000</v>
      </c>
      <c r="E67" s="493">
        <f>'d1'!E67-d1П!E67</f>
        <v>0</v>
      </c>
      <c r="F67" s="493">
        <f>'d1'!F67-d1П!F67</f>
        <v>0</v>
      </c>
      <c r="G67" s="103"/>
    </row>
    <row r="68" spans="1:7" ht="55.5" thickTop="1" thickBot="1" x14ac:dyDescent="0.3">
      <c r="A68" s="494">
        <v>21010000</v>
      </c>
      <c r="B68" s="499" t="s">
        <v>528</v>
      </c>
      <c r="C68" s="493">
        <f>'d1'!C68-d1П!C68</f>
        <v>0</v>
      </c>
      <c r="D68" s="493">
        <f>'d1'!D68-d1П!D68</f>
        <v>0</v>
      </c>
      <c r="E68" s="493">
        <f>'d1'!E68-d1П!E68</f>
        <v>0</v>
      </c>
      <c r="F68" s="493">
        <f>'d1'!F68-d1П!F68</f>
        <v>0</v>
      </c>
      <c r="G68" s="103"/>
    </row>
    <row r="69" spans="1:7" ht="52.5" thickTop="1" thickBot="1" x14ac:dyDescent="0.3">
      <c r="A69" s="566">
        <v>21010300</v>
      </c>
      <c r="B69" s="497" t="s">
        <v>1337</v>
      </c>
      <c r="C69" s="493">
        <f>'d1'!C69-d1П!C69</f>
        <v>0</v>
      </c>
      <c r="D69" s="493">
        <f>'d1'!D69-d1П!D69</f>
        <v>0</v>
      </c>
      <c r="E69" s="493">
        <f>'d1'!E69-d1П!E69</f>
        <v>0</v>
      </c>
      <c r="F69" s="493">
        <f>'d1'!F69-d1П!F69</f>
        <v>0</v>
      </c>
      <c r="G69" s="103"/>
    </row>
    <row r="70" spans="1:7" ht="28.5" hidden="1" thickTop="1" thickBot="1" x14ac:dyDescent="0.3">
      <c r="A70" s="562">
        <v>21050000</v>
      </c>
      <c r="B70" s="564" t="s">
        <v>86</v>
      </c>
      <c r="C70" s="493">
        <f>'d1'!C70-d1П!C70</f>
        <v>0</v>
      </c>
      <c r="D70" s="493">
        <f>'d1'!D70-d1П!D70</f>
        <v>0</v>
      </c>
      <c r="E70" s="493">
        <f>'d1'!E70-d1П!E70</f>
        <v>0</v>
      </c>
      <c r="F70" s="493">
        <f>'d1'!F70-d1П!F70</f>
        <v>0</v>
      </c>
      <c r="G70" s="103"/>
    </row>
    <row r="71" spans="1:7" ht="15" thickTop="1" thickBot="1" x14ac:dyDescent="0.25">
      <c r="A71" s="494">
        <v>21080000</v>
      </c>
      <c r="B71" s="499" t="s">
        <v>1008</v>
      </c>
      <c r="C71" s="493">
        <f>'d1'!C71-d1П!C71</f>
        <v>7200000</v>
      </c>
      <c r="D71" s="493">
        <f>'d1'!D71-d1П!D71</f>
        <v>7200000</v>
      </c>
      <c r="E71" s="493">
        <f>'d1'!E71-d1П!E71</f>
        <v>0</v>
      </c>
      <c r="F71" s="493">
        <f>'d1'!F71-d1П!F71</f>
        <v>0</v>
      </c>
      <c r="G71" s="106"/>
    </row>
    <row r="72" spans="1:7" ht="16.5" thickTop="1" thickBot="1" x14ac:dyDescent="0.3">
      <c r="A72" s="566">
        <v>21081100</v>
      </c>
      <c r="B72" s="503" t="s">
        <v>87</v>
      </c>
      <c r="C72" s="493">
        <f>'d1'!C72-d1П!C72</f>
        <v>7200000</v>
      </c>
      <c r="D72" s="493">
        <f>'d1'!D72-d1П!D72</f>
        <v>7200000</v>
      </c>
      <c r="E72" s="493">
        <f>'d1'!E72-d1П!E72</f>
        <v>0</v>
      </c>
      <c r="F72" s="493">
        <f>'d1'!F72-d1П!F72</f>
        <v>0</v>
      </c>
      <c r="G72" s="103"/>
    </row>
    <row r="73" spans="1:7" ht="90.75" thickTop="1" thickBot="1" x14ac:dyDescent="0.3">
      <c r="A73" s="566">
        <v>21081500</v>
      </c>
      <c r="B73" s="567" t="s">
        <v>1613</v>
      </c>
      <c r="C73" s="493">
        <f>'d1'!C73-d1П!C73</f>
        <v>0</v>
      </c>
      <c r="D73" s="493">
        <f>'d1'!D73-d1П!D73</f>
        <v>0</v>
      </c>
      <c r="E73" s="493">
        <f>'d1'!E73-d1П!E73</f>
        <v>0</v>
      </c>
      <c r="F73" s="493">
        <f>'d1'!F73-d1П!F73</f>
        <v>0</v>
      </c>
      <c r="G73" s="103"/>
    </row>
    <row r="74" spans="1:7" ht="16.5" thickTop="1" thickBot="1" x14ac:dyDescent="0.3">
      <c r="A74" s="566">
        <v>21081700</v>
      </c>
      <c r="B74" s="567" t="s">
        <v>370</v>
      </c>
      <c r="C74" s="493">
        <f>'d1'!C74-d1П!C74</f>
        <v>0</v>
      </c>
      <c r="D74" s="493">
        <f>'d1'!D74-d1П!D74</f>
        <v>0</v>
      </c>
      <c r="E74" s="493">
        <f>'d1'!E74-d1П!E74</f>
        <v>0</v>
      </c>
      <c r="F74" s="493">
        <f>'d1'!F74-d1П!F74</f>
        <v>0</v>
      </c>
      <c r="G74" s="107"/>
    </row>
    <row r="75" spans="1:7" ht="52.5" thickTop="1" thickBot="1" x14ac:dyDescent="0.3">
      <c r="A75" s="566">
        <v>21081800</v>
      </c>
      <c r="B75" s="567" t="s">
        <v>1440</v>
      </c>
      <c r="C75" s="493">
        <f>'d1'!C75-d1П!C75</f>
        <v>0</v>
      </c>
      <c r="D75" s="493">
        <f>'d1'!D75-d1П!D75</f>
        <v>0</v>
      </c>
      <c r="E75" s="493">
        <f>'d1'!E75-d1П!E75</f>
        <v>0</v>
      </c>
      <c r="F75" s="493">
        <f>'d1'!F75-d1П!F75</f>
        <v>0</v>
      </c>
      <c r="G75" s="107"/>
    </row>
    <row r="76" spans="1:7" ht="78" thickTop="1" thickBot="1" x14ac:dyDescent="0.3">
      <c r="A76" s="566">
        <v>21082400</v>
      </c>
      <c r="B76" s="567" t="s">
        <v>1441</v>
      </c>
      <c r="C76" s="493">
        <f>'d1'!C76-d1П!C76</f>
        <v>0</v>
      </c>
      <c r="D76" s="493">
        <f>'d1'!D76-d1П!D76</f>
        <v>0</v>
      </c>
      <c r="E76" s="493">
        <f>'d1'!E76-d1П!E76</f>
        <v>0</v>
      </c>
      <c r="F76" s="493">
        <f>'d1'!F76-d1П!F76</f>
        <v>0</v>
      </c>
      <c r="G76" s="107"/>
    </row>
    <row r="77" spans="1:7" ht="27" thickTop="1" thickBot="1" x14ac:dyDescent="0.3">
      <c r="A77" s="491">
        <v>22000000</v>
      </c>
      <c r="B77" s="491" t="s">
        <v>88</v>
      </c>
      <c r="C77" s="493">
        <f>'d1'!C77-d1П!C77</f>
        <v>3805000</v>
      </c>
      <c r="D77" s="493">
        <f>'d1'!D77-d1П!D77</f>
        <v>3805000</v>
      </c>
      <c r="E77" s="493">
        <f>'d1'!E77-d1П!E77</f>
        <v>0</v>
      </c>
      <c r="F77" s="493">
        <f>'d1'!F77-d1П!F77</f>
        <v>0</v>
      </c>
      <c r="G77" s="103"/>
    </row>
    <row r="78" spans="1:7" ht="24.75" customHeight="1" thickTop="1" thickBot="1" x14ac:dyDescent="0.3">
      <c r="A78" s="494">
        <v>22010000</v>
      </c>
      <c r="B78" s="495" t="s">
        <v>529</v>
      </c>
      <c r="C78" s="493">
        <f>'d1'!C78-d1П!C78</f>
        <v>0</v>
      </c>
      <c r="D78" s="493">
        <f>'d1'!D78-d1П!D78</f>
        <v>0</v>
      </c>
      <c r="E78" s="493">
        <f>'d1'!E78-d1П!E78</f>
        <v>0</v>
      </c>
      <c r="F78" s="493">
        <f>'d1'!F78-d1П!F78</f>
        <v>0</v>
      </c>
      <c r="G78" s="103"/>
    </row>
    <row r="79" spans="1:7" ht="52.5" thickTop="1" thickBot="1" x14ac:dyDescent="0.3">
      <c r="A79" s="566">
        <v>22010300</v>
      </c>
      <c r="B79" s="567" t="s">
        <v>1614</v>
      </c>
      <c r="C79" s="493">
        <f>'d1'!C79-d1П!C79</f>
        <v>0</v>
      </c>
      <c r="D79" s="493">
        <f>'d1'!D79-d1П!D79</f>
        <v>0</v>
      </c>
      <c r="E79" s="493">
        <f>'d1'!E79-d1П!E79</f>
        <v>0</v>
      </c>
      <c r="F79" s="493">
        <f>'d1'!F79-d1П!F79</f>
        <v>0</v>
      </c>
      <c r="G79" s="103"/>
    </row>
    <row r="80" spans="1:7" ht="16.5" thickTop="1" thickBot="1" x14ac:dyDescent="0.3">
      <c r="A80" s="566">
        <v>22012500</v>
      </c>
      <c r="B80" s="567" t="s">
        <v>90</v>
      </c>
      <c r="C80" s="493">
        <f>'d1'!C80-d1П!C80</f>
        <v>0</v>
      </c>
      <c r="D80" s="493">
        <f>'d1'!D80-d1П!D80</f>
        <v>0</v>
      </c>
      <c r="E80" s="493">
        <f>'d1'!E80-d1П!E80</f>
        <v>0</v>
      </c>
      <c r="F80" s="493">
        <f>'d1'!F80-d1П!F80</f>
        <v>0</v>
      </c>
      <c r="G80" s="103"/>
    </row>
    <row r="81" spans="1:7" ht="27" thickTop="1" thickBot="1" x14ac:dyDescent="0.3">
      <c r="A81" s="566">
        <v>22012600</v>
      </c>
      <c r="B81" s="567" t="s">
        <v>89</v>
      </c>
      <c r="C81" s="493">
        <f>'d1'!C81-d1П!C81</f>
        <v>0</v>
      </c>
      <c r="D81" s="493">
        <f>'d1'!D81-d1П!D81</f>
        <v>0</v>
      </c>
      <c r="E81" s="493">
        <f>'d1'!E81-d1П!E81</f>
        <v>0</v>
      </c>
      <c r="F81" s="493">
        <f>'d1'!F81-d1П!F81</f>
        <v>0</v>
      </c>
      <c r="G81" s="103"/>
    </row>
    <row r="82" spans="1:7" ht="42" thickTop="1" thickBot="1" x14ac:dyDescent="0.3">
      <c r="A82" s="494">
        <v>22020000</v>
      </c>
      <c r="B82" s="495" t="s">
        <v>1507</v>
      </c>
      <c r="C82" s="493">
        <f>'d1'!C82-d1П!C82</f>
        <v>1005000</v>
      </c>
      <c r="D82" s="493">
        <f>'d1'!D82-d1П!D82</f>
        <v>1005000</v>
      </c>
      <c r="E82" s="493">
        <f>'d1'!E82-d1П!E82</f>
        <v>0</v>
      </c>
      <c r="F82" s="493">
        <f>'d1'!F82-d1П!F82</f>
        <v>0</v>
      </c>
      <c r="G82" s="103"/>
    </row>
    <row r="83" spans="1:7" ht="39.75" thickTop="1" thickBot="1" x14ac:dyDescent="0.3">
      <c r="A83" s="566">
        <v>22020400</v>
      </c>
      <c r="B83" s="567" t="s">
        <v>1508</v>
      </c>
      <c r="C83" s="493">
        <f>'d1'!C83-d1П!C83</f>
        <v>1005000</v>
      </c>
      <c r="D83" s="493">
        <f>'d1'!D83-d1П!D83</f>
        <v>1005000</v>
      </c>
      <c r="E83" s="493">
        <f>'d1'!E83-d1П!E83</f>
        <v>0</v>
      </c>
      <c r="F83" s="493">
        <f>'d1'!F83-d1П!F83</f>
        <v>0</v>
      </c>
      <c r="G83" s="103"/>
    </row>
    <row r="84" spans="1:7" ht="42" thickTop="1" thickBot="1" x14ac:dyDescent="0.3">
      <c r="A84" s="494">
        <v>2208000</v>
      </c>
      <c r="B84" s="495" t="s">
        <v>530</v>
      </c>
      <c r="C84" s="493">
        <f>'d1'!C84-d1П!C84</f>
        <v>2000000</v>
      </c>
      <c r="D84" s="493">
        <f>'d1'!D84-d1П!D84</f>
        <v>2000000</v>
      </c>
      <c r="E84" s="493">
        <f>'d1'!E84-d1П!E84</f>
        <v>0</v>
      </c>
      <c r="F84" s="493">
        <f>'d1'!F84-d1П!F84</f>
        <v>0</v>
      </c>
      <c r="G84" s="103"/>
    </row>
    <row r="85" spans="1:7" ht="52.5" thickTop="1" thickBot="1" x14ac:dyDescent="0.3">
      <c r="A85" s="566">
        <v>22080400</v>
      </c>
      <c r="B85" s="503" t="s">
        <v>91</v>
      </c>
      <c r="C85" s="493">
        <f>'d1'!C85-d1П!C85</f>
        <v>2000000</v>
      </c>
      <c r="D85" s="493">
        <f>'d1'!D85-d1П!D85</f>
        <v>2000000</v>
      </c>
      <c r="E85" s="493">
        <f>'d1'!E85-d1П!E85</f>
        <v>0</v>
      </c>
      <c r="F85" s="493">
        <f>'d1'!F85-d1П!F85</f>
        <v>0</v>
      </c>
      <c r="G85" s="103"/>
    </row>
    <row r="86" spans="1:7" ht="16.5" thickTop="1" thickBot="1" x14ac:dyDescent="0.3">
      <c r="A86" s="494">
        <v>22090000</v>
      </c>
      <c r="B86" s="504" t="s">
        <v>92</v>
      </c>
      <c r="C86" s="493">
        <f>'d1'!C86-d1П!C86</f>
        <v>800000</v>
      </c>
      <c r="D86" s="493">
        <f>'d1'!D86-d1П!D86</f>
        <v>800000</v>
      </c>
      <c r="E86" s="493">
        <f>'d1'!E86-d1П!E86</f>
        <v>0</v>
      </c>
      <c r="F86" s="493">
        <f>'d1'!F86-d1П!F86</f>
        <v>0</v>
      </c>
      <c r="G86" s="103"/>
    </row>
    <row r="87" spans="1:7" ht="52.5" thickTop="1" thickBot="1" x14ac:dyDescent="0.3">
      <c r="A87" s="566">
        <v>22090100</v>
      </c>
      <c r="B87" s="497" t="s">
        <v>93</v>
      </c>
      <c r="C87" s="493">
        <f>'d1'!C87-d1П!C87</f>
        <v>800000</v>
      </c>
      <c r="D87" s="493">
        <f>'d1'!D87-d1П!D87</f>
        <v>800000</v>
      </c>
      <c r="E87" s="493">
        <f>'d1'!E87-d1П!E87</f>
        <v>0</v>
      </c>
      <c r="F87" s="493">
        <f>'d1'!F87-d1П!F87</f>
        <v>0</v>
      </c>
      <c r="G87" s="103"/>
    </row>
    <row r="88" spans="1:7" ht="39.75" thickTop="1" thickBot="1" x14ac:dyDescent="0.25">
      <c r="A88" s="566">
        <v>22090400</v>
      </c>
      <c r="B88" s="497" t="s">
        <v>94</v>
      </c>
      <c r="C88" s="493">
        <f>'d1'!C88-d1П!C88</f>
        <v>0</v>
      </c>
      <c r="D88" s="493">
        <f>'d1'!D88-d1П!D88</f>
        <v>0</v>
      </c>
      <c r="E88" s="493">
        <f>'d1'!E88-d1П!E88</f>
        <v>0</v>
      </c>
      <c r="F88" s="493">
        <f>'d1'!F88-d1П!F88</f>
        <v>0</v>
      </c>
      <c r="G88" s="105"/>
    </row>
    <row r="89" spans="1:7" ht="78" thickTop="1" thickBot="1" x14ac:dyDescent="0.25">
      <c r="A89" s="491">
        <v>22130000</v>
      </c>
      <c r="B89" s="505" t="s">
        <v>1442</v>
      </c>
      <c r="C89" s="493">
        <f>'d1'!C89-d1П!C89</f>
        <v>0</v>
      </c>
      <c r="D89" s="493">
        <f>'d1'!D89-d1П!D89</f>
        <v>0</v>
      </c>
      <c r="E89" s="493">
        <f>'d1'!E89-d1П!E89</f>
        <v>0</v>
      </c>
      <c r="F89" s="493">
        <f>'d1'!F89-d1П!F89</f>
        <v>0</v>
      </c>
      <c r="G89" s="105"/>
    </row>
    <row r="90" spans="1:7" ht="20.25" customHeight="1" thickTop="1" thickBot="1" x14ac:dyDescent="0.3">
      <c r="A90" s="491">
        <v>24000000</v>
      </c>
      <c r="B90" s="505" t="s">
        <v>95</v>
      </c>
      <c r="C90" s="493">
        <f>'d1'!C90-d1П!C90</f>
        <v>3250000</v>
      </c>
      <c r="D90" s="493">
        <f>'d1'!D90-d1П!D90</f>
        <v>3000000</v>
      </c>
      <c r="E90" s="493">
        <f>'d1'!E90-d1П!E90</f>
        <v>250000</v>
      </c>
      <c r="F90" s="493">
        <f>'d1'!F90-d1П!F90</f>
        <v>250000</v>
      </c>
      <c r="G90" s="103"/>
    </row>
    <row r="91" spans="1:7" ht="16.5" thickTop="1" thickBot="1" x14ac:dyDescent="0.3">
      <c r="A91" s="566">
        <v>24060300</v>
      </c>
      <c r="B91" s="567" t="s">
        <v>96</v>
      </c>
      <c r="C91" s="493">
        <f>'d1'!C91-d1П!C91</f>
        <v>3000000</v>
      </c>
      <c r="D91" s="493">
        <f>'d1'!D91-d1П!D91</f>
        <v>3000000</v>
      </c>
      <c r="E91" s="493">
        <f>'d1'!E91-d1П!E91</f>
        <v>0</v>
      </c>
      <c r="F91" s="493">
        <f>'d1'!F91-d1П!F91</f>
        <v>0</v>
      </c>
      <c r="G91" s="103"/>
    </row>
    <row r="92" spans="1:7" ht="65.25" thickTop="1" thickBot="1" x14ac:dyDescent="0.3">
      <c r="A92" s="566">
        <v>24062200</v>
      </c>
      <c r="B92" s="567" t="s">
        <v>371</v>
      </c>
      <c r="C92" s="493">
        <f>'d1'!C92-d1П!C92</f>
        <v>0</v>
      </c>
      <c r="D92" s="493">
        <f>'d1'!D92-d1П!D92</f>
        <v>0</v>
      </c>
      <c r="E92" s="493">
        <f>'d1'!E92-d1П!E92</f>
        <v>0</v>
      </c>
      <c r="F92" s="493">
        <f>'d1'!F92-d1П!F92</f>
        <v>0</v>
      </c>
      <c r="G92" s="103"/>
    </row>
    <row r="93" spans="1:7" ht="39.75" thickTop="1" thickBot="1" x14ac:dyDescent="0.3">
      <c r="A93" s="566">
        <v>24110700</v>
      </c>
      <c r="B93" s="506" t="s">
        <v>580</v>
      </c>
      <c r="C93" s="493">
        <f>'d1'!C93-d1П!C93</f>
        <v>0</v>
      </c>
      <c r="D93" s="493">
        <f>'d1'!D93-d1П!D93</f>
        <v>0</v>
      </c>
      <c r="E93" s="493">
        <f>'d1'!E93-d1П!E93</f>
        <v>0</v>
      </c>
      <c r="F93" s="493">
        <f>'d1'!F93-d1П!F93</f>
        <v>0</v>
      </c>
      <c r="G93" s="103"/>
    </row>
    <row r="94" spans="1:7" ht="27" thickTop="1" thickBot="1" x14ac:dyDescent="0.25">
      <c r="A94" s="566">
        <v>24170000</v>
      </c>
      <c r="B94" s="497" t="s">
        <v>97</v>
      </c>
      <c r="C94" s="493">
        <f>'d1'!C94-d1П!C94</f>
        <v>250000</v>
      </c>
      <c r="D94" s="493">
        <f>'d1'!D94-d1П!D94</f>
        <v>0</v>
      </c>
      <c r="E94" s="493">
        <f>'d1'!E94-d1П!E94</f>
        <v>250000</v>
      </c>
      <c r="F94" s="493">
        <f>'d1'!F94-d1П!F94</f>
        <v>250000</v>
      </c>
      <c r="G94" s="104"/>
    </row>
    <row r="95" spans="1:7" ht="16.5" thickTop="1" thickBot="1" x14ac:dyDescent="0.3">
      <c r="A95" s="491">
        <v>25000000</v>
      </c>
      <c r="B95" s="507" t="s">
        <v>98</v>
      </c>
      <c r="C95" s="493">
        <f>'d1'!C95-d1П!C95</f>
        <v>0</v>
      </c>
      <c r="D95" s="493">
        <f>'d1'!D95-d1П!D95</f>
        <v>0</v>
      </c>
      <c r="E95" s="493">
        <f>'d1'!E95-d1П!E95</f>
        <v>0</v>
      </c>
      <c r="F95" s="493">
        <f>'d1'!F95-d1П!F95</f>
        <v>0</v>
      </c>
      <c r="G95" s="103"/>
    </row>
    <row r="96" spans="1:7" ht="42" thickTop="1" thickBot="1" x14ac:dyDescent="0.3">
      <c r="A96" s="494">
        <v>25010000</v>
      </c>
      <c r="B96" s="499" t="s">
        <v>99</v>
      </c>
      <c r="C96" s="493">
        <f>'d1'!C96-d1П!C96</f>
        <v>0</v>
      </c>
      <c r="D96" s="493">
        <f>'d1'!D96-d1П!D96</f>
        <v>0</v>
      </c>
      <c r="E96" s="493">
        <f>'d1'!E96-d1П!E96</f>
        <v>0</v>
      </c>
      <c r="F96" s="493">
        <f>'d1'!F96-d1П!F96</f>
        <v>0</v>
      </c>
      <c r="G96" s="103"/>
    </row>
    <row r="97" spans="1:7" ht="27" thickTop="1" thickBot="1" x14ac:dyDescent="0.3">
      <c r="A97" s="566">
        <v>25010100</v>
      </c>
      <c r="B97" s="497" t="s">
        <v>100</v>
      </c>
      <c r="C97" s="493">
        <f>'d1'!C97-d1П!C97</f>
        <v>-200000</v>
      </c>
      <c r="D97" s="493">
        <f>'d1'!D97-d1П!D97</f>
        <v>0</v>
      </c>
      <c r="E97" s="493">
        <f>'d1'!E97-d1П!E97</f>
        <v>-200000</v>
      </c>
      <c r="F97" s="493">
        <f>'d1'!F97-d1П!F97</f>
        <v>0</v>
      </c>
      <c r="G97" s="103"/>
    </row>
    <row r="98" spans="1:7" ht="27" thickTop="1" thickBot="1" x14ac:dyDescent="0.3">
      <c r="A98" s="566">
        <v>25010200</v>
      </c>
      <c r="B98" s="497" t="s">
        <v>101</v>
      </c>
      <c r="C98" s="493">
        <f>'d1'!C98-d1П!C98</f>
        <v>0</v>
      </c>
      <c r="D98" s="493">
        <f>'d1'!D98-d1П!D98</f>
        <v>0</v>
      </c>
      <c r="E98" s="493">
        <f>'d1'!E98-d1П!E98</f>
        <v>0</v>
      </c>
      <c r="F98" s="493">
        <f>'d1'!F98-d1П!F98</f>
        <v>0</v>
      </c>
      <c r="G98" s="103"/>
    </row>
    <row r="99" spans="1:7" ht="16.5" thickTop="1" thickBot="1" x14ac:dyDescent="0.3">
      <c r="A99" s="566">
        <v>25010300</v>
      </c>
      <c r="B99" s="497" t="s">
        <v>102</v>
      </c>
      <c r="C99" s="493">
        <f>'d1'!C99-d1П!C99</f>
        <v>200000</v>
      </c>
      <c r="D99" s="493">
        <f>'d1'!D99-d1П!D99</f>
        <v>0</v>
      </c>
      <c r="E99" s="493">
        <f>'d1'!E99-d1П!E99</f>
        <v>200000</v>
      </c>
      <c r="F99" s="493">
        <f>'d1'!F99-d1П!F99</f>
        <v>0</v>
      </c>
      <c r="G99" s="103"/>
    </row>
    <row r="100" spans="1:7" ht="39.75" thickTop="1" thickBot="1" x14ac:dyDescent="0.3">
      <c r="A100" s="566">
        <v>25010400</v>
      </c>
      <c r="B100" s="497" t="s">
        <v>103</v>
      </c>
      <c r="C100" s="493">
        <f>'d1'!C100-d1П!C100</f>
        <v>0</v>
      </c>
      <c r="D100" s="493">
        <f>'d1'!D100-d1П!D100</f>
        <v>0</v>
      </c>
      <c r="E100" s="493">
        <f>'d1'!E100-d1П!E100</f>
        <v>0</v>
      </c>
      <c r="F100" s="493">
        <f>'d1'!F100-d1П!F100</f>
        <v>0</v>
      </c>
      <c r="G100" s="103"/>
    </row>
    <row r="101" spans="1:7" ht="24.75" customHeight="1" thickTop="1" thickBot="1" x14ac:dyDescent="0.25">
      <c r="A101" s="569">
        <v>30000000</v>
      </c>
      <c r="B101" s="569" t="s">
        <v>104</v>
      </c>
      <c r="C101" s="570">
        <f>SUM(D101,E101)</f>
        <v>0</v>
      </c>
      <c r="D101" s="570">
        <f>SUM(D102)+D106</f>
        <v>0</v>
      </c>
      <c r="E101" s="570">
        <f>SUM(E102)+E106</f>
        <v>0</v>
      </c>
      <c r="F101" s="570">
        <f>SUM(F102)+F106</f>
        <v>0</v>
      </c>
      <c r="G101" s="105"/>
    </row>
    <row r="102" spans="1:7" ht="27" customHeight="1" thickTop="1" thickBot="1" x14ac:dyDescent="0.3">
      <c r="A102" s="491">
        <v>31000000</v>
      </c>
      <c r="B102" s="491" t="s">
        <v>105</v>
      </c>
      <c r="C102" s="493">
        <f>'d1'!C102-d1П!C102</f>
        <v>0</v>
      </c>
      <c r="D102" s="493">
        <f>'d1'!D102-d1П!D102</f>
        <v>0</v>
      </c>
      <c r="E102" s="493">
        <f>'d1'!E102-d1П!E102</f>
        <v>0</v>
      </c>
      <c r="F102" s="493">
        <f>'d1'!F102-d1П!F102</f>
        <v>0</v>
      </c>
      <c r="G102" s="103"/>
    </row>
    <row r="103" spans="1:7" ht="82.5" thickTop="1" thickBot="1" x14ac:dyDescent="0.3">
      <c r="A103" s="494">
        <v>3101000</v>
      </c>
      <c r="B103" s="495" t="s">
        <v>531</v>
      </c>
      <c r="C103" s="493">
        <f>'d1'!C103-d1П!C103</f>
        <v>0</v>
      </c>
      <c r="D103" s="493">
        <f>'d1'!D103-d1П!D103</f>
        <v>0</v>
      </c>
      <c r="E103" s="493">
        <f>'d1'!E103-d1П!E103</f>
        <v>0</v>
      </c>
      <c r="F103" s="493">
        <f>'d1'!F103-d1П!F103</f>
        <v>0</v>
      </c>
      <c r="G103" s="103"/>
    </row>
    <row r="104" spans="1:7" ht="78" thickTop="1" thickBot="1" x14ac:dyDescent="0.3">
      <c r="A104" s="566">
        <v>31010200</v>
      </c>
      <c r="B104" s="497" t="s">
        <v>106</v>
      </c>
      <c r="C104" s="493">
        <f>'d1'!C104-d1П!C104</f>
        <v>0</v>
      </c>
      <c r="D104" s="493">
        <f>'d1'!D104-d1П!D104</f>
        <v>0</v>
      </c>
      <c r="E104" s="493">
        <f>'d1'!E104-d1П!E104</f>
        <v>0</v>
      </c>
      <c r="F104" s="493">
        <f>'d1'!F104-d1П!F104</f>
        <v>0</v>
      </c>
      <c r="G104" s="103"/>
    </row>
    <row r="105" spans="1:7" ht="55.5" thickTop="1" thickBot="1" x14ac:dyDescent="0.3">
      <c r="A105" s="494">
        <v>31030000</v>
      </c>
      <c r="B105" s="499" t="s">
        <v>107</v>
      </c>
      <c r="C105" s="493">
        <f>'d1'!C105-d1П!C105</f>
        <v>0</v>
      </c>
      <c r="D105" s="493">
        <f>'d1'!D105-d1П!D105</f>
        <v>0</v>
      </c>
      <c r="E105" s="493">
        <f>'d1'!E105-d1П!E105</f>
        <v>0</v>
      </c>
      <c r="F105" s="493">
        <f>'d1'!F105-d1П!F105</f>
        <v>0</v>
      </c>
      <c r="G105" s="103"/>
    </row>
    <row r="106" spans="1:7" ht="27" thickTop="1" thickBot="1" x14ac:dyDescent="0.3">
      <c r="A106" s="491">
        <v>33000000</v>
      </c>
      <c r="B106" s="491" t="s">
        <v>108</v>
      </c>
      <c r="C106" s="493">
        <f>'d1'!C106-d1П!C106</f>
        <v>0</v>
      </c>
      <c r="D106" s="493">
        <f>'d1'!D106-d1П!D106</f>
        <v>0</v>
      </c>
      <c r="E106" s="493">
        <f>'d1'!E106-d1П!E106</f>
        <v>0</v>
      </c>
      <c r="F106" s="493">
        <f>'d1'!F106-d1П!F106</f>
        <v>0</v>
      </c>
      <c r="G106" s="103"/>
    </row>
    <row r="107" spans="1:7" ht="16.5" thickTop="1" thickBot="1" x14ac:dyDescent="0.3">
      <c r="A107" s="494">
        <v>33010000</v>
      </c>
      <c r="B107" s="495" t="s">
        <v>109</v>
      </c>
      <c r="C107" s="493">
        <f>'d1'!C107-d1П!C107</f>
        <v>0</v>
      </c>
      <c r="D107" s="493">
        <f>'d1'!D107-d1П!D107</f>
        <v>0</v>
      </c>
      <c r="E107" s="493">
        <f>'d1'!E107-d1П!E107</f>
        <v>0</v>
      </c>
      <c r="F107" s="493">
        <f>'d1'!F107-d1П!F107</f>
        <v>0</v>
      </c>
      <c r="G107" s="103"/>
    </row>
    <row r="108" spans="1:7" ht="52.5" thickTop="1" thickBot="1" x14ac:dyDescent="0.3">
      <c r="A108" s="566">
        <v>33010100</v>
      </c>
      <c r="B108" s="497" t="s">
        <v>340</v>
      </c>
      <c r="C108" s="493">
        <f>'d1'!C108-d1П!C108</f>
        <v>0</v>
      </c>
      <c r="D108" s="493">
        <f>'d1'!D108-d1П!D108</f>
        <v>0</v>
      </c>
      <c r="E108" s="493">
        <f>'d1'!E108-d1П!E108</f>
        <v>0</v>
      </c>
      <c r="F108" s="493">
        <f>'d1'!F108-d1П!F108</f>
        <v>0</v>
      </c>
      <c r="G108" s="103"/>
    </row>
    <row r="109" spans="1:7" ht="52.5" thickTop="1" thickBot="1" x14ac:dyDescent="0.3">
      <c r="A109" s="566">
        <v>33010200</v>
      </c>
      <c r="B109" s="497" t="s">
        <v>110</v>
      </c>
      <c r="C109" s="493">
        <f>'d1'!C109-d1П!C109</f>
        <v>0</v>
      </c>
      <c r="D109" s="493">
        <f>'d1'!D109-d1П!D109</f>
        <v>0</v>
      </c>
      <c r="E109" s="493">
        <f>'d1'!E109-d1П!E109</f>
        <v>0</v>
      </c>
      <c r="F109" s="493">
        <f>'d1'!F109-d1П!F109</f>
        <v>0</v>
      </c>
      <c r="G109" s="103"/>
    </row>
    <row r="110" spans="1:7" ht="65.25" hidden="1" thickTop="1" thickBot="1" x14ac:dyDescent="0.3">
      <c r="A110" s="345">
        <v>33010500</v>
      </c>
      <c r="B110" s="348" t="s">
        <v>1338</v>
      </c>
      <c r="C110" s="343">
        <f>SUM(D110,E110)</f>
        <v>0</v>
      </c>
      <c r="D110" s="347"/>
      <c r="E110" s="347">
        <v>0</v>
      </c>
      <c r="F110" s="347">
        <v>0</v>
      </c>
      <c r="G110" s="103"/>
    </row>
    <row r="111" spans="1:7" ht="27" customHeight="1" thickTop="1" thickBot="1" x14ac:dyDescent="0.3">
      <c r="A111" s="569">
        <v>50000000</v>
      </c>
      <c r="B111" s="569" t="s">
        <v>482</v>
      </c>
      <c r="C111" s="570">
        <f>SUM(D111,E111)</f>
        <v>800000</v>
      </c>
      <c r="D111" s="570">
        <f>SUM(D112)</f>
        <v>0</v>
      </c>
      <c r="E111" s="570">
        <f>SUM(E112)</f>
        <v>800000</v>
      </c>
      <c r="F111" s="570">
        <f>SUM(F112)</f>
        <v>0</v>
      </c>
      <c r="G111" s="103"/>
    </row>
    <row r="112" spans="1:7" ht="52.5" thickTop="1" thickBot="1" x14ac:dyDescent="0.3">
      <c r="A112" s="491">
        <v>50110000</v>
      </c>
      <c r="B112" s="502" t="s">
        <v>111</v>
      </c>
      <c r="C112" s="493">
        <f>'d1'!C112-d1П!C112</f>
        <v>800000</v>
      </c>
      <c r="D112" s="493">
        <f>'d1'!D112-d1П!D112</f>
        <v>0</v>
      </c>
      <c r="E112" s="493">
        <f>'d1'!E112-d1П!E112</f>
        <v>800000</v>
      </c>
      <c r="F112" s="493">
        <f>'d1'!F112-d1П!F112</f>
        <v>0</v>
      </c>
      <c r="G112" s="103"/>
    </row>
    <row r="113" spans="1:7" ht="45.75" customHeight="1" thickTop="1" thickBot="1" x14ac:dyDescent="0.25">
      <c r="A113" s="571"/>
      <c r="B113" s="572" t="s">
        <v>483</v>
      </c>
      <c r="C113" s="573">
        <f t="shared" ref="C113" si="1">SUM(D113,E113)</f>
        <v>264850000</v>
      </c>
      <c r="D113" s="573">
        <f>D111+D101+D66+D15</f>
        <v>263800000</v>
      </c>
      <c r="E113" s="573">
        <f>E111+E101+E66+E15</f>
        <v>1050000</v>
      </c>
      <c r="F113" s="573">
        <f>F111+F101+F66+F15</f>
        <v>250000</v>
      </c>
      <c r="G113" s="104"/>
    </row>
    <row r="114" spans="1:7" ht="34.5" customHeight="1" thickTop="1" thickBot="1" x14ac:dyDescent="0.25">
      <c r="A114" s="569">
        <v>40000000</v>
      </c>
      <c r="B114" s="569" t="s">
        <v>422</v>
      </c>
      <c r="C114" s="570">
        <f>SUM(D114,E114)</f>
        <v>276081051</v>
      </c>
      <c r="D114" s="570">
        <f>SUM(D120,D117,D115)</f>
        <v>276081051</v>
      </c>
      <c r="E114" s="570">
        <f>SUM(E120,E117,E115)</f>
        <v>0</v>
      </c>
      <c r="F114" s="570">
        <f>SUM(F120,F117,F115)</f>
        <v>0</v>
      </c>
      <c r="G114" s="104"/>
    </row>
    <row r="115" spans="1:7" ht="27" hidden="1" customHeight="1" thickTop="1" thickBot="1" x14ac:dyDescent="0.25">
      <c r="A115" s="342">
        <v>41020000</v>
      </c>
      <c r="B115" s="349" t="s">
        <v>1283</v>
      </c>
      <c r="C115" s="343">
        <f t="shared" ref="C115:C116" si="2">SUM(D115,E115)</f>
        <v>0</v>
      </c>
      <c r="D115" s="343">
        <f>SUM(D116)</f>
        <v>0</v>
      </c>
      <c r="E115" s="343"/>
      <c r="F115" s="343"/>
      <c r="G115" s="104"/>
    </row>
    <row r="116" spans="1:7" ht="103.5" hidden="1" thickTop="1" thickBot="1" x14ac:dyDescent="0.25">
      <c r="A116" s="345">
        <v>41021400</v>
      </c>
      <c r="B116" s="348" t="s">
        <v>1289</v>
      </c>
      <c r="C116" s="343">
        <f t="shared" si="2"/>
        <v>0</v>
      </c>
      <c r="D116" s="347">
        <v>0</v>
      </c>
      <c r="E116" s="343"/>
      <c r="F116" s="343"/>
      <c r="G116" s="104"/>
    </row>
    <row r="117" spans="1:7" ht="27" thickTop="1" thickBot="1" x14ac:dyDescent="0.25">
      <c r="A117" s="491">
        <v>41040000</v>
      </c>
      <c r="B117" s="498" t="s">
        <v>341</v>
      </c>
      <c r="C117" s="493">
        <f>'d1'!C117-d1П!C117</f>
        <v>0</v>
      </c>
      <c r="D117" s="493">
        <f>'d1'!D117-d1П!D117</f>
        <v>0</v>
      </c>
      <c r="E117" s="493">
        <f>'d1'!E117-d1П!E117</f>
        <v>0</v>
      </c>
      <c r="F117" s="493">
        <f>'d1'!F117-d1П!F117</f>
        <v>0</v>
      </c>
      <c r="G117" s="104"/>
    </row>
    <row r="118" spans="1:7" ht="65.25" thickTop="1" thickBot="1" x14ac:dyDescent="0.25">
      <c r="A118" s="566">
        <v>41040200</v>
      </c>
      <c r="B118" s="497" t="s">
        <v>1120</v>
      </c>
      <c r="C118" s="493">
        <f>'d1'!C118-d1П!C118</f>
        <v>0</v>
      </c>
      <c r="D118" s="493">
        <f>'d1'!D118-d1П!D118</f>
        <v>0</v>
      </c>
      <c r="E118" s="493">
        <f>'d1'!E118-d1П!E118</f>
        <v>0</v>
      </c>
      <c r="F118" s="493">
        <f>'d1'!F118-d1П!F118</f>
        <v>0</v>
      </c>
      <c r="G118" s="104"/>
    </row>
    <row r="119" spans="1:7" ht="21" customHeight="1" thickTop="1" thickBot="1" x14ac:dyDescent="0.25">
      <c r="A119" s="566">
        <v>41040400</v>
      </c>
      <c r="B119" s="497" t="s">
        <v>1176</v>
      </c>
      <c r="C119" s="493">
        <f>'d1'!C119-d1П!C119</f>
        <v>0</v>
      </c>
      <c r="D119" s="493">
        <f>'d1'!D119-d1П!D119</f>
        <v>0</v>
      </c>
      <c r="E119" s="493">
        <f>'d1'!E119-d1П!E119</f>
        <v>0</v>
      </c>
      <c r="F119" s="493">
        <f>'d1'!F119-d1П!F119</f>
        <v>0</v>
      </c>
      <c r="G119" s="104"/>
    </row>
    <row r="120" spans="1:7" s="485" customFormat="1" ht="15.75" thickTop="1" thickBot="1" x14ac:dyDescent="0.25">
      <c r="A120" s="491">
        <v>41000000</v>
      </c>
      <c r="B120" s="491" t="s">
        <v>112</v>
      </c>
      <c r="C120" s="493">
        <f>'d1'!C120-d1П!C120</f>
        <v>276081051</v>
      </c>
      <c r="D120" s="493">
        <f>'d1'!D120-d1П!D120</f>
        <v>276081051</v>
      </c>
      <c r="E120" s="493">
        <f>'d1'!E120-d1П!E120</f>
        <v>0</v>
      </c>
      <c r="F120" s="493">
        <f>'d1'!F120-d1П!F120</f>
        <v>0</v>
      </c>
      <c r="G120" s="510"/>
    </row>
    <row r="121" spans="1:7" s="485" customFormat="1" ht="27" thickTop="1" thickBot="1" x14ac:dyDescent="0.3">
      <c r="A121" s="491">
        <v>41030000</v>
      </c>
      <c r="B121" s="507" t="s">
        <v>433</v>
      </c>
      <c r="C121" s="493">
        <f>'d1'!C121-d1П!C121</f>
        <v>261746300</v>
      </c>
      <c r="D121" s="493">
        <f>'d1'!D121-d1П!D121</f>
        <v>261746300</v>
      </c>
      <c r="E121" s="493">
        <f>'d1'!E121-d1П!E121</f>
        <v>0</v>
      </c>
      <c r="F121" s="493">
        <f>'d1'!F121-d1П!F121</f>
        <v>0</v>
      </c>
      <c r="G121" s="492"/>
    </row>
    <row r="122" spans="1:7" ht="52.5" hidden="1" thickTop="1" thickBot="1" x14ac:dyDescent="0.3">
      <c r="A122" s="345">
        <v>41032300</v>
      </c>
      <c r="B122" s="346" t="s">
        <v>961</v>
      </c>
      <c r="C122" s="493">
        <f>'d1'!C122-d1П!C122</f>
        <v>0</v>
      </c>
      <c r="D122" s="493">
        <f>'d1'!D122-d1П!D122</f>
        <v>0</v>
      </c>
      <c r="E122" s="493">
        <f>'d1'!E122-d1П!E122</f>
        <v>0</v>
      </c>
      <c r="F122" s="493">
        <f>'d1'!F122-d1П!F122</f>
        <v>0</v>
      </c>
      <c r="G122" s="103"/>
    </row>
    <row r="123" spans="1:7" ht="52.5" hidden="1" thickTop="1" thickBot="1" x14ac:dyDescent="0.3">
      <c r="A123" s="345">
        <v>41033300</v>
      </c>
      <c r="B123" s="346" t="s">
        <v>1529</v>
      </c>
      <c r="C123" s="493">
        <f>'d1'!C123-d1П!C123</f>
        <v>0</v>
      </c>
      <c r="D123" s="493">
        <f>'d1'!D123-d1П!D123</f>
        <v>0</v>
      </c>
      <c r="E123" s="493">
        <f>'d1'!E123-d1П!E123</f>
        <v>0</v>
      </c>
      <c r="F123" s="493">
        <f>'d1'!F123-d1П!F123</f>
        <v>0</v>
      </c>
      <c r="G123" s="103"/>
    </row>
    <row r="124" spans="1:7" ht="52.5" hidden="1" thickTop="1" thickBot="1" x14ac:dyDescent="0.3">
      <c r="A124" s="345">
        <v>41033800</v>
      </c>
      <c r="B124" s="346" t="s">
        <v>1010</v>
      </c>
      <c r="C124" s="493">
        <f>'d1'!C124-d1П!C124</f>
        <v>0</v>
      </c>
      <c r="D124" s="493">
        <f>'d1'!D124-d1П!D124</f>
        <v>0</v>
      </c>
      <c r="E124" s="493">
        <f>'d1'!E124-d1П!E124</f>
        <v>0</v>
      </c>
      <c r="F124" s="493">
        <f>'d1'!F124-d1П!F124</f>
        <v>0</v>
      </c>
      <c r="G124" s="103"/>
    </row>
    <row r="125" spans="1:7" ht="27" thickTop="1" thickBot="1" x14ac:dyDescent="0.3">
      <c r="A125" s="566">
        <v>41033900</v>
      </c>
      <c r="B125" s="567" t="s">
        <v>113</v>
      </c>
      <c r="C125" s="493">
        <f>'d1'!C125-d1П!C125</f>
        <v>260534000</v>
      </c>
      <c r="D125" s="493">
        <f>'d1'!D125-d1П!D125</f>
        <v>260534000</v>
      </c>
      <c r="E125" s="493">
        <f>'d1'!E125-d1П!E125</f>
        <v>0</v>
      </c>
      <c r="F125" s="493">
        <f>'d1'!F125-d1П!F125</f>
        <v>0</v>
      </c>
      <c r="G125" s="103"/>
    </row>
    <row r="126" spans="1:7" ht="39.75" hidden="1" thickTop="1" thickBot="1" x14ac:dyDescent="0.3">
      <c r="A126" s="345">
        <v>41034500</v>
      </c>
      <c r="B126" s="346" t="s">
        <v>1011</v>
      </c>
      <c r="C126" s="493">
        <f>'d1'!C126-d1П!C126</f>
        <v>0</v>
      </c>
      <c r="D126" s="493">
        <f>'d1'!D126-d1П!D126</f>
        <v>0</v>
      </c>
      <c r="E126" s="493">
        <f>'d1'!E126-d1П!E126</f>
        <v>0</v>
      </c>
      <c r="F126" s="493">
        <f>'d1'!F126-d1П!F126</f>
        <v>0</v>
      </c>
      <c r="G126" s="103"/>
    </row>
    <row r="127" spans="1:7" ht="39.75" thickTop="1" thickBot="1" x14ac:dyDescent="0.3">
      <c r="A127" s="566">
        <v>41035400</v>
      </c>
      <c r="B127" s="567" t="s">
        <v>1624</v>
      </c>
      <c r="C127" s="493">
        <f>'d1'!C127-d1П!C127</f>
        <v>0</v>
      </c>
      <c r="D127" s="493">
        <f>'d1'!D127-d1П!D127</f>
        <v>0</v>
      </c>
      <c r="E127" s="493">
        <f>'d1'!E127-d1П!E127</f>
        <v>0</v>
      </c>
      <c r="F127" s="493">
        <f>'d1'!F127-d1П!F127</f>
        <v>0</v>
      </c>
      <c r="G127" s="103"/>
    </row>
    <row r="128" spans="1:7" ht="52.5" hidden="1" thickTop="1" thickBot="1" x14ac:dyDescent="0.3">
      <c r="A128" s="345">
        <v>41035500</v>
      </c>
      <c r="B128" s="346" t="s">
        <v>963</v>
      </c>
      <c r="C128" s="493">
        <f>'d1'!C128-d1П!C128</f>
        <v>0</v>
      </c>
      <c r="D128" s="493">
        <f>'d1'!D128-d1П!D128</f>
        <v>0</v>
      </c>
      <c r="E128" s="493">
        <f>'d1'!E128-d1П!E128</f>
        <v>0</v>
      </c>
      <c r="F128" s="493">
        <f>'d1'!F128-d1П!F128</f>
        <v>0</v>
      </c>
      <c r="G128" s="103"/>
    </row>
    <row r="129" spans="1:7" ht="65.25" hidden="1" thickTop="1" thickBot="1" x14ac:dyDescent="0.3">
      <c r="A129" s="345">
        <v>41035600</v>
      </c>
      <c r="B129" s="346" t="s">
        <v>980</v>
      </c>
      <c r="C129" s="493">
        <f>'d1'!C129-d1П!C129</f>
        <v>0</v>
      </c>
      <c r="D129" s="493">
        <f>'d1'!D129-d1П!D129</f>
        <v>0</v>
      </c>
      <c r="E129" s="493">
        <f>'d1'!E129-d1П!E129</f>
        <v>0</v>
      </c>
      <c r="F129" s="493">
        <f>'d1'!F129-d1П!F129</f>
        <v>0</v>
      </c>
      <c r="G129" s="103"/>
    </row>
    <row r="130" spans="1:7" ht="65.25" thickTop="1" thickBot="1" x14ac:dyDescent="0.3">
      <c r="A130" s="566">
        <v>41036000</v>
      </c>
      <c r="B130" s="567" t="s">
        <v>1688</v>
      </c>
      <c r="C130" s="493">
        <f>'d1'!C130-d1П!C130</f>
        <v>0</v>
      </c>
      <c r="D130" s="493">
        <f>'d1'!D130-d1П!D130</f>
        <v>0</v>
      </c>
      <c r="E130" s="493">
        <f>'d1'!E130-d1П!E130</f>
        <v>0</v>
      </c>
      <c r="F130" s="493">
        <f>'d1'!F130-d1П!F130</f>
        <v>0</v>
      </c>
      <c r="G130" s="103"/>
    </row>
    <row r="131" spans="1:7" ht="39.75" thickTop="1" thickBot="1" x14ac:dyDescent="0.3">
      <c r="A131" s="566">
        <v>41036300</v>
      </c>
      <c r="B131" s="567" t="s">
        <v>1625</v>
      </c>
      <c r="C131" s="493">
        <f>'d1'!C131-d1П!C131</f>
        <v>1212300</v>
      </c>
      <c r="D131" s="493">
        <f>'d1'!D131-d1П!D131</f>
        <v>1212300</v>
      </c>
      <c r="E131" s="493">
        <f>'d1'!E131-d1П!E131</f>
        <v>0</v>
      </c>
      <c r="F131" s="493">
        <f>'d1'!F131-d1П!F131</f>
        <v>0</v>
      </c>
      <c r="G131" s="103"/>
    </row>
    <row r="132" spans="1:7" ht="39.75" hidden="1" thickTop="1" thickBot="1" x14ac:dyDescent="0.3">
      <c r="A132" s="345">
        <v>41035700</v>
      </c>
      <c r="B132" s="346" t="s">
        <v>954</v>
      </c>
      <c r="C132" s="493">
        <f>'d1'!C132-d1П!C132</f>
        <v>0</v>
      </c>
      <c r="D132" s="493">
        <f>'d1'!D132-d1П!D132</f>
        <v>0</v>
      </c>
      <c r="E132" s="493">
        <f>'d1'!E132-d1П!E132</f>
        <v>0</v>
      </c>
      <c r="F132" s="493">
        <f>'d1'!F132-d1П!F132</f>
        <v>0</v>
      </c>
      <c r="G132" s="103"/>
    </row>
    <row r="133" spans="1:7" s="485" customFormat="1" ht="27" thickTop="1" thickBot="1" x14ac:dyDescent="0.3">
      <c r="A133" s="491">
        <v>41050000</v>
      </c>
      <c r="B133" s="507" t="s">
        <v>468</v>
      </c>
      <c r="C133" s="493">
        <f>'d1'!C133-d1П!C133</f>
        <v>14334750.999999993</v>
      </c>
      <c r="D133" s="493">
        <f>'d1'!D133-d1П!D133</f>
        <v>14334750.999999993</v>
      </c>
      <c r="E133" s="493">
        <f>'d1'!E133-d1П!E133</f>
        <v>0</v>
      </c>
      <c r="F133" s="493">
        <f>'d1'!F133-d1П!F133</f>
        <v>0</v>
      </c>
      <c r="G133" s="492"/>
    </row>
    <row r="134" spans="1:7" s="485" customFormat="1" ht="90.75" thickTop="1" thickBot="1" x14ac:dyDescent="0.3">
      <c r="A134" s="566">
        <v>41050100</v>
      </c>
      <c r="B134" s="567" t="s">
        <v>1717</v>
      </c>
      <c r="C134" s="493">
        <f>'d1'!C134-d1П!C134</f>
        <v>8077040</v>
      </c>
      <c r="D134" s="493">
        <f>'d1'!D134-d1П!D134</f>
        <v>8077040</v>
      </c>
      <c r="E134" s="493">
        <f>'d1'!E134-d1П!E134</f>
        <v>0</v>
      </c>
      <c r="F134" s="493">
        <f>'d1'!F134-d1П!F134</f>
        <v>0</v>
      </c>
      <c r="G134" s="492"/>
    </row>
    <row r="135" spans="1:7" s="485" customFormat="1" ht="320.25" thickTop="1" thickBot="1" x14ac:dyDescent="0.3">
      <c r="A135" s="566">
        <v>41050200</v>
      </c>
      <c r="B135" s="567" t="s">
        <v>1691</v>
      </c>
      <c r="C135" s="493">
        <f>'d1'!C135-d1П!C135</f>
        <v>0</v>
      </c>
      <c r="D135" s="493">
        <f>'d1'!D135-d1П!D135</f>
        <v>0</v>
      </c>
      <c r="E135" s="493">
        <f>'d1'!E135-d1П!E135</f>
        <v>0</v>
      </c>
      <c r="F135" s="493">
        <f>'d1'!F135-d1П!F135</f>
        <v>0</v>
      </c>
      <c r="G135" s="492"/>
    </row>
    <row r="136" spans="1:7" ht="307.5" hidden="1" thickTop="1" thickBot="1" x14ac:dyDescent="0.3">
      <c r="A136" s="345">
        <v>41050400</v>
      </c>
      <c r="B136" s="346" t="s">
        <v>1358</v>
      </c>
      <c r="C136" s="343"/>
      <c r="D136" s="347"/>
      <c r="E136" s="347"/>
      <c r="F136" s="347"/>
      <c r="G136" s="103"/>
    </row>
    <row r="137" spans="1:7" ht="218.25" hidden="1" thickTop="1" thickBot="1" x14ac:dyDescent="0.3">
      <c r="A137" s="345">
        <v>41050500</v>
      </c>
      <c r="B137" s="346" t="s">
        <v>1012</v>
      </c>
      <c r="C137" s="343"/>
      <c r="D137" s="347"/>
      <c r="E137" s="347"/>
      <c r="F137" s="347"/>
      <c r="G137" s="103"/>
    </row>
    <row r="138" spans="1:7" ht="307.5" hidden="1" thickTop="1" thickBot="1" x14ac:dyDescent="0.3">
      <c r="A138" s="345">
        <v>41050600</v>
      </c>
      <c r="B138" s="346" t="s">
        <v>1359</v>
      </c>
      <c r="C138" s="343"/>
      <c r="D138" s="347"/>
      <c r="E138" s="347"/>
      <c r="F138" s="347"/>
      <c r="G138" s="103"/>
    </row>
    <row r="139" spans="1:7" ht="116.25" hidden="1" thickTop="1" thickBot="1" x14ac:dyDescent="0.3">
      <c r="A139" s="345">
        <v>41050900</v>
      </c>
      <c r="B139" s="346" t="s">
        <v>1013</v>
      </c>
      <c r="C139" s="343"/>
      <c r="D139" s="347"/>
      <c r="E139" s="347"/>
      <c r="F139" s="347"/>
      <c r="G139" s="103"/>
    </row>
    <row r="140" spans="1:7" s="485" customFormat="1" ht="39.75" thickTop="1" thickBot="1" x14ac:dyDescent="0.3">
      <c r="A140" s="566">
        <v>41051000</v>
      </c>
      <c r="B140" s="567" t="s">
        <v>469</v>
      </c>
      <c r="C140" s="493">
        <f>'d1'!C140-d1П!C140</f>
        <v>4393892</v>
      </c>
      <c r="D140" s="493">
        <f>'d1'!D140-d1П!D140</f>
        <v>4393892</v>
      </c>
      <c r="E140" s="493">
        <f>'d1'!E140-d1П!E140</f>
        <v>0</v>
      </c>
      <c r="F140" s="493">
        <f>'d1'!F140-d1П!F140</f>
        <v>0</v>
      </c>
      <c r="G140" s="492"/>
    </row>
    <row r="141" spans="1:7" ht="39.75" hidden="1" thickTop="1" thickBot="1" x14ac:dyDescent="0.3">
      <c r="A141" s="345">
        <v>41051100</v>
      </c>
      <c r="B141" s="346" t="s">
        <v>1477</v>
      </c>
      <c r="C141" s="493">
        <f>'d1'!C141-d1П!C141</f>
        <v>0</v>
      </c>
      <c r="D141" s="493">
        <f>'d1'!D141-d1П!D141</f>
        <v>0</v>
      </c>
      <c r="E141" s="493">
        <f>'d1'!E141-d1П!E141</f>
        <v>0</v>
      </c>
      <c r="F141" s="493">
        <f>'d1'!F141-d1П!F141</f>
        <v>0</v>
      </c>
      <c r="G141" s="103"/>
    </row>
    <row r="142" spans="1:7" s="485" customFormat="1" ht="52.5" hidden="1" thickTop="1" thickBot="1" x14ac:dyDescent="0.3">
      <c r="A142" s="566">
        <v>41051200</v>
      </c>
      <c r="B142" s="567" t="s">
        <v>1242</v>
      </c>
      <c r="C142" s="493">
        <f>'d1'!C142-d1П!C142</f>
        <v>0</v>
      </c>
      <c r="D142" s="493">
        <f>'d1'!D142-d1П!D142</f>
        <v>0</v>
      </c>
      <c r="E142" s="493">
        <f>'d1'!E142-d1П!E142</f>
        <v>0</v>
      </c>
      <c r="F142" s="493">
        <f>'d1'!F142-d1П!F142</f>
        <v>0</v>
      </c>
      <c r="G142" s="492"/>
    </row>
    <row r="143" spans="1:7" ht="65.25" hidden="1" thickTop="1" thickBot="1" x14ac:dyDescent="0.3">
      <c r="A143" s="345">
        <v>41051400</v>
      </c>
      <c r="B143" s="346" t="s">
        <v>1517</v>
      </c>
      <c r="C143" s="493">
        <f>'d1'!C143-d1П!C143</f>
        <v>0</v>
      </c>
      <c r="D143" s="493">
        <f>'d1'!D143-d1П!D143</f>
        <v>0</v>
      </c>
      <c r="E143" s="493">
        <f>'d1'!E143-d1П!E143</f>
        <v>0</v>
      </c>
      <c r="F143" s="493">
        <f>'d1'!F143-d1П!F143</f>
        <v>0</v>
      </c>
      <c r="G143" s="103"/>
    </row>
    <row r="144" spans="1:7" ht="65.25" hidden="1" thickTop="1" thickBot="1" x14ac:dyDescent="0.3">
      <c r="A144" s="345">
        <v>41051700</v>
      </c>
      <c r="B144" s="346" t="s">
        <v>925</v>
      </c>
      <c r="C144" s="493">
        <f>'d1'!C144-d1П!C144</f>
        <v>0</v>
      </c>
      <c r="D144" s="493">
        <f>'d1'!D144-d1П!D144</f>
        <v>0</v>
      </c>
      <c r="E144" s="493">
        <f>'d1'!E144-d1П!E144</f>
        <v>0</v>
      </c>
      <c r="F144" s="493">
        <f>'d1'!F144-d1П!F144</f>
        <v>0</v>
      </c>
      <c r="G144" s="103"/>
    </row>
    <row r="145" spans="1:10" ht="90.75" hidden="1" thickTop="1" thickBot="1" x14ac:dyDescent="0.3">
      <c r="A145" s="351">
        <v>41056600</v>
      </c>
      <c r="B145" s="352" t="s">
        <v>995</v>
      </c>
      <c r="C145" s="493">
        <f>'d1'!C145-d1П!C145</f>
        <v>0</v>
      </c>
      <c r="D145" s="493">
        <f>'d1'!D145-d1П!D145</f>
        <v>0</v>
      </c>
      <c r="E145" s="493">
        <f>'d1'!E145-d1П!E145</f>
        <v>0</v>
      </c>
      <c r="F145" s="493">
        <f>'d1'!F145-d1П!F145</f>
        <v>0</v>
      </c>
      <c r="G145" s="103"/>
    </row>
    <row r="146" spans="1:10" ht="52.5" hidden="1" thickTop="1" thickBot="1" x14ac:dyDescent="0.25">
      <c r="A146" s="351">
        <v>41055000</v>
      </c>
      <c r="B146" s="352" t="s">
        <v>1014</v>
      </c>
      <c r="C146" s="493">
        <f>'d1'!C146-d1П!C146</f>
        <v>0</v>
      </c>
      <c r="D146" s="493">
        <f>'d1'!D146-d1П!D146</f>
        <v>0</v>
      </c>
      <c r="E146" s="493">
        <f>'d1'!E146-d1П!E146</f>
        <v>0</v>
      </c>
      <c r="F146" s="493">
        <f>'d1'!F146-d1П!F146</f>
        <v>0</v>
      </c>
      <c r="G146" s="104"/>
    </row>
    <row r="147" spans="1:10" ht="27" hidden="1" thickTop="1" thickBot="1" x14ac:dyDescent="0.25">
      <c r="A147" s="351">
        <v>41053600</v>
      </c>
      <c r="B147" s="352" t="s">
        <v>927</v>
      </c>
      <c r="C147" s="493">
        <f>'d1'!C147-d1П!C147</f>
        <v>0</v>
      </c>
      <c r="D147" s="493">
        <f>'d1'!D147-d1П!D147</f>
        <v>0</v>
      </c>
      <c r="E147" s="493">
        <f>'d1'!E147-d1П!E147</f>
        <v>0</v>
      </c>
      <c r="F147" s="493">
        <f>'d1'!F147-d1П!F147</f>
        <v>0</v>
      </c>
      <c r="G147" s="104"/>
    </row>
    <row r="148" spans="1:10" ht="205.5" hidden="1" thickTop="1" thickBot="1" x14ac:dyDescent="0.25">
      <c r="A148" s="351">
        <v>41054200</v>
      </c>
      <c r="B148" s="352" t="s">
        <v>1015</v>
      </c>
      <c r="C148" s="493">
        <f>'d1'!C148-d1П!C148</f>
        <v>0</v>
      </c>
      <c r="D148" s="493">
        <f>'d1'!D148-d1П!D148</f>
        <v>0</v>
      </c>
      <c r="E148" s="493">
        <f>'d1'!E148-d1П!E148</f>
        <v>0</v>
      </c>
      <c r="F148" s="493">
        <f>'d1'!F148-d1П!F148</f>
        <v>0</v>
      </c>
      <c r="G148" s="104"/>
    </row>
    <row r="149" spans="1:10" s="485" customFormat="1" ht="27" thickTop="1" thickBot="1" x14ac:dyDescent="0.25">
      <c r="A149" s="566">
        <v>41053900</v>
      </c>
      <c r="B149" s="567" t="s">
        <v>883</v>
      </c>
      <c r="C149" s="493">
        <f>'d1'!C149-d1П!C149</f>
        <v>271059</v>
      </c>
      <c r="D149" s="493">
        <f>'d1'!D149-d1П!D149</f>
        <v>271059</v>
      </c>
      <c r="E149" s="493">
        <f>'d1'!E149-d1П!E149</f>
        <v>0</v>
      </c>
      <c r="F149" s="493">
        <f>'d1'!F149-d1П!F149</f>
        <v>0</v>
      </c>
      <c r="G149" s="510"/>
    </row>
    <row r="150" spans="1:10" ht="15.75" hidden="1" thickTop="1" thickBot="1" x14ac:dyDescent="0.25">
      <c r="A150" s="345"/>
      <c r="B150" s="565" t="s">
        <v>928</v>
      </c>
      <c r="C150" s="493">
        <f>'d1'!C150-d1П!C150</f>
        <v>0</v>
      </c>
      <c r="D150" s="493">
        <f>'d1'!D150-d1П!D150</f>
        <v>0</v>
      </c>
      <c r="E150" s="493">
        <f>'d1'!E150-d1П!E150</f>
        <v>0</v>
      </c>
      <c r="F150" s="493">
        <f>'d1'!F150-d1П!F150</f>
        <v>0</v>
      </c>
      <c r="G150" s="104"/>
    </row>
    <row r="151" spans="1:10" ht="39.75" thickTop="1" thickBot="1" x14ac:dyDescent="0.25">
      <c r="A151" s="566"/>
      <c r="B151" s="508" t="s">
        <v>884</v>
      </c>
      <c r="C151" s="493">
        <f>'d1'!C151-d1П!C151</f>
        <v>0</v>
      </c>
      <c r="D151" s="493">
        <f>'d1'!D151-d1П!D151</f>
        <v>0</v>
      </c>
      <c r="E151" s="493">
        <f>'d1'!E151-d1П!E151</f>
        <v>0</v>
      </c>
      <c r="F151" s="493">
        <f>'d1'!F151-d1П!F151</f>
        <v>0</v>
      </c>
      <c r="G151" s="104"/>
    </row>
    <row r="152" spans="1:10" ht="52.5" thickTop="1" thickBot="1" x14ac:dyDescent="0.25">
      <c r="A152" s="566"/>
      <c r="B152" s="508" t="s">
        <v>885</v>
      </c>
      <c r="C152" s="493">
        <f>'d1'!C152-d1П!C152</f>
        <v>0</v>
      </c>
      <c r="D152" s="493">
        <f>'d1'!D152-d1П!D152</f>
        <v>0</v>
      </c>
      <c r="E152" s="493">
        <f>'d1'!E152-d1П!E152</f>
        <v>0</v>
      </c>
      <c r="F152" s="493">
        <f>'d1'!F152-d1П!F152</f>
        <v>0</v>
      </c>
      <c r="G152" s="104"/>
    </row>
    <row r="153" spans="1:10" ht="51.75" customHeight="1" thickTop="1" thickBot="1" x14ac:dyDescent="0.25">
      <c r="A153" s="566"/>
      <c r="B153" s="508" t="s">
        <v>886</v>
      </c>
      <c r="C153" s="493">
        <f>'d1'!C153-d1П!C153</f>
        <v>271059</v>
      </c>
      <c r="D153" s="493">
        <f>'d1'!D153-d1П!D153</f>
        <v>271059</v>
      </c>
      <c r="E153" s="493">
        <f>'d1'!E153-d1П!E153</f>
        <v>0</v>
      </c>
      <c r="F153" s="493">
        <f>'d1'!F153-d1П!F153</f>
        <v>0</v>
      </c>
      <c r="G153" s="104"/>
    </row>
    <row r="154" spans="1:10" ht="39.75" hidden="1" thickTop="1" thickBot="1" x14ac:dyDescent="0.25">
      <c r="A154" s="351"/>
      <c r="B154" s="355" t="s">
        <v>1050</v>
      </c>
      <c r="C154" s="493">
        <f>'d1'!C154-d1П!C154</f>
        <v>0</v>
      </c>
      <c r="D154" s="493">
        <f>'d1'!D154-d1П!D154</f>
        <v>0</v>
      </c>
      <c r="E154" s="493">
        <f>'d1'!E154-d1П!E154</f>
        <v>0</v>
      </c>
      <c r="F154" s="493">
        <f>'d1'!F154-d1П!F154</f>
        <v>0</v>
      </c>
      <c r="G154" s="104"/>
    </row>
    <row r="155" spans="1:10" ht="27" hidden="1" thickTop="1" thickBot="1" x14ac:dyDescent="0.25">
      <c r="A155" s="351"/>
      <c r="B155" s="355" t="s">
        <v>1051</v>
      </c>
      <c r="C155" s="493">
        <f>'d1'!C155-d1П!C155</f>
        <v>0</v>
      </c>
      <c r="D155" s="493">
        <f>'d1'!D155-d1П!D155</f>
        <v>0</v>
      </c>
      <c r="E155" s="493">
        <f>'d1'!E155-d1П!E155</f>
        <v>0</v>
      </c>
      <c r="F155" s="493">
        <f>'d1'!F155-d1П!F155</f>
        <v>0</v>
      </c>
      <c r="G155" s="104"/>
    </row>
    <row r="156" spans="1:10" ht="65.25" thickTop="1" thickBot="1" x14ac:dyDescent="0.25">
      <c r="A156" s="566">
        <v>41057700</v>
      </c>
      <c r="B156" s="567" t="s">
        <v>1316</v>
      </c>
      <c r="C156" s="493">
        <f>'d1'!C156-d1П!C156</f>
        <v>0</v>
      </c>
      <c r="D156" s="493">
        <f>'d1'!D156-d1П!D156</f>
        <v>0</v>
      </c>
      <c r="E156" s="493">
        <f>'d1'!E156-d1П!E156</f>
        <v>0</v>
      </c>
      <c r="F156" s="493">
        <f>'d1'!F156-d1П!F156</f>
        <v>0</v>
      </c>
      <c r="G156" s="104"/>
    </row>
    <row r="157" spans="1:10" ht="52.5" hidden="1" thickTop="1" thickBot="1" x14ac:dyDescent="0.25">
      <c r="A157" s="345">
        <v>41059000</v>
      </c>
      <c r="B157" s="346" t="s">
        <v>1339</v>
      </c>
      <c r="C157" s="493">
        <f>'d1'!C157-d1П!C157</f>
        <v>0</v>
      </c>
      <c r="D157" s="493">
        <f>'d1'!D157-d1П!D157</f>
        <v>0</v>
      </c>
      <c r="E157" s="493">
        <f>'d1'!E157-d1П!E157</f>
        <v>0</v>
      </c>
      <c r="F157" s="493">
        <f>'d1'!F157-d1П!F157</f>
        <v>0</v>
      </c>
      <c r="G157" s="104"/>
    </row>
    <row r="158" spans="1:10" ht="90.75" thickTop="1" thickBot="1" x14ac:dyDescent="0.25">
      <c r="A158" s="566">
        <v>41059300</v>
      </c>
      <c r="B158" s="567" t="s">
        <v>1647</v>
      </c>
      <c r="C158" s="493">
        <f>'d1'!C158-d1П!C158</f>
        <v>1592760</v>
      </c>
      <c r="D158" s="493">
        <f>'d1'!D158-d1П!D158</f>
        <v>1592760</v>
      </c>
      <c r="E158" s="493">
        <f>'d1'!E158-d1П!E158</f>
        <v>0</v>
      </c>
      <c r="F158" s="493">
        <f>'d1'!F158-d1П!F158</f>
        <v>0</v>
      </c>
      <c r="G158" s="104"/>
    </row>
    <row r="159" spans="1:10" ht="78" hidden="1" thickTop="1" thickBot="1" x14ac:dyDescent="0.25">
      <c r="A159" s="566">
        <v>41059700</v>
      </c>
      <c r="B159" s="567" t="s">
        <v>1627</v>
      </c>
      <c r="C159" s="493">
        <f>SUM(D159,E159)</f>
        <v>0</v>
      </c>
      <c r="D159" s="568"/>
      <c r="E159" s="568"/>
      <c r="F159" s="568"/>
      <c r="G159" s="104"/>
    </row>
    <row r="160" spans="1:10" ht="33.75" customHeight="1" thickTop="1" thickBot="1" x14ac:dyDescent="0.3">
      <c r="A160" s="571"/>
      <c r="B160" s="572" t="s">
        <v>1006</v>
      </c>
      <c r="C160" s="573">
        <f>SUM(D160,E160)</f>
        <v>540931051</v>
      </c>
      <c r="D160" s="573">
        <f>SUM(D113,D114)</f>
        <v>539881051</v>
      </c>
      <c r="E160" s="573">
        <f>SUM(E113,E114)</f>
        <v>1050000</v>
      </c>
      <c r="F160" s="573">
        <f>SUM(F113,F114)</f>
        <v>250000</v>
      </c>
      <c r="G160" s="519" t="b">
        <f>C160=C153+C152+C151+C142+C140+C118+C112+C109+C108+C105+C104+C100+C99+C98+C97+C94+C93+C92+C91+C89+C88+C87+C85+C81+C80+C79+C76+C75+C74+C73+C72+C69+C65+C64+C63+C60+C59+C58+C56+C55+C53+C51+C50+C49+C48+C47+C46+C45+C44+C43+C42+C39+C38+C36+C34+C31+C29+C28+C25+C23+C22+C21+C20+C18+C125+C159+C131+C127+C158+C130+C156+C119+C135+C134+C83</f>
        <v>1</v>
      </c>
      <c r="H160" s="519" t="b">
        <f>D160=D153+D152+D151+D142+D140+D118+D112+D109+D108+D105+D104+D100+D99+D98+D97+D94+D93+D92+D91+D89+D88+D87+D85+D81+D80+D79+D76+D75+D74+D73+D72+D69+D65+D64+D63+D60+D59+D58+D56+D55+D53+D51+D50+D49+D48+D47+D46+D45+D44+D43+D42+D39+D38+D36+D34+D31+D29+D28+D25+D23+D22+D21+D20+D18+D125+D159+D131+D127+D158+D130+D156+D119+D135+D134+D83</f>
        <v>1</v>
      </c>
      <c r="I160" s="519" t="b">
        <f>E160=E153+E152+E151+E142+E140+E118+E112+E109+E108+E105+E104+E100+E99+E98+E97+E94+E93+E92+E91+E89+E88+E87+E85+E81+E80+E79+E76+E75+E74+E73+E72+E69+E65+E64+E63+E60+E59+E58+E56+E55+E53+E51+E50+E49+E48+E47+E46+E45+E44+E43+E42+E39+E38+E36+E34+E31+E29+E28+E25+E23+E22+E21+E20+E18+E125+E159+E131+E127+E158+E130+E156+E119+E135+E134+E83</f>
        <v>1</v>
      </c>
      <c r="J160" s="519" t="b">
        <f>F160=F153+F152+F151+F142+F140+F118+F112+F109+F108+F105+F104+F100+F99+F98+F97+F94+F93+F92+F91+F89+F88+F87+F85+F81+F80+F79+F76+F75+F74+F73+F72+F69+F65+F64+F63+F60+F59+F58+F56+F55+F53+F51+F50+F49+F48+F47+F46+F45+F44+F43+F42+F39+F38+F36+F34+F31+F29+F28+F25+F23+F22+F21+F20+F18+F125+F159+F131+F127+F158+F130+F156+F119+F135+F134+F83</f>
        <v>1</v>
      </c>
    </row>
    <row r="161" spans="1:7" ht="21" customHeight="1" thickTop="1" x14ac:dyDescent="0.25">
      <c r="B161" s="110"/>
      <c r="G161" s="519" t="b">
        <f>((((3737956029+15000000+522248400-'d2'!C38-'d2'!C22)+65484004)+2211460+135179398.52)+298753591.53+7848526.67+1799967)+540931051=C160</f>
        <v>0</v>
      </c>
    </row>
    <row r="162" spans="1:7" ht="15.75" hidden="1" x14ac:dyDescent="0.2">
      <c r="B162" s="338" t="s">
        <v>1649</v>
      </c>
      <c r="C162"/>
      <c r="D162"/>
      <c r="E162" s="339" t="s">
        <v>1650</v>
      </c>
      <c r="F162" s="112"/>
      <c r="G162" s="111"/>
    </row>
    <row r="163" spans="1:7" ht="15.75" x14ac:dyDescent="0.2">
      <c r="B163" s="338" t="s">
        <v>1376</v>
      </c>
      <c r="C163"/>
      <c r="D163"/>
      <c r="E163" s="339" t="s">
        <v>1377</v>
      </c>
      <c r="F163" s="112"/>
      <c r="G163" s="111"/>
    </row>
    <row r="164" spans="1:7" ht="9" customHeight="1" x14ac:dyDescent="0.25">
      <c r="B164" s="1"/>
      <c r="C164" s="485"/>
      <c r="D164" s="485"/>
      <c r="E164" s="1"/>
    </row>
    <row r="165" spans="1:7" ht="15.75" x14ac:dyDescent="0.25">
      <c r="A165" s="113"/>
      <c r="B165" s="430" t="s">
        <v>516</v>
      </c>
      <c r="C165" s="1"/>
      <c r="D165" s="1"/>
      <c r="E165" s="1" t="s">
        <v>1290</v>
      </c>
      <c r="F165" s="113"/>
    </row>
    <row r="168" spans="1:7" x14ac:dyDescent="0.2">
      <c r="C168" s="111"/>
      <c r="D168" s="111"/>
      <c r="E168" s="111"/>
      <c r="F168" s="111"/>
    </row>
  </sheetData>
  <mergeCells count="13">
    <mergeCell ref="A6:F6"/>
    <mergeCell ref="D1:G1"/>
    <mergeCell ref="D2:G2"/>
    <mergeCell ref="D3:G3"/>
    <mergeCell ref="A4:E4"/>
    <mergeCell ref="A5:F5"/>
    <mergeCell ref="A8:F8"/>
    <mergeCell ref="A9:F9"/>
    <mergeCell ref="A12:A13"/>
    <mergeCell ref="B12:B13"/>
    <mergeCell ref="C12:C13"/>
    <mergeCell ref="D12:D13"/>
    <mergeCell ref="E12:F12"/>
  </mergeCells>
  <hyperlinks>
    <hyperlink ref="B102" location="_ftn1" display="_ftn1" xr:uid="{00000000-0004-0000-0A00-000000000000}"/>
    <hyperlink ref="B101" location="_ftn1" display="_ftn1" xr:uid="{00000000-0004-0000-0A00-000001000000}"/>
    <hyperlink ref="B88" location="_ftn1" display="_ftn1" xr:uid="{00000000-0004-0000-0A00-000002000000}"/>
    <hyperlink ref="B20" location="_ftn1" display="_ftn1" xr:uid="{00000000-0004-0000-0A00-000003000000}"/>
    <hyperlink ref="B19" location="_ftn1" display="_ftn1" xr:uid="{00000000-0004-0000-0A00-000004000000}"/>
    <hyperlink ref="B64" location="_ftn1" display="_ftn1" xr:uid="{00000000-0004-0000-0A00-000005000000}"/>
    <hyperlink ref="B106" location="_ftn1" display="_ftn1" xr:uid="{00000000-0004-0000-0A00-000006000000}"/>
    <hyperlink ref="B107" location="_ftn1" display="_ftn1" xr:uid="{00000000-0004-0000-0A00-000007000000}"/>
    <hyperlink ref="B72" location="_ftn1" display="_ftn1" xr:uid="{00000000-0004-0000-0A00-000008000000}"/>
  </hyperlinks>
  <printOptions horizontalCentered="1"/>
  <pageMargins left="0.35433070866141736" right="0.15748031496062992" top="0.59055118110236227" bottom="0.51181102362204722" header="0.51181102362204722" footer="0.51181102362204722"/>
  <pageSetup paperSize="9" scale="86" fitToHeight="0" orientation="portrait" r:id="rId1"/>
  <headerFooter alignWithMargins="0"/>
  <rowBreaks count="1" manualBreakCount="1">
    <brk id="84"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sheetPr>
  <dimension ref="A1:T469"/>
  <sheetViews>
    <sheetView view="pageBreakPreview" zoomScale="25" zoomScaleNormal="25" zoomScaleSheetLayoutView="25" zoomScalePageLayoutView="10" workbookViewId="0">
      <pane ySplit="14" topLeftCell="A139" activePane="bottomLeft" state="frozen"/>
      <selection activeCell="B158" sqref="B158"/>
      <selection pane="bottomLeft" activeCell="B158" sqref="B158"/>
    </sheetView>
  </sheetViews>
  <sheetFormatPr defaultColWidth="9.140625" defaultRowHeight="12.75" x14ac:dyDescent="0.2"/>
  <cols>
    <col min="1" max="1" width="48" style="18" customWidth="1"/>
    <col min="2" max="2" width="52.5703125" style="18" customWidth="1"/>
    <col min="3" max="3" width="65.7109375" style="18" customWidth="1"/>
    <col min="4" max="4" width="255.57031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90" t="s">
        <v>488</v>
      </c>
      <c r="O1" s="791"/>
      <c r="P1" s="791"/>
      <c r="Q1" s="791"/>
    </row>
    <row r="2" spans="1:18" ht="45.75" x14ac:dyDescent="0.2">
      <c r="A2" s="76"/>
      <c r="B2" s="76"/>
      <c r="C2" s="76"/>
      <c r="D2" s="76"/>
      <c r="E2" s="77"/>
      <c r="F2" s="78"/>
      <c r="G2" s="77"/>
      <c r="H2" s="77"/>
      <c r="I2" s="77"/>
      <c r="J2" s="77"/>
      <c r="K2" s="77"/>
      <c r="L2" s="77"/>
      <c r="M2" s="77"/>
      <c r="N2" s="790" t="s">
        <v>1606</v>
      </c>
      <c r="O2" s="792"/>
      <c r="P2" s="792"/>
      <c r="Q2" s="792"/>
    </row>
    <row r="3" spans="1:18" ht="40.700000000000003" customHeight="1" x14ac:dyDescent="0.2">
      <c r="A3" s="76"/>
      <c r="B3" s="76"/>
      <c r="C3" s="76"/>
      <c r="D3" s="76"/>
      <c r="E3" s="77"/>
      <c r="F3" s="78"/>
      <c r="G3" s="77"/>
      <c r="H3" s="77"/>
      <c r="I3" s="77"/>
      <c r="J3" s="77"/>
      <c r="K3" s="77"/>
      <c r="L3" s="77"/>
      <c r="M3" s="77"/>
      <c r="N3" s="77"/>
      <c r="O3" s="790"/>
      <c r="P3" s="793"/>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94" t="s">
        <v>558</v>
      </c>
      <c r="B5" s="794"/>
      <c r="C5" s="794"/>
      <c r="D5" s="794"/>
      <c r="E5" s="794"/>
      <c r="F5" s="794"/>
      <c r="G5" s="794"/>
      <c r="H5" s="794"/>
      <c r="I5" s="794"/>
      <c r="J5" s="794"/>
      <c r="K5" s="794"/>
      <c r="L5" s="794"/>
      <c r="M5" s="794"/>
      <c r="N5" s="794"/>
      <c r="O5" s="794"/>
      <c r="P5" s="794"/>
      <c r="Q5" s="80"/>
    </row>
    <row r="6" spans="1:18" ht="45" x14ac:dyDescent="0.2">
      <c r="A6" s="794" t="s">
        <v>1547</v>
      </c>
      <c r="B6" s="794"/>
      <c r="C6" s="794"/>
      <c r="D6" s="794"/>
      <c r="E6" s="794"/>
      <c r="F6" s="794"/>
      <c r="G6" s="794"/>
      <c r="H6" s="794"/>
      <c r="I6" s="794"/>
      <c r="J6" s="794"/>
      <c r="K6" s="794"/>
      <c r="L6" s="794"/>
      <c r="M6" s="794"/>
      <c r="N6" s="794"/>
      <c r="O6" s="794"/>
      <c r="P6" s="794"/>
      <c r="Q6" s="80"/>
    </row>
    <row r="7" spans="1:18" ht="45" x14ac:dyDescent="0.2">
      <c r="A7" s="77"/>
      <c r="B7" s="77"/>
      <c r="C7" s="77"/>
      <c r="D7" s="77"/>
      <c r="E7" s="77"/>
      <c r="F7" s="77"/>
      <c r="G7" s="77"/>
      <c r="H7" s="77"/>
      <c r="I7" s="77"/>
      <c r="J7" s="77"/>
      <c r="K7" s="77"/>
      <c r="L7" s="77"/>
      <c r="M7" s="77"/>
      <c r="N7" s="77"/>
      <c r="O7" s="77"/>
      <c r="P7" s="77"/>
      <c r="Q7" s="80"/>
    </row>
    <row r="8" spans="1:18" ht="45.75" x14ac:dyDescent="0.65">
      <c r="A8" s="795">
        <v>2256400000</v>
      </c>
      <c r="B8" s="796"/>
      <c r="C8" s="77"/>
      <c r="D8" s="365"/>
      <c r="E8" s="365"/>
      <c r="F8" s="365"/>
      <c r="G8" s="365"/>
      <c r="H8" s="365"/>
      <c r="I8" s="365"/>
      <c r="J8" s="365"/>
      <c r="K8" s="365"/>
      <c r="L8" s="365"/>
      <c r="M8" s="365"/>
      <c r="N8" s="365"/>
      <c r="O8" s="365"/>
      <c r="P8" s="365"/>
      <c r="Q8" s="13"/>
    </row>
    <row r="9" spans="1:18" ht="45.75" x14ac:dyDescent="0.2">
      <c r="A9" s="800" t="s">
        <v>485</v>
      </c>
      <c r="B9" s="801"/>
      <c r="C9" s="77"/>
      <c r="D9" s="365"/>
      <c r="E9" s="365"/>
      <c r="F9" s="365"/>
      <c r="G9" s="365"/>
      <c r="H9" s="365"/>
      <c r="I9" s="365"/>
      <c r="J9" s="365"/>
      <c r="K9" s="365"/>
      <c r="L9" s="365"/>
      <c r="M9" s="365"/>
      <c r="N9" s="365"/>
      <c r="O9" s="365"/>
      <c r="P9" s="365"/>
      <c r="Q9" s="13"/>
    </row>
    <row r="10" spans="1:18" ht="53.45" customHeight="1" thickBot="1" x14ac:dyDescent="0.25">
      <c r="A10" s="77"/>
      <c r="B10" s="77"/>
      <c r="C10" s="77"/>
      <c r="D10" s="365"/>
      <c r="E10" s="365"/>
      <c r="F10" s="366"/>
      <c r="G10" s="365"/>
      <c r="H10" s="365"/>
      <c r="I10" s="365"/>
      <c r="J10" s="365"/>
      <c r="K10" s="365"/>
      <c r="L10" s="365"/>
      <c r="M10" s="365"/>
      <c r="N10" s="365"/>
      <c r="O10" s="365"/>
      <c r="P10" s="300" t="s">
        <v>400</v>
      </c>
      <c r="Q10" s="13"/>
    </row>
    <row r="11" spans="1:18" ht="62.45" customHeight="1" thickTop="1" thickBot="1" x14ac:dyDescent="0.25">
      <c r="A11" s="799" t="s">
        <v>486</v>
      </c>
      <c r="B11" s="799" t="s">
        <v>487</v>
      </c>
      <c r="C11" s="799" t="s">
        <v>386</v>
      </c>
      <c r="D11" s="799" t="s">
        <v>566</v>
      </c>
      <c r="E11" s="797" t="s">
        <v>12</v>
      </c>
      <c r="F11" s="797"/>
      <c r="G11" s="797"/>
      <c r="H11" s="797"/>
      <c r="I11" s="797"/>
      <c r="J11" s="797" t="s">
        <v>52</v>
      </c>
      <c r="K11" s="797"/>
      <c r="L11" s="797"/>
      <c r="M11" s="797"/>
      <c r="N11" s="797"/>
      <c r="O11" s="798"/>
      <c r="P11" s="797" t="s">
        <v>11</v>
      </c>
      <c r="Q11" s="20"/>
    </row>
    <row r="12" spans="1:18" ht="96" customHeight="1" thickTop="1" thickBot="1" x14ac:dyDescent="0.25">
      <c r="A12" s="797"/>
      <c r="B12" s="802"/>
      <c r="C12" s="802"/>
      <c r="D12" s="797"/>
      <c r="E12" s="799" t="s">
        <v>380</v>
      </c>
      <c r="F12" s="799" t="s">
        <v>53</v>
      </c>
      <c r="G12" s="799" t="s">
        <v>13</v>
      </c>
      <c r="H12" s="799"/>
      <c r="I12" s="799" t="s">
        <v>55</v>
      </c>
      <c r="J12" s="799" t="s">
        <v>380</v>
      </c>
      <c r="K12" s="799" t="s">
        <v>381</v>
      </c>
      <c r="L12" s="799" t="s">
        <v>53</v>
      </c>
      <c r="M12" s="799" t="s">
        <v>13</v>
      </c>
      <c r="N12" s="799"/>
      <c r="O12" s="799" t="s">
        <v>55</v>
      </c>
      <c r="P12" s="797"/>
      <c r="Q12" s="20"/>
    </row>
    <row r="13" spans="1:18" ht="328.7" customHeight="1" thickTop="1" thickBot="1" x14ac:dyDescent="0.25">
      <c r="A13" s="802"/>
      <c r="B13" s="802"/>
      <c r="C13" s="802"/>
      <c r="D13" s="802"/>
      <c r="E13" s="799"/>
      <c r="F13" s="799"/>
      <c r="G13" s="301" t="s">
        <v>54</v>
      </c>
      <c r="H13" s="301" t="s">
        <v>15</v>
      </c>
      <c r="I13" s="799"/>
      <c r="J13" s="799"/>
      <c r="K13" s="799"/>
      <c r="L13" s="799"/>
      <c r="M13" s="301" t="s">
        <v>54</v>
      </c>
      <c r="N13" s="301" t="s">
        <v>15</v>
      </c>
      <c r="O13" s="799"/>
      <c r="P13" s="797"/>
      <c r="Q13" s="20"/>
    </row>
    <row r="14" spans="1:18" s="24" customFormat="1" ht="47.25" thickTop="1" thickBot="1" x14ac:dyDescent="0.25">
      <c r="A14" s="298" t="s">
        <v>2</v>
      </c>
      <c r="B14" s="298" t="s">
        <v>3</v>
      </c>
      <c r="C14" s="298" t="s">
        <v>14</v>
      </c>
      <c r="D14" s="298" t="s">
        <v>5</v>
      </c>
      <c r="E14" s="298" t="s">
        <v>388</v>
      </c>
      <c r="F14" s="298" t="s">
        <v>389</v>
      </c>
      <c r="G14" s="298" t="s">
        <v>390</v>
      </c>
      <c r="H14" s="298" t="s">
        <v>391</v>
      </c>
      <c r="I14" s="298" t="s">
        <v>392</v>
      </c>
      <c r="J14" s="298" t="s">
        <v>393</v>
      </c>
      <c r="K14" s="298" t="s">
        <v>394</v>
      </c>
      <c r="L14" s="298" t="s">
        <v>395</v>
      </c>
      <c r="M14" s="298" t="s">
        <v>396</v>
      </c>
      <c r="N14" s="298" t="s">
        <v>397</v>
      </c>
      <c r="O14" s="298" t="s">
        <v>398</v>
      </c>
      <c r="P14" s="298" t="s">
        <v>399</v>
      </c>
      <c r="Q14" s="124"/>
      <c r="R14" s="23"/>
    </row>
    <row r="15" spans="1:18" s="24" customFormat="1" ht="120" customHeight="1" thickTop="1" thickBot="1" x14ac:dyDescent="0.25">
      <c r="A15" s="624" t="s">
        <v>147</v>
      </c>
      <c r="B15" s="624"/>
      <c r="C15" s="624"/>
      <c r="D15" s="625" t="s">
        <v>149</v>
      </c>
      <c r="E15" s="626">
        <f>E16</f>
        <v>332724724.87</v>
      </c>
      <c r="F15" s="627">
        <f t="shared" ref="F15:N15" si="0">F16</f>
        <v>332724724.87</v>
      </c>
      <c r="G15" s="627">
        <f t="shared" si="0"/>
        <v>115015428</v>
      </c>
      <c r="H15" s="627">
        <f t="shared" si="0"/>
        <v>6091100</v>
      </c>
      <c r="I15" s="627">
        <f t="shared" si="0"/>
        <v>0</v>
      </c>
      <c r="J15" s="626">
        <f t="shared" si="0"/>
        <v>195441074.09999999</v>
      </c>
      <c r="K15" s="627">
        <f t="shared" si="0"/>
        <v>182999917.13</v>
      </c>
      <c r="L15" s="627">
        <f t="shared" si="0"/>
        <v>12291156.969999999</v>
      </c>
      <c r="M15" s="627">
        <f t="shared" si="0"/>
        <v>0</v>
      </c>
      <c r="N15" s="627">
        <f t="shared" si="0"/>
        <v>0</v>
      </c>
      <c r="O15" s="626">
        <f>O16</f>
        <v>183149917.13</v>
      </c>
      <c r="P15" s="627">
        <f t="shared" ref="P15" si="1">P16</f>
        <v>528165798.97000003</v>
      </c>
      <c r="Q15" s="25"/>
      <c r="R15" s="25"/>
    </row>
    <row r="16" spans="1:18" s="24" customFormat="1" ht="120" customHeight="1" thickTop="1" thickBot="1" x14ac:dyDescent="0.25">
      <c r="A16" s="588" t="s">
        <v>148</v>
      </c>
      <c r="B16" s="588"/>
      <c r="C16" s="588"/>
      <c r="D16" s="589" t="s">
        <v>150</v>
      </c>
      <c r="E16" s="590">
        <f>E17+E27+E37+E43+E22</f>
        <v>332724724.87</v>
      </c>
      <c r="F16" s="590">
        <f>F17+F27+F37+F43+F22</f>
        <v>332724724.87</v>
      </c>
      <c r="G16" s="590">
        <f>G17+G27+G37+G43+G22</f>
        <v>115015428</v>
      </c>
      <c r="H16" s="590">
        <f>H17+H27+H37+H43+H22</f>
        <v>6091100</v>
      </c>
      <c r="I16" s="590">
        <f>I17+I27+I37+I43+I22</f>
        <v>0</v>
      </c>
      <c r="J16" s="590">
        <f>L16+O16</f>
        <v>195441074.09999999</v>
      </c>
      <c r="K16" s="590">
        <f>K17+K27+K37+K43+K22</f>
        <v>182999917.13</v>
      </c>
      <c r="L16" s="590">
        <f>L17+L27+L37+L43+L22</f>
        <v>12291156.969999999</v>
      </c>
      <c r="M16" s="590">
        <f>M17+M27+M37+M43+M22</f>
        <v>0</v>
      </c>
      <c r="N16" s="590">
        <f>N17+N27+N37+N43+N22</f>
        <v>0</v>
      </c>
      <c r="O16" s="590">
        <f>O17+O27+O37+O43+O22</f>
        <v>183149917.13</v>
      </c>
      <c r="P16" s="590">
        <f>E16+J16</f>
        <v>528165798.97000003</v>
      </c>
      <c r="Q16" s="474" t="b">
        <f>P16=P18+P21+P26+P29+P33+P35+P36+P39+P40+P42+P45+P46+P47+P24</f>
        <v>1</v>
      </c>
      <c r="R16" s="26"/>
    </row>
    <row r="17" spans="1:18" s="28" customFormat="1" ht="47.25" thickTop="1" thickBot="1" x14ac:dyDescent="0.25">
      <c r="A17" s="298" t="s">
        <v>671</v>
      </c>
      <c r="B17" s="298" t="s">
        <v>672</v>
      </c>
      <c r="C17" s="298"/>
      <c r="D17" s="298" t="s">
        <v>673</v>
      </c>
      <c r="E17" s="310">
        <f>SUM(E18:E21)</f>
        <v>177150830</v>
      </c>
      <c r="F17" s="310">
        <f>SUM(F18:F21)</f>
        <v>177150830</v>
      </c>
      <c r="G17" s="310">
        <f t="shared" ref="G17:P17" si="2">SUM(G18:G21)</f>
        <v>115015428</v>
      </c>
      <c r="H17" s="310">
        <f t="shared" si="2"/>
        <v>6091100</v>
      </c>
      <c r="I17" s="310">
        <f t="shared" si="2"/>
        <v>0</v>
      </c>
      <c r="J17" s="310">
        <f t="shared" si="2"/>
        <v>2395500</v>
      </c>
      <c r="K17" s="310">
        <f t="shared" si="2"/>
        <v>2395500</v>
      </c>
      <c r="L17" s="310">
        <f t="shared" si="2"/>
        <v>0</v>
      </c>
      <c r="M17" s="310">
        <f t="shared" si="2"/>
        <v>0</v>
      </c>
      <c r="N17" s="310">
        <f t="shared" si="2"/>
        <v>0</v>
      </c>
      <c r="O17" s="310">
        <f t="shared" si="2"/>
        <v>2395500</v>
      </c>
      <c r="P17" s="310">
        <f t="shared" si="2"/>
        <v>179546330</v>
      </c>
      <c r="Q17" s="31"/>
      <c r="R17" s="27"/>
    </row>
    <row r="18" spans="1:18" ht="173.25" customHeight="1" thickTop="1" thickBot="1" x14ac:dyDescent="0.25">
      <c r="A18" s="101" t="s">
        <v>231</v>
      </c>
      <c r="B18" s="101" t="s">
        <v>232</v>
      </c>
      <c r="C18" s="101" t="s">
        <v>233</v>
      </c>
      <c r="D18" s="101" t="s">
        <v>230</v>
      </c>
      <c r="E18" s="310">
        <f t="shared" ref="E18:E47" si="3">F18</f>
        <v>155105830</v>
      </c>
      <c r="F18" s="308">
        <f>((145451830-200000-1357000)+1048000)+8196800+1803200+50000+113000</f>
        <v>155105830</v>
      </c>
      <c r="G18" s="308">
        <f>(106818628)+8196800</f>
        <v>115015428</v>
      </c>
      <c r="H18" s="308">
        <f>(2700000+100000+2720000+267000+74100)+230000</f>
        <v>6091100</v>
      </c>
      <c r="I18" s="308"/>
      <c r="J18" s="310">
        <f t="shared" ref="J18:J33" si="4">L18+O18</f>
        <v>2395500</v>
      </c>
      <c r="K18" s="308">
        <f>((200000+1357000)+50000)+788500</f>
        <v>2395500</v>
      </c>
      <c r="L18" s="421"/>
      <c r="M18" s="615"/>
      <c r="N18" s="615"/>
      <c r="O18" s="422">
        <f t="shared" ref="O18:O33" si="5">K18</f>
        <v>2395500</v>
      </c>
      <c r="P18" s="310">
        <f>+J18+E18</f>
        <v>157501330</v>
      </c>
      <c r="Q18" s="131"/>
      <c r="R18" s="29"/>
    </row>
    <row r="19" spans="1:18" ht="93" hidden="1" thickTop="1" thickBot="1" x14ac:dyDescent="0.25">
      <c r="A19" s="126" t="s">
        <v>577</v>
      </c>
      <c r="B19" s="126" t="s">
        <v>235</v>
      </c>
      <c r="C19" s="126" t="s">
        <v>233</v>
      </c>
      <c r="D19" s="126" t="s">
        <v>234</v>
      </c>
      <c r="E19" s="125">
        <f t="shared" si="3"/>
        <v>0</v>
      </c>
      <c r="F19" s="127"/>
      <c r="G19" s="127"/>
      <c r="H19" s="127"/>
      <c r="I19" s="127"/>
      <c r="J19" s="125">
        <f t="shared" si="4"/>
        <v>0</v>
      </c>
      <c r="K19" s="127"/>
      <c r="L19" s="128"/>
      <c r="M19" s="129"/>
      <c r="N19" s="129"/>
      <c r="O19" s="130">
        <f t="shared" si="5"/>
        <v>0</v>
      </c>
      <c r="P19" s="125">
        <f>+J19+E19</f>
        <v>0</v>
      </c>
      <c r="Q19" s="131"/>
      <c r="R19" s="29"/>
    </row>
    <row r="20" spans="1:18" ht="93" hidden="1" thickTop="1" thickBot="1" x14ac:dyDescent="0.25">
      <c r="A20" s="126" t="s">
        <v>615</v>
      </c>
      <c r="B20" s="126" t="s">
        <v>358</v>
      </c>
      <c r="C20" s="126" t="s">
        <v>616</v>
      </c>
      <c r="D20" s="126" t="s">
        <v>617</v>
      </c>
      <c r="E20" s="125">
        <f t="shared" si="3"/>
        <v>0</v>
      </c>
      <c r="F20" s="127">
        <v>0</v>
      </c>
      <c r="G20" s="127"/>
      <c r="H20" s="127"/>
      <c r="I20" s="127"/>
      <c r="J20" s="125">
        <f t="shared" si="4"/>
        <v>0</v>
      </c>
      <c r="K20" s="127"/>
      <c r="L20" s="128"/>
      <c r="M20" s="129"/>
      <c r="N20" s="129"/>
      <c r="O20" s="130">
        <f t="shared" si="5"/>
        <v>0</v>
      </c>
      <c r="P20" s="125">
        <f>+J20+E20</f>
        <v>0</v>
      </c>
      <c r="Q20" s="131"/>
      <c r="R20" s="30"/>
    </row>
    <row r="21" spans="1:18" ht="88.5" customHeight="1" thickTop="1" thickBot="1" x14ac:dyDescent="0.25">
      <c r="A21" s="101" t="s">
        <v>245</v>
      </c>
      <c r="B21" s="101" t="s">
        <v>43</v>
      </c>
      <c r="C21" s="101" t="s">
        <v>42</v>
      </c>
      <c r="D21" s="101" t="s">
        <v>246</v>
      </c>
      <c r="E21" s="310">
        <f t="shared" si="3"/>
        <v>22045000</v>
      </c>
      <c r="F21" s="425">
        <f>((29775200)-7896400)+166200</f>
        <v>22045000</v>
      </c>
      <c r="G21" s="425"/>
      <c r="H21" s="425"/>
      <c r="I21" s="425"/>
      <c r="J21" s="310">
        <f t="shared" si="4"/>
        <v>0</v>
      </c>
      <c r="K21" s="425"/>
      <c r="L21" s="425"/>
      <c r="M21" s="425"/>
      <c r="N21" s="425"/>
      <c r="O21" s="422">
        <f t="shared" si="5"/>
        <v>0</v>
      </c>
      <c r="P21" s="310">
        <f>E21+J21</f>
        <v>22045000</v>
      </c>
      <c r="Q21" s="131"/>
      <c r="R21" s="30"/>
    </row>
    <row r="22" spans="1:18" ht="75.75" customHeight="1" thickTop="1" thickBot="1" x14ac:dyDescent="0.25">
      <c r="A22" s="298" t="s">
        <v>1501</v>
      </c>
      <c r="B22" s="298" t="s">
        <v>698</v>
      </c>
      <c r="C22" s="298"/>
      <c r="D22" s="298" t="s">
        <v>699</v>
      </c>
      <c r="E22" s="310">
        <f t="shared" ref="E22:P22" si="6">E25+E23</f>
        <v>6470389</v>
      </c>
      <c r="F22" s="310">
        <f t="shared" si="6"/>
        <v>6470389</v>
      </c>
      <c r="G22" s="310">
        <f t="shared" si="6"/>
        <v>0</v>
      </c>
      <c r="H22" s="310">
        <f t="shared" si="6"/>
        <v>0</v>
      </c>
      <c r="I22" s="310">
        <f t="shared" si="6"/>
        <v>0</v>
      </c>
      <c r="J22" s="310">
        <f t="shared" si="6"/>
        <v>504000</v>
      </c>
      <c r="K22" s="310">
        <f t="shared" si="6"/>
        <v>504000</v>
      </c>
      <c r="L22" s="310">
        <f t="shared" si="6"/>
        <v>0</v>
      </c>
      <c r="M22" s="310">
        <f t="shared" si="6"/>
        <v>0</v>
      </c>
      <c r="N22" s="310">
        <f t="shared" si="6"/>
        <v>0</v>
      </c>
      <c r="O22" s="310">
        <f t="shared" si="6"/>
        <v>504000</v>
      </c>
      <c r="P22" s="310">
        <f t="shared" si="6"/>
        <v>6974389</v>
      </c>
      <c r="Q22" s="131"/>
      <c r="R22" s="30"/>
    </row>
    <row r="23" spans="1:18" ht="79.5" customHeight="1" thickTop="1" thickBot="1" x14ac:dyDescent="0.25">
      <c r="A23" s="598" t="s">
        <v>1646</v>
      </c>
      <c r="B23" s="598" t="s">
        <v>723</v>
      </c>
      <c r="C23" s="598"/>
      <c r="D23" s="598" t="s">
        <v>724</v>
      </c>
      <c r="E23" s="599">
        <f>E24</f>
        <v>1862460</v>
      </c>
      <c r="F23" s="599">
        <f t="shared" ref="F23:P25" si="7">F24</f>
        <v>1862460</v>
      </c>
      <c r="G23" s="599">
        <f t="shared" si="7"/>
        <v>0</v>
      </c>
      <c r="H23" s="599">
        <f t="shared" si="7"/>
        <v>0</v>
      </c>
      <c r="I23" s="599">
        <f t="shared" si="7"/>
        <v>0</v>
      </c>
      <c r="J23" s="599">
        <f t="shared" si="7"/>
        <v>0</v>
      </c>
      <c r="K23" s="599">
        <f t="shared" si="7"/>
        <v>0</v>
      </c>
      <c r="L23" s="599">
        <f t="shared" si="7"/>
        <v>0</v>
      </c>
      <c r="M23" s="599">
        <f t="shared" si="7"/>
        <v>0</v>
      </c>
      <c r="N23" s="599">
        <f t="shared" si="7"/>
        <v>0</v>
      </c>
      <c r="O23" s="599">
        <f t="shared" si="7"/>
        <v>0</v>
      </c>
      <c r="P23" s="599">
        <f t="shared" si="7"/>
        <v>1862460</v>
      </c>
      <c r="Q23" s="131"/>
      <c r="R23" s="30"/>
    </row>
    <row r="24" spans="1:18" ht="172.5" customHeight="1" thickTop="1" thickBot="1" x14ac:dyDescent="0.25">
      <c r="A24" s="101" t="s">
        <v>1643</v>
      </c>
      <c r="B24" s="101" t="s">
        <v>1644</v>
      </c>
      <c r="C24" s="101" t="s">
        <v>204</v>
      </c>
      <c r="D24" s="600" t="s">
        <v>1645</v>
      </c>
      <c r="E24" s="310">
        <f t="shared" ref="E24:E26" si="8">F24</f>
        <v>1862460</v>
      </c>
      <c r="F24" s="425">
        <f>(2211460)-349000</f>
        <v>1862460</v>
      </c>
      <c r="G24" s="308"/>
      <c r="H24" s="308"/>
      <c r="I24" s="425"/>
      <c r="J24" s="310">
        <f t="shared" ref="J24:J26" si="9">L24+O24</f>
        <v>0</v>
      </c>
      <c r="K24" s="425"/>
      <c r="L24" s="425"/>
      <c r="M24" s="425"/>
      <c r="N24" s="425"/>
      <c r="O24" s="422"/>
      <c r="P24" s="310">
        <f t="shared" ref="P24:P26" si="10">E24+J24</f>
        <v>1862460</v>
      </c>
      <c r="Q24" s="131"/>
      <c r="R24" s="30"/>
    </row>
    <row r="25" spans="1:18" ht="69.75" customHeight="1" thickTop="1" thickBot="1" x14ac:dyDescent="0.25">
      <c r="A25" s="598" t="s">
        <v>1502</v>
      </c>
      <c r="B25" s="598" t="s">
        <v>726</v>
      </c>
      <c r="C25" s="598"/>
      <c r="D25" s="598" t="s">
        <v>727</v>
      </c>
      <c r="E25" s="599">
        <f>E26</f>
        <v>4607929</v>
      </c>
      <c r="F25" s="599">
        <f t="shared" si="7"/>
        <v>4607929</v>
      </c>
      <c r="G25" s="599">
        <f t="shared" si="7"/>
        <v>0</v>
      </c>
      <c r="H25" s="599">
        <f t="shared" si="7"/>
        <v>0</v>
      </c>
      <c r="I25" s="599">
        <f t="shared" si="7"/>
        <v>0</v>
      </c>
      <c r="J25" s="599">
        <f t="shared" si="7"/>
        <v>504000</v>
      </c>
      <c r="K25" s="599">
        <f t="shared" si="7"/>
        <v>504000</v>
      </c>
      <c r="L25" s="599">
        <f t="shared" si="7"/>
        <v>0</v>
      </c>
      <c r="M25" s="599">
        <f t="shared" si="7"/>
        <v>0</v>
      </c>
      <c r="N25" s="599">
        <f t="shared" si="7"/>
        <v>0</v>
      </c>
      <c r="O25" s="599">
        <f t="shared" si="7"/>
        <v>504000</v>
      </c>
      <c r="P25" s="599">
        <f t="shared" si="7"/>
        <v>5111929</v>
      </c>
      <c r="Q25" s="131"/>
      <c r="R25" s="30"/>
    </row>
    <row r="26" spans="1:18" ht="124.5" customHeight="1" thickTop="1" thickBot="1" x14ac:dyDescent="0.25">
      <c r="A26" s="101" t="s">
        <v>1503</v>
      </c>
      <c r="B26" s="101" t="s">
        <v>327</v>
      </c>
      <c r="C26" s="101" t="s">
        <v>190</v>
      </c>
      <c r="D26" s="600" t="s">
        <v>1621</v>
      </c>
      <c r="E26" s="310">
        <f t="shared" si="8"/>
        <v>4607929</v>
      </c>
      <c r="F26" s="425">
        <f>((4585029-425000)+200000)+247900</f>
        <v>4607929</v>
      </c>
      <c r="G26" s="308"/>
      <c r="H26" s="308"/>
      <c r="I26" s="425"/>
      <c r="J26" s="310">
        <f t="shared" si="9"/>
        <v>504000</v>
      </c>
      <c r="K26" s="425">
        <f>(425000)+79000</f>
        <v>504000</v>
      </c>
      <c r="L26" s="425"/>
      <c r="M26" s="425"/>
      <c r="N26" s="425"/>
      <c r="O26" s="422">
        <f>(K26)</f>
        <v>504000</v>
      </c>
      <c r="P26" s="310">
        <f t="shared" si="10"/>
        <v>5111929</v>
      </c>
      <c r="Q26" s="131"/>
      <c r="R26" s="30"/>
    </row>
    <row r="27" spans="1:18" s="28" customFormat="1" ht="75.75" customHeight="1" thickTop="1" thickBot="1" x14ac:dyDescent="0.3">
      <c r="A27" s="298" t="s">
        <v>734</v>
      </c>
      <c r="B27" s="298" t="s">
        <v>735</v>
      </c>
      <c r="C27" s="298"/>
      <c r="D27" s="298" t="s">
        <v>736</v>
      </c>
      <c r="E27" s="310">
        <f t="shared" ref="E27:P27" si="11">SUM(E28:E36)-E28-E31-E34</f>
        <v>10506549</v>
      </c>
      <c r="F27" s="310">
        <f t="shared" si="11"/>
        <v>10506549</v>
      </c>
      <c r="G27" s="310">
        <f t="shared" si="11"/>
        <v>0</v>
      </c>
      <c r="H27" s="310">
        <f t="shared" si="11"/>
        <v>0</v>
      </c>
      <c r="I27" s="310">
        <f t="shared" si="11"/>
        <v>0</v>
      </c>
      <c r="J27" s="310">
        <f t="shared" si="11"/>
        <v>16441156.969999999</v>
      </c>
      <c r="K27" s="310">
        <f t="shared" si="11"/>
        <v>4000000</v>
      </c>
      <c r="L27" s="310">
        <f t="shared" si="11"/>
        <v>12291156.969999999</v>
      </c>
      <c r="M27" s="310">
        <f t="shared" si="11"/>
        <v>0</v>
      </c>
      <c r="N27" s="310">
        <f t="shared" si="11"/>
        <v>0</v>
      </c>
      <c r="O27" s="310">
        <f t="shared" si="11"/>
        <v>4150000</v>
      </c>
      <c r="P27" s="310">
        <f t="shared" si="11"/>
        <v>26947705.969999999</v>
      </c>
      <c r="Q27" s="133"/>
      <c r="R27" s="31"/>
    </row>
    <row r="28" spans="1:18" s="33" customFormat="1" ht="72" customHeight="1" thickTop="1" thickBot="1" x14ac:dyDescent="0.25">
      <c r="A28" s="593" t="s">
        <v>674</v>
      </c>
      <c r="B28" s="593" t="s">
        <v>675</v>
      </c>
      <c r="C28" s="593"/>
      <c r="D28" s="593" t="s">
        <v>676</v>
      </c>
      <c r="E28" s="595">
        <f t="shared" ref="E28:P28" si="12">SUM(E29:E30)</f>
        <v>6925100</v>
      </c>
      <c r="F28" s="595">
        <f t="shared" si="12"/>
        <v>6925100</v>
      </c>
      <c r="G28" s="595">
        <f t="shared" si="12"/>
        <v>0</v>
      </c>
      <c r="H28" s="595">
        <f t="shared" si="12"/>
        <v>0</v>
      </c>
      <c r="I28" s="595">
        <f t="shared" si="12"/>
        <v>0</v>
      </c>
      <c r="J28" s="595">
        <f t="shared" si="12"/>
        <v>4000000</v>
      </c>
      <c r="K28" s="595">
        <f t="shared" si="12"/>
        <v>4000000</v>
      </c>
      <c r="L28" s="595">
        <f t="shared" si="12"/>
        <v>0</v>
      </c>
      <c r="M28" s="595">
        <f t="shared" si="12"/>
        <v>0</v>
      </c>
      <c r="N28" s="595">
        <f t="shared" si="12"/>
        <v>0</v>
      </c>
      <c r="O28" s="595">
        <f t="shared" si="12"/>
        <v>4000000</v>
      </c>
      <c r="P28" s="595">
        <f t="shared" si="12"/>
        <v>10925100</v>
      </c>
      <c r="Q28" s="136"/>
      <c r="R28" s="32"/>
    </row>
    <row r="29" spans="1:18" ht="69.75" customHeight="1" thickTop="1" thickBot="1" x14ac:dyDescent="0.25">
      <c r="A29" s="101" t="s">
        <v>237</v>
      </c>
      <c r="B29" s="101" t="s">
        <v>238</v>
      </c>
      <c r="C29" s="101" t="s">
        <v>239</v>
      </c>
      <c r="D29" s="101" t="s">
        <v>236</v>
      </c>
      <c r="E29" s="310">
        <f t="shared" si="3"/>
        <v>6925100</v>
      </c>
      <c r="F29" s="425">
        <f>((6305100)+200000)+200000+220000</f>
        <v>6925100</v>
      </c>
      <c r="G29" s="425"/>
      <c r="H29" s="425"/>
      <c r="I29" s="425"/>
      <c r="J29" s="310">
        <f t="shared" si="4"/>
        <v>4000000</v>
      </c>
      <c r="K29" s="425">
        <f>((0)+2000000)+2000000</f>
        <v>4000000</v>
      </c>
      <c r="L29" s="425"/>
      <c r="M29" s="425"/>
      <c r="N29" s="425"/>
      <c r="O29" s="422">
        <f t="shared" si="5"/>
        <v>4000000</v>
      </c>
      <c r="P29" s="310">
        <f>+J29+E29</f>
        <v>10925100</v>
      </c>
      <c r="Q29" s="131"/>
      <c r="R29" s="29"/>
    </row>
    <row r="30" spans="1:18" ht="93" hidden="1" thickTop="1" thickBot="1" x14ac:dyDescent="0.25">
      <c r="A30" s="41" t="s">
        <v>956</v>
      </c>
      <c r="B30" s="41" t="s">
        <v>957</v>
      </c>
      <c r="C30" s="41" t="s">
        <v>239</v>
      </c>
      <c r="D30" s="41" t="s">
        <v>958</v>
      </c>
      <c r="E30" s="125">
        <f t="shared" si="3"/>
        <v>0</v>
      </c>
      <c r="F30" s="132">
        <v>0</v>
      </c>
      <c r="G30" s="132"/>
      <c r="H30" s="132"/>
      <c r="I30" s="132"/>
      <c r="J30" s="125">
        <f t="shared" si="4"/>
        <v>0</v>
      </c>
      <c r="K30" s="43"/>
      <c r="L30" s="43"/>
      <c r="M30" s="43"/>
      <c r="N30" s="43"/>
      <c r="O30" s="44"/>
      <c r="P30" s="42">
        <f>+J30+E30</f>
        <v>0</v>
      </c>
      <c r="Q30" s="131"/>
      <c r="R30" s="29"/>
    </row>
    <row r="31" spans="1:18" ht="63" customHeight="1" thickTop="1" thickBot="1" x14ac:dyDescent="0.25">
      <c r="A31" s="593" t="s">
        <v>678</v>
      </c>
      <c r="B31" s="593" t="s">
        <v>679</v>
      </c>
      <c r="C31" s="593"/>
      <c r="D31" s="593" t="s">
        <v>677</v>
      </c>
      <c r="E31" s="595">
        <f>SUM(E33)+E34+E32</f>
        <v>3581449</v>
      </c>
      <c r="F31" s="595">
        <f t="shared" ref="F31:P31" si="13">SUM(F33)+F34+F32</f>
        <v>3581449</v>
      </c>
      <c r="G31" s="595">
        <f t="shared" si="13"/>
        <v>0</v>
      </c>
      <c r="H31" s="595">
        <f t="shared" si="13"/>
        <v>0</v>
      </c>
      <c r="I31" s="595">
        <f t="shared" si="13"/>
        <v>0</v>
      </c>
      <c r="J31" s="595">
        <f t="shared" si="13"/>
        <v>12441156.969999999</v>
      </c>
      <c r="K31" s="595">
        <f t="shared" si="13"/>
        <v>0</v>
      </c>
      <c r="L31" s="595">
        <f t="shared" si="13"/>
        <v>12291156.969999999</v>
      </c>
      <c r="M31" s="595">
        <f t="shared" si="13"/>
        <v>0</v>
      </c>
      <c r="N31" s="595">
        <f t="shared" si="13"/>
        <v>0</v>
      </c>
      <c r="O31" s="595">
        <f t="shared" si="13"/>
        <v>150000</v>
      </c>
      <c r="P31" s="595">
        <f t="shared" si="13"/>
        <v>16022605.969999999</v>
      </c>
      <c r="Q31" s="137"/>
      <c r="R31" s="34"/>
    </row>
    <row r="32" spans="1:18" ht="48" hidden="1" thickTop="1" thickBot="1" x14ac:dyDescent="0.25">
      <c r="A32" s="101" t="s">
        <v>1341</v>
      </c>
      <c r="B32" s="101" t="s">
        <v>211</v>
      </c>
      <c r="C32" s="101" t="s">
        <v>212</v>
      </c>
      <c r="D32" s="101" t="s">
        <v>41</v>
      </c>
      <c r="E32" s="310">
        <f t="shared" si="3"/>
        <v>0</v>
      </c>
      <c r="F32" s="425"/>
      <c r="G32" s="425"/>
      <c r="H32" s="425"/>
      <c r="I32" s="425"/>
      <c r="J32" s="310">
        <f t="shared" si="4"/>
        <v>0</v>
      </c>
      <c r="K32" s="425"/>
      <c r="L32" s="425"/>
      <c r="M32" s="425"/>
      <c r="N32" s="425"/>
      <c r="O32" s="422">
        <f t="shared" si="5"/>
        <v>0</v>
      </c>
      <c r="P32" s="310">
        <f>+J32+E32</f>
        <v>0</v>
      </c>
      <c r="Q32" s="137"/>
      <c r="R32" s="34"/>
    </row>
    <row r="33" spans="1:18" ht="76.7" customHeight="1" thickTop="1" thickBot="1" x14ac:dyDescent="0.25">
      <c r="A33" s="101" t="s">
        <v>297</v>
      </c>
      <c r="B33" s="101" t="s">
        <v>298</v>
      </c>
      <c r="C33" s="101" t="s">
        <v>169</v>
      </c>
      <c r="D33" s="101" t="s">
        <v>437</v>
      </c>
      <c r="E33" s="310">
        <f t="shared" si="3"/>
        <v>626435</v>
      </c>
      <c r="F33" s="425">
        <f>(326435)+300000</f>
        <v>626435</v>
      </c>
      <c r="G33" s="425"/>
      <c r="H33" s="425"/>
      <c r="I33" s="425"/>
      <c r="J33" s="310">
        <f t="shared" si="4"/>
        <v>0</v>
      </c>
      <c r="K33" s="425"/>
      <c r="L33" s="425"/>
      <c r="M33" s="425"/>
      <c r="N33" s="425"/>
      <c r="O33" s="422">
        <f t="shared" si="5"/>
        <v>0</v>
      </c>
      <c r="P33" s="310">
        <f>+J33+E33</f>
        <v>626435</v>
      </c>
      <c r="Q33" s="131"/>
      <c r="R33" s="30"/>
    </row>
    <row r="34" spans="1:18" ht="72.75" customHeight="1" thickTop="1" thickBot="1" x14ac:dyDescent="0.25">
      <c r="A34" s="598" t="s">
        <v>681</v>
      </c>
      <c r="B34" s="598" t="s">
        <v>682</v>
      </c>
      <c r="C34" s="598"/>
      <c r="D34" s="616" t="s">
        <v>680</v>
      </c>
      <c r="E34" s="599">
        <f t="shared" ref="E34:O34" si="14">SUM(E35:E36)</f>
        <v>2955014</v>
      </c>
      <c r="F34" s="599">
        <f t="shared" si="14"/>
        <v>2955014</v>
      </c>
      <c r="G34" s="599">
        <f t="shared" si="14"/>
        <v>0</v>
      </c>
      <c r="H34" s="599">
        <f t="shared" si="14"/>
        <v>0</v>
      </c>
      <c r="I34" s="599">
        <f t="shared" si="14"/>
        <v>0</v>
      </c>
      <c r="J34" s="599">
        <f t="shared" si="14"/>
        <v>12441156.969999999</v>
      </c>
      <c r="K34" s="599">
        <f t="shared" si="14"/>
        <v>0</v>
      </c>
      <c r="L34" s="599">
        <f t="shared" si="14"/>
        <v>12291156.969999999</v>
      </c>
      <c r="M34" s="599">
        <f t="shared" si="14"/>
        <v>0</v>
      </c>
      <c r="N34" s="599">
        <f t="shared" si="14"/>
        <v>0</v>
      </c>
      <c r="O34" s="599">
        <f t="shared" si="14"/>
        <v>150000</v>
      </c>
      <c r="P34" s="599">
        <f>E34+J34</f>
        <v>15396170.969999999</v>
      </c>
      <c r="Q34" s="137"/>
      <c r="R34" s="35"/>
    </row>
    <row r="35" spans="1:18" s="33" customFormat="1" ht="309.75" customHeight="1" thickTop="1" thickBot="1" x14ac:dyDescent="0.25">
      <c r="A35" s="101" t="s">
        <v>336</v>
      </c>
      <c r="B35" s="101" t="s">
        <v>335</v>
      </c>
      <c r="C35" s="101" t="s">
        <v>169</v>
      </c>
      <c r="D35" s="724" t="s">
        <v>1715</v>
      </c>
      <c r="E35" s="310">
        <f t="shared" si="3"/>
        <v>0</v>
      </c>
      <c r="F35" s="309"/>
      <c r="G35" s="309"/>
      <c r="H35" s="309"/>
      <c r="I35" s="309"/>
      <c r="J35" s="636">
        <f>L35+O35</f>
        <v>12441156.969999999</v>
      </c>
      <c r="K35" s="309"/>
      <c r="L35" s="309">
        <f>(1071271+285129+2993600)+7936156.97+5000</f>
        <v>12291156.969999999</v>
      </c>
      <c r="M35" s="309"/>
      <c r="N35" s="309"/>
      <c r="O35" s="605">
        <f>150000</f>
        <v>150000</v>
      </c>
      <c r="P35" s="708">
        <f>E35+J35</f>
        <v>12441156.969999999</v>
      </c>
      <c r="Q35" s="140"/>
      <c r="R35" s="36"/>
    </row>
    <row r="36" spans="1:18" s="33" customFormat="1" ht="79.5" customHeight="1" thickTop="1" thickBot="1" x14ac:dyDescent="0.25">
      <c r="A36" s="101" t="s">
        <v>896</v>
      </c>
      <c r="B36" s="101" t="s">
        <v>255</v>
      </c>
      <c r="C36" s="101" t="s">
        <v>169</v>
      </c>
      <c r="D36" s="101" t="s">
        <v>253</v>
      </c>
      <c r="E36" s="310">
        <f>F36</f>
        <v>2955014</v>
      </c>
      <c r="F36" s="425">
        <f>(2655260)+299754</f>
        <v>2955014</v>
      </c>
      <c r="G36" s="425"/>
      <c r="H36" s="425"/>
      <c r="I36" s="425"/>
      <c r="J36" s="310">
        <f>L36+O36</f>
        <v>0</v>
      </c>
      <c r="K36" s="425"/>
      <c r="L36" s="425"/>
      <c r="M36" s="425"/>
      <c r="N36" s="425"/>
      <c r="O36" s="422"/>
      <c r="P36" s="310">
        <f>E36+J36</f>
        <v>2955014</v>
      </c>
      <c r="Q36" s="36"/>
      <c r="R36" s="36"/>
    </row>
    <row r="37" spans="1:18" s="33" customFormat="1" ht="65.25" customHeight="1" thickTop="1" thickBot="1" x14ac:dyDescent="0.25">
      <c r="A37" s="298" t="s">
        <v>683</v>
      </c>
      <c r="B37" s="298" t="s">
        <v>684</v>
      </c>
      <c r="C37" s="298"/>
      <c r="D37" s="298" t="s">
        <v>685</v>
      </c>
      <c r="E37" s="310">
        <f t="shared" ref="E37:P37" si="15">E41+E38</f>
        <v>55304685</v>
      </c>
      <c r="F37" s="310">
        <f t="shared" si="15"/>
        <v>55304685</v>
      </c>
      <c r="G37" s="310">
        <f t="shared" si="15"/>
        <v>0</v>
      </c>
      <c r="H37" s="310">
        <f t="shared" si="15"/>
        <v>0</v>
      </c>
      <c r="I37" s="310">
        <f t="shared" si="15"/>
        <v>0</v>
      </c>
      <c r="J37" s="310">
        <f t="shared" si="15"/>
        <v>64687945.719999999</v>
      </c>
      <c r="K37" s="310">
        <f t="shared" si="15"/>
        <v>64687945.719999999</v>
      </c>
      <c r="L37" s="310">
        <f t="shared" si="15"/>
        <v>0</v>
      </c>
      <c r="M37" s="310">
        <f t="shared" si="15"/>
        <v>0</v>
      </c>
      <c r="N37" s="310">
        <f t="shared" si="15"/>
        <v>0</v>
      </c>
      <c r="O37" s="310">
        <f t="shared" si="15"/>
        <v>64687945.719999999</v>
      </c>
      <c r="P37" s="310">
        <f t="shared" si="15"/>
        <v>119992630.72</v>
      </c>
      <c r="Q37" s="36"/>
      <c r="R37" s="36"/>
    </row>
    <row r="38" spans="1:18" s="33" customFormat="1" ht="75.75" customHeight="1" thickTop="1" thickBot="1" x14ac:dyDescent="0.25">
      <c r="A38" s="593" t="s">
        <v>1144</v>
      </c>
      <c r="B38" s="593" t="s">
        <v>1145</v>
      </c>
      <c r="C38" s="593"/>
      <c r="D38" s="593" t="s">
        <v>1143</v>
      </c>
      <c r="E38" s="595">
        <f t="shared" ref="E38:P38" si="16">SUM(E39:E40)</f>
        <v>44156114</v>
      </c>
      <c r="F38" s="595">
        <f t="shared" si="16"/>
        <v>44156114</v>
      </c>
      <c r="G38" s="595">
        <f t="shared" si="16"/>
        <v>0</v>
      </c>
      <c r="H38" s="595">
        <f t="shared" si="16"/>
        <v>0</v>
      </c>
      <c r="I38" s="595">
        <f t="shared" si="16"/>
        <v>0</v>
      </c>
      <c r="J38" s="595">
        <f t="shared" si="16"/>
        <v>64087945.719999999</v>
      </c>
      <c r="K38" s="595">
        <f t="shared" si="16"/>
        <v>64087945.719999999</v>
      </c>
      <c r="L38" s="595">
        <f t="shared" si="16"/>
        <v>0</v>
      </c>
      <c r="M38" s="595">
        <f t="shared" si="16"/>
        <v>0</v>
      </c>
      <c r="N38" s="595">
        <f t="shared" si="16"/>
        <v>0</v>
      </c>
      <c r="O38" s="595">
        <f t="shared" si="16"/>
        <v>64087945.719999999</v>
      </c>
      <c r="P38" s="595">
        <f t="shared" si="16"/>
        <v>108244059.72</v>
      </c>
      <c r="Q38" s="36"/>
      <c r="R38" s="36"/>
    </row>
    <row r="39" spans="1:18" s="33" customFormat="1" ht="85.7" customHeight="1" thickTop="1" thickBot="1" x14ac:dyDescent="0.25">
      <c r="A39" s="101" t="s">
        <v>1171</v>
      </c>
      <c r="B39" s="101" t="s">
        <v>1172</v>
      </c>
      <c r="C39" s="101" t="s">
        <v>1147</v>
      </c>
      <c r="D39" s="101" t="s">
        <v>1173</v>
      </c>
      <c r="E39" s="310">
        <f>F39</f>
        <v>36800000</v>
      </c>
      <c r="F39" s="425">
        <f>(((10000000)+10000000)+10000000+4800000)+2000000</f>
        <v>36800000</v>
      </c>
      <c r="G39" s="425"/>
      <c r="H39" s="425"/>
      <c r="I39" s="425"/>
      <c r="J39" s="310">
        <f>L39+O39</f>
        <v>62400000</v>
      </c>
      <c r="K39" s="425">
        <f>(((30000000+200000)-10000000)+16000000+200000)+26000000</f>
        <v>62400000</v>
      </c>
      <c r="L39" s="425"/>
      <c r="M39" s="425"/>
      <c r="N39" s="425"/>
      <c r="O39" s="422">
        <f>K39</f>
        <v>62400000</v>
      </c>
      <c r="P39" s="310">
        <f>E39+J39</f>
        <v>99200000</v>
      </c>
      <c r="Q39" s="36"/>
      <c r="R39" s="36"/>
    </row>
    <row r="40" spans="1:18" s="33" customFormat="1" ht="72.75" customHeight="1" thickTop="1" thickBot="1" x14ac:dyDescent="0.25">
      <c r="A40" s="101" t="s">
        <v>1148</v>
      </c>
      <c r="B40" s="101" t="s">
        <v>1149</v>
      </c>
      <c r="C40" s="101" t="s">
        <v>1147</v>
      </c>
      <c r="D40" s="101" t="s">
        <v>1146</v>
      </c>
      <c r="E40" s="310">
        <f>F40</f>
        <v>7356114</v>
      </c>
      <c r="F40" s="425">
        <f>((6806114)+300000)+50000+200000</f>
        <v>7356114</v>
      </c>
      <c r="G40" s="425"/>
      <c r="H40" s="425"/>
      <c r="I40" s="425"/>
      <c r="J40" s="310">
        <f>L40+O40</f>
        <v>1687945.72</v>
      </c>
      <c r="K40" s="425">
        <f>((0)+1400000)+287945.72</f>
        <v>1687945.72</v>
      </c>
      <c r="L40" s="425"/>
      <c r="M40" s="425"/>
      <c r="N40" s="425"/>
      <c r="O40" s="422">
        <f>K40</f>
        <v>1687945.72</v>
      </c>
      <c r="P40" s="310">
        <f>E40+J40</f>
        <v>9044059.7200000007</v>
      </c>
      <c r="Q40" s="36"/>
      <c r="R40" s="36"/>
    </row>
    <row r="41" spans="1:18" s="33" customFormat="1" ht="47.25" thickTop="1" thickBot="1" x14ac:dyDescent="0.25">
      <c r="A41" s="593" t="s">
        <v>686</v>
      </c>
      <c r="B41" s="593" t="s">
        <v>687</v>
      </c>
      <c r="C41" s="593"/>
      <c r="D41" s="593" t="s">
        <v>1579</v>
      </c>
      <c r="E41" s="595">
        <f>SUM(E42)</f>
        <v>11148571</v>
      </c>
      <c r="F41" s="595">
        <f t="shared" ref="F41:P41" si="17">SUM(F42)</f>
        <v>11148571</v>
      </c>
      <c r="G41" s="595">
        <f t="shared" si="17"/>
        <v>0</v>
      </c>
      <c r="H41" s="595">
        <f t="shared" si="17"/>
        <v>0</v>
      </c>
      <c r="I41" s="595">
        <f t="shared" si="17"/>
        <v>0</v>
      </c>
      <c r="J41" s="595">
        <f t="shared" si="17"/>
        <v>600000</v>
      </c>
      <c r="K41" s="595">
        <f t="shared" si="17"/>
        <v>600000</v>
      </c>
      <c r="L41" s="595">
        <f t="shared" si="17"/>
        <v>0</v>
      </c>
      <c r="M41" s="595">
        <f t="shared" si="17"/>
        <v>0</v>
      </c>
      <c r="N41" s="595">
        <f t="shared" si="17"/>
        <v>0</v>
      </c>
      <c r="O41" s="595">
        <f t="shared" si="17"/>
        <v>600000</v>
      </c>
      <c r="P41" s="595">
        <f t="shared" si="17"/>
        <v>11748571</v>
      </c>
      <c r="Q41" s="36"/>
    </row>
    <row r="42" spans="1:18" ht="48" thickTop="1" thickBot="1" x14ac:dyDescent="0.25">
      <c r="A42" s="101" t="s">
        <v>240</v>
      </c>
      <c r="B42" s="101" t="s">
        <v>241</v>
      </c>
      <c r="C42" s="101" t="s">
        <v>242</v>
      </c>
      <c r="D42" s="101" t="s">
        <v>1580</v>
      </c>
      <c r="E42" s="310">
        <f>F42</f>
        <v>11148571</v>
      </c>
      <c r="F42" s="425">
        <v>11148571</v>
      </c>
      <c r="G42" s="425"/>
      <c r="H42" s="425"/>
      <c r="I42" s="425"/>
      <c r="J42" s="310">
        <f>L42+O42</f>
        <v>600000</v>
      </c>
      <c r="K42" s="425">
        <f>(0)+600000</f>
        <v>600000</v>
      </c>
      <c r="L42" s="425"/>
      <c r="M42" s="425"/>
      <c r="N42" s="425"/>
      <c r="O42" s="422">
        <f>K42</f>
        <v>600000</v>
      </c>
      <c r="P42" s="310">
        <f>E42+J42</f>
        <v>11748571</v>
      </c>
      <c r="Q42" s="20"/>
    </row>
    <row r="43" spans="1:18" ht="72" customHeight="1" thickTop="1" thickBot="1" x14ac:dyDescent="0.25">
      <c r="A43" s="298" t="s">
        <v>688</v>
      </c>
      <c r="B43" s="298" t="s">
        <v>689</v>
      </c>
      <c r="C43" s="298"/>
      <c r="D43" s="298" t="s">
        <v>690</v>
      </c>
      <c r="E43" s="310">
        <f>E44+E47</f>
        <v>83292271.870000005</v>
      </c>
      <c r="F43" s="310">
        <f t="shared" ref="F43:P43" si="18">F44+F47</f>
        <v>83292271.870000005</v>
      </c>
      <c r="G43" s="310">
        <f t="shared" si="18"/>
        <v>0</v>
      </c>
      <c r="H43" s="310">
        <f t="shared" si="18"/>
        <v>0</v>
      </c>
      <c r="I43" s="310">
        <f t="shared" si="18"/>
        <v>0</v>
      </c>
      <c r="J43" s="310">
        <f t="shared" si="18"/>
        <v>111412471.41</v>
      </c>
      <c r="K43" s="310">
        <f t="shared" si="18"/>
        <v>111412471.41</v>
      </c>
      <c r="L43" s="310">
        <f t="shared" si="18"/>
        <v>0</v>
      </c>
      <c r="M43" s="310">
        <f t="shared" si="18"/>
        <v>0</v>
      </c>
      <c r="N43" s="310">
        <f t="shared" si="18"/>
        <v>0</v>
      </c>
      <c r="O43" s="310">
        <f t="shared" si="18"/>
        <v>111412471.41</v>
      </c>
      <c r="P43" s="310">
        <f t="shared" si="18"/>
        <v>194704743.28</v>
      </c>
      <c r="Q43" s="20"/>
    </row>
    <row r="44" spans="1:18" s="33" customFormat="1" ht="91.5" thickTop="1" thickBot="1" x14ac:dyDescent="0.25">
      <c r="A44" s="593" t="s">
        <v>691</v>
      </c>
      <c r="B44" s="593" t="s">
        <v>692</v>
      </c>
      <c r="C44" s="593"/>
      <c r="D44" s="593" t="s">
        <v>693</v>
      </c>
      <c r="E44" s="595">
        <f>SUM(E45:E46)</f>
        <v>1359600</v>
      </c>
      <c r="F44" s="595">
        <f t="shared" ref="F44:P44" si="19">SUM(F45:F46)</f>
        <v>1359600</v>
      </c>
      <c r="G44" s="595">
        <f t="shared" si="19"/>
        <v>0</v>
      </c>
      <c r="H44" s="595">
        <f t="shared" si="19"/>
        <v>0</v>
      </c>
      <c r="I44" s="595">
        <f t="shared" si="19"/>
        <v>0</v>
      </c>
      <c r="J44" s="595">
        <f t="shared" si="19"/>
        <v>0</v>
      </c>
      <c r="K44" s="595">
        <f t="shared" si="19"/>
        <v>0</v>
      </c>
      <c r="L44" s="595">
        <f t="shared" si="19"/>
        <v>0</v>
      </c>
      <c r="M44" s="595">
        <f t="shared" si="19"/>
        <v>0</v>
      </c>
      <c r="N44" s="595">
        <f t="shared" si="19"/>
        <v>0</v>
      </c>
      <c r="O44" s="595">
        <f t="shared" si="19"/>
        <v>0</v>
      </c>
      <c r="P44" s="595">
        <f t="shared" si="19"/>
        <v>1359600</v>
      </c>
      <c r="Q44" s="36"/>
      <c r="R44" s="36"/>
    </row>
    <row r="45" spans="1:18" ht="138.75" thickTop="1" thickBot="1" x14ac:dyDescent="0.25">
      <c r="A45" s="101" t="s">
        <v>243</v>
      </c>
      <c r="B45" s="101" t="s">
        <v>244</v>
      </c>
      <c r="C45" s="101" t="s">
        <v>43</v>
      </c>
      <c r="D45" s="101" t="s">
        <v>438</v>
      </c>
      <c r="E45" s="310">
        <f t="shared" si="3"/>
        <v>1359600</v>
      </c>
      <c r="F45" s="425">
        <v>1359600</v>
      </c>
      <c r="G45" s="425"/>
      <c r="H45" s="425"/>
      <c r="I45" s="425"/>
      <c r="J45" s="310">
        <f>L45+O45</f>
        <v>0</v>
      </c>
      <c r="K45" s="425"/>
      <c r="L45" s="425"/>
      <c r="M45" s="425"/>
      <c r="N45" s="425"/>
      <c r="O45" s="422">
        <f>K45</f>
        <v>0</v>
      </c>
      <c r="P45" s="310">
        <f>E45+J45</f>
        <v>1359600</v>
      </c>
      <c r="Q45" s="20"/>
    </row>
    <row r="46" spans="1:18" ht="48" hidden="1" thickTop="1" thickBot="1" x14ac:dyDescent="0.25">
      <c r="A46" s="709" t="s">
        <v>568</v>
      </c>
      <c r="B46" s="709" t="s">
        <v>359</v>
      </c>
      <c r="C46" s="709" t="s">
        <v>43</v>
      </c>
      <c r="D46" s="709" t="s">
        <v>360</v>
      </c>
      <c r="E46" s="710">
        <f t="shared" si="3"/>
        <v>0</v>
      </c>
      <c r="F46" s="711">
        <f>(166200)-166200</f>
        <v>0</v>
      </c>
      <c r="G46" s="711"/>
      <c r="H46" s="711"/>
      <c r="I46" s="711"/>
      <c r="J46" s="710">
        <f>L46+O46</f>
        <v>0</v>
      </c>
      <c r="K46" s="711">
        <f>(1000000)-1000000</f>
        <v>0</v>
      </c>
      <c r="L46" s="711"/>
      <c r="M46" s="711"/>
      <c r="N46" s="711"/>
      <c r="O46" s="712">
        <f>K46</f>
        <v>0</v>
      </c>
      <c r="P46" s="710">
        <f>E46+J46</f>
        <v>0</v>
      </c>
      <c r="Q46" s="20"/>
    </row>
    <row r="47" spans="1:18" ht="117.75" customHeight="1" thickTop="1" thickBot="1" x14ac:dyDescent="0.25">
      <c r="A47" s="101" t="s">
        <v>508</v>
      </c>
      <c r="B47" s="101" t="s">
        <v>509</v>
      </c>
      <c r="C47" s="101" t="s">
        <v>43</v>
      </c>
      <c r="D47" s="101" t="s">
        <v>510</v>
      </c>
      <c r="E47" s="310">
        <f t="shared" si="3"/>
        <v>81932671.870000005</v>
      </c>
      <c r="F47" s="425">
        <f>(((55000000+10000000)-27229356.72)+25524000+3500000+2000000)+13138028.59</f>
        <v>81932671.870000005</v>
      </c>
      <c r="G47" s="425"/>
      <c r="H47" s="425"/>
      <c r="I47" s="425"/>
      <c r="J47" s="310">
        <f>L47+O47</f>
        <v>111412471.41</v>
      </c>
      <c r="K47" s="425">
        <f>((0+29085000)+41315500+2000000-2000000)+40861971.41+150000</f>
        <v>111412471.41</v>
      </c>
      <c r="L47" s="425"/>
      <c r="M47" s="425"/>
      <c r="N47" s="425"/>
      <c r="O47" s="422">
        <f>K47</f>
        <v>111412471.41</v>
      </c>
      <c r="P47" s="310">
        <f>E47+J47</f>
        <v>193345143.28</v>
      </c>
      <c r="Q47" s="20"/>
      <c r="R47" s="26"/>
    </row>
    <row r="48" spans="1:18" ht="120" customHeight="1" thickTop="1" thickBot="1" x14ac:dyDescent="0.25">
      <c r="A48" s="624" t="s">
        <v>151</v>
      </c>
      <c r="B48" s="624"/>
      <c r="C48" s="624"/>
      <c r="D48" s="625" t="s">
        <v>0</v>
      </c>
      <c r="E48" s="626">
        <f>E49</f>
        <v>1975192956.7300003</v>
      </c>
      <c r="F48" s="627">
        <f t="shared" ref="F48" si="20">F49</f>
        <v>1975192956.7300003</v>
      </c>
      <c r="G48" s="627">
        <f>G49</f>
        <v>1291260275</v>
      </c>
      <c r="H48" s="627">
        <f>H49</f>
        <v>174612917.94999999</v>
      </c>
      <c r="I48" s="627">
        <f t="shared" ref="I48" si="21">I49</f>
        <v>0</v>
      </c>
      <c r="J48" s="626">
        <f>J49</f>
        <v>369349164.48000002</v>
      </c>
      <c r="K48" s="627">
        <f>K49</f>
        <v>76937752.970000014</v>
      </c>
      <c r="L48" s="627">
        <f>L49</f>
        <v>281605900.69999999</v>
      </c>
      <c r="M48" s="627">
        <f t="shared" ref="M48" si="22">M49</f>
        <v>59655330</v>
      </c>
      <c r="N48" s="627">
        <f>N49</f>
        <v>34018360</v>
      </c>
      <c r="O48" s="626">
        <f>O49</f>
        <v>87743263.780000016</v>
      </c>
      <c r="P48" s="627">
        <f t="shared" ref="P48" si="23">P49</f>
        <v>2344542121.21</v>
      </c>
      <c r="Q48" s="20"/>
    </row>
    <row r="49" spans="1:20" ht="120" customHeight="1" thickTop="1" thickBot="1" x14ac:dyDescent="0.25">
      <c r="A49" s="588" t="s">
        <v>152</v>
      </c>
      <c r="B49" s="588"/>
      <c r="C49" s="588"/>
      <c r="D49" s="589" t="s">
        <v>1</v>
      </c>
      <c r="E49" s="590">
        <f>E50+E97+E108+E100+E105</f>
        <v>1975192956.7300003</v>
      </c>
      <c r="F49" s="590">
        <f>F50+F97+F108+F100+F105</f>
        <v>1975192956.7300003</v>
      </c>
      <c r="G49" s="590">
        <f>G50+G97+G108+G100+G105</f>
        <v>1291260275</v>
      </c>
      <c r="H49" s="590">
        <f>H50+H97+H108+H100+H105</f>
        <v>174612917.94999999</v>
      </c>
      <c r="I49" s="590">
        <f>I50+I97+I108+I100+I105</f>
        <v>0</v>
      </c>
      <c r="J49" s="590">
        <f>L49+O49</f>
        <v>369349164.48000002</v>
      </c>
      <c r="K49" s="590">
        <f>K50+K97+K108+K100+K105</f>
        <v>76937752.970000014</v>
      </c>
      <c r="L49" s="590">
        <f>L50+L97+L108+L100+L105</f>
        <v>281605900.69999999</v>
      </c>
      <c r="M49" s="590">
        <f>M50+M97+M108+M100+M105</f>
        <v>59655330</v>
      </c>
      <c r="N49" s="590">
        <f>N50+N97+N108+N100+N105</f>
        <v>34018360</v>
      </c>
      <c r="O49" s="590">
        <f>O50+O97+O108+O100+O105</f>
        <v>87743263.780000016</v>
      </c>
      <c r="P49" s="590">
        <f>E49+J49</f>
        <v>2344542121.21</v>
      </c>
      <c r="Q49" s="474" t="b">
        <f>P49=P51+P53+P54+P55+P57+P58+P61+P63+P64+P66+P67+P69+P71+P83+P93+P98+P104+P70+P75+P76+P77+P95+P96+P91+P92+P102+P88+P89</f>
        <v>1</v>
      </c>
      <c r="R49" s="26"/>
    </row>
    <row r="50" spans="1:20" ht="47.25" thickTop="1" thickBot="1" x14ac:dyDescent="0.25">
      <c r="A50" s="298" t="s">
        <v>694</v>
      </c>
      <c r="B50" s="298" t="s">
        <v>695</v>
      </c>
      <c r="C50" s="298"/>
      <c r="D50" s="298" t="s">
        <v>696</v>
      </c>
      <c r="E50" s="310">
        <f t="shared" ref="E50:P50" si="24">E51+E52+E56+E61+E62+E65+E68+E71+E72+E77+E59+E78+E79+E82+E85+E90+E94+E93+E96</f>
        <v>1974477956.7300003</v>
      </c>
      <c r="F50" s="310">
        <f t="shared" si="24"/>
        <v>1974477956.7300003</v>
      </c>
      <c r="G50" s="310">
        <f t="shared" si="24"/>
        <v>1291260275</v>
      </c>
      <c r="H50" s="310">
        <f t="shared" si="24"/>
        <v>174612917.94999999</v>
      </c>
      <c r="I50" s="310">
        <f t="shared" si="24"/>
        <v>0</v>
      </c>
      <c r="J50" s="310">
        <f t="shared" si="24"/>
        <v>364217557.69</v>
      </c>
      <c r="K50" s="310">
        <f t="shared" si="24"/>
        <v>71806146.180000007</v>
      </c>
      <c r="L50" s="310">
        <f t="shared" si="24"/>
        <v>281605900.69999999</v>
      </c>
      <c r="M50" s="310">
        <f t="shared" si="24"/>
        <v>59655330</v>
      </c>
      <c r="N50" s="310">
        <f t="shared" si="24"/>
        <v>34018360</v>
      </c>
      <c r="O50" s="310">
        <f t="shared" si="24"/>
        <v>82611656.99000001</v>
      </c>
      <c r="P50" s="310">
        <f t="shared" si="24"/>
        <v>2338695514.4200001</v>
      </c>
      <c r="Q50" s="30"/>
      <c r="R50" s="26"/>
    </row>
    <row r="51" spans="1:20" ht="72.75" customHeight="1" thickTop="1" thickBot="1" x14ac:dyDescent="0.6">
      <c r="A51" s="101" t="s">
        <v>197</v>
      </c>
      <c r="B51" s="101" t="s">
        <v>198</v>
      </c>
      <c r="C51" s="101" t="s">
        <v>200</v>
      </c>
      <c r="D51" s="101" t="s">
        <v>201</v>
      </c>
      <c r="E51" s="310">
        <f>F51</f>
        <v>615046607.25</v>
      </c>
      <c r="F51" s="425">
        <f>((477977500+6866485+114420+49500000+5542513+28411368+2932706+26402917+1410722+947676+1569795+101940+445+47250)+488830.24-80000)+7689048+4631334.01+141704+349954</f>
        <v>615046607.25</v>
      </c>
      <c r="G51" s="425">
        <f>(391784840)+6302800</f>
        <v>398087640</v>
      </c>
      <c r="H51" s="425">
        <f>28411368+2932706+26402917+1410722+947676+1569795</f>
        <v>61675184</v>
      </c>
      <c r="I51" s="132"/>
      <c r="J51" s="310">
        <f t="shared" ref="J51:J78" si="25">L51+O51</f>
        <v>108062382</v>
      </c>
      <c r="K51" s="425">
        <f>(0)+80000+105552</f>
        <v>185552</v>
      </c>
      <c r="L51" s="425">
        <v>105579470</v>
      </c>
      <c r="M51" s="425">
        <v>18140670</v>
      </c>
      <c r="N51" s="425">
        <v>12182510</v>
      </c>
      <c r="O51" s="422">
        <f>K51+2297360</f>
        <v>2482912</v>
      </c>
      <c r="P51" s="310">
        <f t="shared" ref="P51:P64" si="26">E51+J51</f>
        <v>723108989.25</v>
      </c>
      <c r="Q51" s="141"/>
      <c r="R51" s="26"/>
    </row>
    <row r="52" spans="1:20" ht="69.75" customHeight="1" thickTop="1" thickBot="1" x14ac:dyDescent="0.6">
      <c r="A52" s="598" t="s">
        <v>202</v>
      </c>
      <c r="B52" s="598" t="s">
        <v>199</v>
      </c>
      <c r="C52" s="598"/>
      <c r="D52" s="598" t="s">
        <v>634</v>
      </c>
      <c r="E52" s="599">
        <f>E53+E54+E55</f>
        <v>545447499</v>
      </c>
      <c r="F52" s="599">
        <f>F53+F54+F55</f>
        <v>545447499</v>
      </c>
      <c r="G52" s="599">
        <f t="shared" ref="G52:O52" si="27">G53+G54+G55</f>
        <v>290041730</v>
      </c>
      <c r="H52" s="599">
        <f t="shared" si="27"/>
        <v>85324552</v>
      </c>
      <c r="I52" s="599">
        <f t="shared" si="27"/>
        <v>0</v>
      </c>
      <c r="J52" s="599">
        <f t="shared" si="27"/>
        <v>106119495.62</v>
      </c>
      <c r="K52" s="599">
        <f t="shared" si="27"/>
        <v>6367035.6200000001</v>
      </c>
      <c r="L52" s="599">
        <f t="shared" si="27"/>
        <v>97621420</v>
      </c>
      <c r="M52" s="599">
        <f t="shared" si="27"/>
        <v>32076750</v>
      </c>
      <c r="N52" s="599">
        <f t="shared" si="27"/>
        <v>9928600</v>
      </c>
      <c r="O52" s="599">
        <f t="shared" si="27"/>
        <v>8498075.620000001</v>
      </c>
      <c r="P52" s="599">
        <f>E52+J52</f>
        <v>651566994.62</v>
      </c>
      <c r="Q52" s="141"/>
      <c r="R52" s="37"/>
    </row>
    <row r="53" spans="1:20" ht="127.5" customHeight="1" thickTop="1" thickBot="1" x14ac:dyDescent="0.6">
      <c r="A53" s="101" t="s">
        <v>632</v>
      </c>
      <c r="B53" s="101" t="s">
        <v>633</v>
      </c>
      <c r="C53" s="101" t="s">
        <v>203</v>
      </c>
      <c r="D53" s="101" t="s">
        <v>1232</v>
      </c>
      <c r="E53" s="310">
        <f t="shared" ref="E53:E64" si="28">F53</f>
        <v>494908731.97000003</v>
      </c>
      <c r="F53" s="425">
        <f>(((318809505+15650400+700000+227022+69800000+7818953+522250+39874763+2573113+29717492+4836961+2726746+235220+21075+953088+1275+431675+44500)-6071070.28)+1885156+253329.73-45000-120000-101000)-8017+4409922.52-606302-500000+157075+29000+415000-533000+799600</f>
        <v>494908731.97000003</v>
      </c>
      <c r="G53" s="425">
        <v>261319265</v>
      </c>
      <c r="H53" s="425">
        <f>39874763+2573113+29717492+4836961+2726746</f>
        <v>79729075</v>
      </c>
      <c r="I53" s="132"/>
      <c r="J53" s="310">
        <f t="shared" si="25"/>
        <v>105902395.62</v>
      </c>
      <c r="K53" s="425">
        <f>(((300000+500000+1995000)-50000+900000+23117.68+26204.96+144294.98)+45000+120000+101000)+500000+606302+500000+611116</f>
        <v>6322035.6200000001</v>
      </c>
      <c r="L53" s="425">
        <f>(97414320)+35000</f>
        <v>97449320</v>
      </c>
      <c r="M53" s="425">
        <v>32076750</v>
      </c>
      <c r="N53" s="425">
        <v>9848400</v>
      </c>
      <c r="O53" s="422">
        <f>(K53+2166040)-35000</f>
        <v>8453075.620000001</v>
      </c>
      <c r="P53" s="310">
        <f t="shared" si="26"/>
        <v>600811127.59000003</v>
      </c>
      <c r="Q53" s="141"/>
      <c r="R53" s="26"/>
      <c r="T53" s="38"/>
    </row>
    <row r="54" spans="1:20" ht="213" customHeight="1" thickTop="1" thickBot="1" x14ac:dyDescent="0.25">
      <c r="A54" s="101" t="s">
        <v>640</v>
      </c>
      <c r="B54" s="101" t="s">
        <v>641</v>
      </c>
      <c r="C54" s="101" t="s">
        <v>206</v>
      </c>
      <c r="D54" s="101" t="s">
        <v>1584</v>
      </c>
      <c r="E54" s="310">
        <f t="shared" si="28"/>
        <v>30293165.199999999</v>
      </c>
      <c r="F54" s="425">
        <f>(26210800+345700+8100+1543600+261820+2100+1425516+31646+338301+7577+14940+44272+5500)+53293.2</f>
        <v>30293165.199999999</v>
      </c>
      <c r="G54" s="425">
        <v>21484265</v>
      </c>
      <c r="H54" s="425">
        <f>1425516+31646+338301+7577</f>
        <v>1803040</v>
      </c>
      <c r="I54" s="132"/>
      <c r="J54" s="310">
        <f t="shared" si="25"/>
        <v>202100</v>
      </c>
      <c r="K54" s="425">
        <v>30000</v>
      </c>
      <c r="L54" s="425">
        <v>172100</v>
      </c>
      <c r="M54" s="425"/>
      <c r="N54" s="425">
        <v>80200</v>
      </c>
      <c r="O54" s="422">
        <f>K54+0</f>
        <v>30000</v>
      </c>
      <c r="P54" s="310">
        <f t="shared" si="26"/>
        <v>30495265.199999999</v>
      </c>
      <c r="Q54" s="20"/>
      <c r="R54" s="27"/>
    </row>
    <row r="55" spans="1:20" ht="117.75" customHeight="1" thickTop="1" thickBot="1" x14ac:dyDescent="0.25">
      <c r="A55" s="101" t="s">
        <v>974</v>
      </c>
      <c r="B55" s="101" t="s">
        <v>975</v>
      </c>
      <c r="C55" s="101" t="s">
        <v>206</v>
      </c>
      <c r="D55" s="101" t="s">
        <v>1233</v>
      </c>
      <c r="E55" s="310">
        <f t="shared" si="28"/>
        <v>20245601.829999998</v>
      </c>
      <c r="F55" s="425">
        <f>(8830550+467150+14000+6371300+273559+300000+2389362+154507+1235065+13503+4200+2960+2750)+186695.83</f>
        <v>20245601.829999998</v>
      </c>
      <c r="G55" s="425">
        <v>7238200</v>
      </c>
      <c r="H55" s="425">
        <f>2389362+154507+1235065+13503</f>
        <v>3792437</v>
      </c>
      <c r="I55" s="132"/>
      <c r="J55" s="310">
        <f t="shared" si="25"/>
        <v>15000</v>
      </c>
      <c r="K55" s="425">
        <v>15000</v>
      </c>
      <c r="L55" s="425"/>
      <c r="M55" s="425"/>
      <c r="N55" s="425"/>
      <c r="O55" s="422">
        <f>K55</f>
        <v>15000</v>
      </c>
      <c r="P55" s="310">
        <f t="shared" si="26"/>
        <v>20260601.829999998</v>
      </c>
      <c r="Q55" s="20"/>
      <c r="R55" s="27"/>
    </row>
    <row r="56" spans="1:20" ht="48" thickTop="1" thickBot="1" x14ac:dyDescent="0.25">
      <c r="A56" s="598" t="s">
        <v>493</v>
      </c>
      <c r="B56" s="598" t="s">
        <v>204</v>
      </c>
      <c r="C56" s="598"/>
      <c r="D56" s="598" t="s">
        <v>646</v>
      </c>
      <c r="E56" s="599">
        <f>SUM(E57:E58)</f>
        <v>510865188</v>
      </c>
      <c r="F56" s="599">
        <f>SUM(F57:F58)</f>
        <v>510865188</v>
      </c>
      <c r="G56" s="599">
        <f>SUM(G57:G58)</f>
        <v>414537610</v>
      </c>
      <c r="H56" s="599">
        <f>SUM(H57:H58)</f>
        <v>0</v>
      </c>
      <c r="I56" s="599">
        <f>SUM(I57:I58)</f>
        <v>0</v>
      </c>
      <c r="J56" s="599">
        <f t="shared" ref="J56:P56" si="29">SUM(J57:J58)</f>
        <v>0</v>
      </c>
      <c r="K56" s="599">
        <f t="shared" si="29"/>
        <v>0</v>
      </c>
      <c r="L56" s="599">
        <f t="shared" si="29"/>
        <v>0</v>
      </c>
      <c r="M56" s="599">
        <f t="shared" si="29"/>
        <v>0</v>
      </c>
      <c r="N56" s="599">
        <f t="shared" si="29"/>
        <v>0</v>
      </c>
      <c r="O56" s="599">
        <f t="shared" si="29"/>
        <v>0</v>
      </c>
      <c r="P56" s="599">
        <f t="shared" si="29"/>
        <v>510865188</v>
      </c>
      <c r="Q56" s="21"/>
      <c r="R56" s="37"/>
    </row>
    <row r="57" spans="1:20" ht="93" thickTop="1" thickBot="1" x14ac:dyDescent="0.25">
      <c r="A57" s="101" t="s">
        <v>647</v>
      </c>
      <c r="B57" s="101" t="s">
        <v>648</v>
      </c>
      <c r="C57" s="101" t="s">
        <v>203</v>
      </c>
      <c r="D57" s="101" t="s">
        <v>1234</v>
      </c>
      <c r="E57" s="310">
        <f t="shared" ref="E57:E58" si="30">F57</f>
        <v>504126278</v>
      </c>
      <c r="F57" s="425">
        <f>((498996970)+5030804)+98504</f>
        <v>504126278</v>
      </c>
      <c r="G57" s="425">
        <v>409013910</v>
      </c>
      <c r="H57" s="425"/>
      <c r="I57" s="425"/>
      <c r="J57" s="310">
        <f t="shared" ref="J57:J58" si="31">L57+O57</f>
        <v>0</v>
      </c>
      <c r="K57" s="425"/>
      <c r="L57" s="425"/>
      <c r="M57" s="425"/>
      <c r="N57" s="425"/>
      <c r="O57" s="422">
        <f>K57</f>
        <v>0</v>
      </c>
      <c r="P57" s="310">
        <f t="shared" ref="P57:P60" si="32">E57+J57</f>
        <v>504126278</v>
      </c>
      <c r="Q57" s="21"/>
      <c r="R57" s="26"/>
    </row>
    <row r="58" spans="1:20" ht="93" thickTop="1" thickBot="1" x14ac:dyDescent="0.25">
      <c r="A58" s="101" t="s">
        <v>1092</v>
      </c>
      <c r="B58" s="318" t="s">
        <v>1093</v>
      </c>
      <c r="C58" s="101" t="s">
        <v>206</v>
      </c>
      <c r="D58" s="101" t="s">
        <v>1235</v>
      </c>
      <c r="E58" s="310">
        <f t="shared" si="30"/>
        <v>6738910</v>
      </c>
      <c r="F58" s="629">
        <v>6738910</v>
      </c>
      <c r="G58" s="629">
        <v>5523700</v>
      </c>
      <c r="H58" s="629"/>
      <c r="I58" s="629"/>
      <c r="J58" s="310">
        <f t="shared" si="31"/>
        <v>0</v>
      </c>
      <c r="K58" s="629"/>
      <c r="L58" s="629"/>
      <c r="M58" s="629"/>
      <c r="N58" s="629"/>
      <c r="O58" s="605"/>
      <c r="P58" s="310">
        <f t="shared" si="32"/>
        <v>6738910</v>
      </c>
      <c r="Q58" s="21"/>
      <c r="R58" s="26"/>
    </row>
    <row r="59" spans="1:20" ht="184.5" hidden="1" thickTop="1" thickBot="1" x14ac:dyDescent="0.25">
      <c r="A59" s="555" t="s">
        <v>910</v>
      </c>
      <c r="B59" s="555" t="s">
        <v>50</v>
      </c>
      <c r="C59" s="555"/>
      <c r="D59" s="628" t="s">
        <v>1585</v>
      </c>
      <c r="E59" s="556">
        <f t="shared" ref="E59:O59" si="33">E60</f>
        <v>0</v>
      </c>
      <c r="F59" s="556">
        <f>F60</f>
        <v>0</v>
      </c>
      <c r="G59" s="556">
        <f t="shared" si="33"/>
        <v>0</v>
      </c>
      <c r="H59" s="556">
        <f t="shared" si="33"/>
        <v>0</v>
      </c>
      <c r="I59" s="556">
        <f t="shared" si="33"/>
        <v>0</v>
      </c>
      <c r="J59" s="556">
        <f t="shared" si="33"/>
        <v>0</v>
      </c>
      <c r="K59" s="556">
        <f t="shared" si="33"/>
        <v>0</v>
      </c>
      <c r="L59" s="556">
        <f t="shared" si="33"/>
        <v>0</v>
      </c>
      <c r="M59" s="556">
        <f t="shared" si="33"/>
        <v>0</v>
      </c>
      <c r="N59" s="556">
        <f t="shared" si="33"/>
        <v>0</v>
      </c>
      <c r="O59" s="556">
        <f t="shared" si="33"/>
        <v>0</v>
      </c>
      <c r="P59" s="556">
        <f>E59+J59</f>
        <v>0</v>
      </c>
      <c r="Q59" s="20"/>
      <c r="R59" s="30"/>
    </row>
    <row r="60" spans="1:20" ht="230.25" hidden="1" thickTop="1" thickBot="1" x14ac:dyDescent="0.25">
      <c r="A60" s="126" t="s">
        <v>911</v>
      </c>
      <c r="B60" s="126" t="s">
        <v>912</v>
      </c>
      <c r="C60" s="126" t="s">
        <v>203</v>
      </c>
      <c r="D60" s="101" t="s">
        <v>1586</v>
      </c>
      <c r="E60" s="125">
        <f t="shared" ref="E60" si="34">F60</f>
        <v>0</v>
      </c>
      <c r="F60" s="132"/>
      <c r="G60" s="132"/>
      <c r="H60" s="132"/>
      <c r="I60" s="132"/>
      <c r="J60" s="125">
        <f t="shared" ref="J60" si="35">L60+O60</f>
        <v>0</v>
      </c>
      <c r="K60" s="132"/>
      <c r="L60" s="132"/>
      <c r="M60" s="132"/>
      <c r="N60" s="132"/>
      <c r="O60" s="130">
        <f>K60</f>
        <v>0</v>
      </c>
      <c r="P60" s="125">
        <f t="shared" si="32"/>
        <v>0</v>
      </c>
      <c r="Q60" s="20"/>
      <c r="R60" s="26"/>
    </row>
    <row r="61" spans="1:20" ht="93" thickTop="1" thickBot="1" x14ac:dyDescent="0.25">
      <c r="A61" s="101" t="s">
        <v>649</v>
      </c>
      <c r="B61" s="101" t="s">
        <v>205</v>
      </c>
      <c r="C61" s="101" t="s">
        <v>180</v>
      </c>
      <c r="D61" s="101" t="s">
        <v>494</v>
      </c>
      <c r="E61" s="310">
        <f t="shared" si="28"/>
        <v>38769537.880000003</v>
      </c>
      <c r="F61" s="425">
        <f>(31733000+663955+18300+614918+174450+2208293+87334+1130177+82818+14977+17780+37880+50)+1774036+211569.88</f>
        <v>38769537.880000003</v>
      </c>
      <c r="G61" s="425">
        <f>(26010660)+1454130</f>
        <v>27464790</v>
      </c>
      <c r="H61" s="425">
        <f>2208293+87334+1130177+82818+14977</f>
        <v>3523599</v>
      </c>
      <c r="I61" s="132"/>
      <c r="J61" s="310">
        <f t="shared" si="25"/>
        <v>3074558.29</v>
      </c>
      <c r="K61" s="425">
        <f>((0)+1506718.29)+99980</f>
        <v>1606698.29</v>
      </c>
      <c r="L61" s="425">
        <v>1057860</v>
      </c>
      <c r="M61" s="425">
        <v>123010</v>
      </c>
      <c r="N61" s="425">
        <v>150360</v>
      </c>
      <c r="O61" s="422">
        <f>(K61+410000)</f>
        <v>2016698.29</v>
      </c>
      <c r="P61" s="310">
        <f t="shared" si="26"/>
        <v>41844096.170000002</v>
      </c>
      <c r="Q61" s="20"/>
      <c r="R61" s="26"/>
    </row>
    <row r="62" spans="1:20" ht="93" thickTop="1" thickBot="1" x14ac:dyDescent="0.25">
      <c r="A62" s="598" t="s">
        <v>207</v>
      </c>
      <c r="B62" s="598" t="s">
        <v>190</v>
      </c>
      <c r="C62" s="598"/>
      <c r="D62" s="598" t="s">
        <v>495</v>
      </c>
      <c r="E62" s="599">
        <f>E63+E64</f>
        <v>183305075.95000002</v>
      </c>
      <c r="F62" s="599">
        <f t="shared" ref="F62:O62" si="36">F63+F64</f>
        <v>183305075.95000002</v>
      </c>
      <c r="G62" s="599">
        <f t="shared" si="36"/>
        <v>101308688</v>
      </c>
      <c r="H62" s="599">
        <f t="shared" si="36"/>
        <v>21960129.949999999</v>
      </c>
      <c r="I62" s="599">
        <f t="shared" si="36"/>
        <v>0</v>
      </c>
      <c r="J62" s="599">
        <f t="shared" si="36"/>
        <v>37232589.090000004</v>
      </c>
      <c r="K62" s="599">
        <f t="shared" si="36"/>
        <v>2912589.09</v>
      </c>
      <c r="L62" s="599">
        <f t="shared" si="36"/>
        <v>33180000</v>
      </c>
      <c r="M62" s="599">
        <f t="shared" si="36"/>
        <v>9314900</v>
      </c>
      <c r="N62" s="599">
        <f t="shared" si="36"/>
        <v>11756890</v>
      </c>
      <c r="O62" s="599">
        <f t="shared" si="36"/>
        <v>4052589.09</v>
      </c>
      <c r="P62" s="599">
        <f t="shared" si="26"/>
        <v>220537665.04000002</v>
      </c>
      <c r="Q62" s="20"/>
      <c r="R62" s="35"/>
    </row>
    <row r="63" spans="1:20" ht="93" thickTop="1" thickBot="1" x14ac:dyDescent="0.25">
      <c r="A63" s="101" t="s">
        <v>650</v>
      </c>
      <c r="B63" s="101" t="s">
        <v>651</v>
      </c>
      <c r="C63" s="101" t="s">
        <v>208</v>
      </c>
      <c r="D63" s="101" t="s">
        <v>652</v>
      </c>
      <c r="E63" s="310">
        <f t="shared" si="28"/>
        <v>166792555.95000002</v>
      </c>
      <c r="F63" s="425">
        <f>(((101715200+657500+27400+3656150+719800+14543250+1127080+6012350+30660+133650+17940+31500000+1006032)+36091.86+272034.16)+47320.5)+5232404-272034.16+300000+29727.59</f>
        <v>166792555.95000002</v>
      </c>
      <c r="G63" s="425">
        <f>(83373123)+4288855</f>
        <v>87661978</v>
      </c>
      <c r="H63" s="425">
        <f>((14543250+1127080+6012350+30660+133650)+36091.86)+47320.5+29727.59</f>
        <v>21960129.949999999</v>
      </c>
      <c r="I63" s="132"/>
      <c r="J63" s="310">
        <f>L63+O63</f>
        <v>37232589.090000004</v>
      </c>
      <c r="K63" s="425">
        <f>((180000)+1186408.68+1000000)+272034.16+224147.25+49999</f>
        <v>2912589.09</v>
      </c>
      <c r="L63" s="425">
        <v>33180000</v>
      </c>
      <c r="M63" s="425">
        <v>9314900</v>
      </c>
      <c r="N63" s="425">
        <v>11756890</v>
      </c>
      <c r="O63" s="422">
        <f>K63+1140000</f>
        <v>4052589.09</v>
      </c>
      <c r="P63" s="310">
        <f t="shared" si="26"/>
        <v>204025145.04000002</v>
      </c>
      <c r="Q63" s="20"/>
      <c r="R63" s="26"/>
    </row>
    <row r="64" spans="1:20" ht="93" thickTop="1" thickBot="1" x14ac:dyDescent="0.25">
      <c r="A64" s="101" t="s">
        <v>654</v>
      </c>
      <c r="B64" s="101" t="s">
        <v>653</v>
      </c>
      <c r="C64" s="101" t="s">
        <v>208</v>
      </c>
      <c r="D64" s="101" t="s">
        <v>655</v>
      </c>
      <c r="E64" s="310">
        <f t="shared" si="28"/>
        <v>16512520</v>
      </c>
      <c r="F64" s="425">
        <v>16512520</v>
      </c>
      <c r="G64" s="425">
        <v>13646710</v>
      </c>
      <c r="H64" s="425"/>
      <c r="I64" s="425"/>
      <c r="J64" s="310">
        <f>L64+O64</f>
        <v>0</v>
      </c>
      <c r="K64" s="425"/>
      <c r="L64" s="425"/>
      <c r="M64" s="425"/>
      <c r="N64" s="425"/>
      <c r="O64" s="422"/>
      <c r="P64" s="310">
        <f t="shared" si="26"/>
        <v>16512520</v>
      </c>
      <c r="Q64" s="20"/>
      <c r="R64" s="30"/>
    </row>
    <row r="65" spans="1:18" ht="69.75" customHeight="1" thickTop="1" thickBot="1" x14ac:dyDescent="0.25">
      <c r="A65" s="598" t="s">
        <v>657</v>
      </c>
      <c r="B65" s="598" t="s">
        <v>656</v>
      </c>
      <c r="C65" s="598"/>
      <c r="D65" s="598" t="s">
        <v>658</v>
      </c>
      <c r="E65" s="599">
        <f>E66+E67</f>
        <v>28563178</v>
      </c>
      <c r="F65" s="599">
        <f t="shared" ref="F65:O65" si="37">F66+F67</f>
        <v>28563178</v>
      </c>
      <c r="G65" s="599">
        <f t="shared" si="37"/>
        <v>18401897</v>
      </c>
      <c r="H65" s="599">
        <f t="shared" si="37"/>
        <v>1690280</v>
      </c>
      <c r="I65" s="599">
        <f t="shared" si="37"/>
        <v>0</v>
      </c>
      <c r="J65" s="599">
        <f t="shared" si="37"/>
        <v>713580</v>
      </c>
      <c r="K65" s="599">
        <f t="shared" si="37"/>
        <v>410320</v>
      </c>
      <c r="L65" s="599">
        <f t="shared" si="37"/>
        <v>222550</v>
      </c>
      <c r="M65" s="599">
        <f t="shared" si="37"/>
        <v>0</v>
      </c>
      <c r="N65" s="599">
        <f t="shared" si="37"/>
        <v>0</v>
      </c>
      <c r="O65" s="599">
        <f t="shared" si="37"/>
        <v>491030</v>
      </c>
      <c r="P65" s="599">
        <f>E65+J65</f>
        <v>29276758</v>
      </c>
      <c r="Q65" s="20"/>
      <c r="R65" s="35"/>
    </row>
    <row r="66" spans="1:18" ht="69.75" customHeight="1" thickTop="1" thickBot="1" x14ac:dyDescent="0.25">
      <c r="A66" s="101" t="s">
        <v>659</v>
      </c>
      <c r="B66" s="101" t="s">
        <v>660</v>
      </c>
      <c r="C66" s="101" t="s">
        <v>209</v>
      </c>
      <c r="D66" s="101" t="s">
        <v>496</v>
      </c>
      <c r="E66" s="310">
        <f>F66</f>
        <v>27210958</v>
      </c>
      <c r="F66" s="425">
        <f>((21630200+785270+2250+1579810+1247010+24757+402076+16437+7600+150000)+560020-50000)+794335+8017+53176</f>
        <v>27210958</v>
      </c>
      <c r="G66" s="425">
        <f>(17729672)+249600+422625</f>
        <v>18401897</v>
      </c>
      <c r="H66" s="425">
        <f>1247010+24757+402076+16437</f>
        <v>1690280</v>
      </c>
      <c r="I66" s="132"/>
      <c r="J66" s="310">
        <f>L66+O66</f>
        <v>353260</v>
      </c>
      <c r="K66" s="425">
        <f>(0)+50000</f>
        <v>50000</v>
      </c>
      <c r="L66" s="425">
        <v>222550</v>
      </c>
      <c r="M66" s="425"/>
      <c r="N66" s="425"/>
      <c r="O66" s="422">
        <f>K66+80710</f>
        <v>130710</v>
      </c>
      <c r="P66" s="310">
        <f>E66+J66</f>
        <v>27564218</v>
      </c>
      <c r="Q66" s="20"/>
      <c r="R66" s="30"/>
    </row>
    <row r="67" spans="1:18" ht="63.75" customHeight="1" thickTop="1" thickBot="1" x14ac:dyDescent="0.25">
      <c r="A67" s="101" t="s">
        <v>661</v>
      </c>
      <c r="B67" s="101" t="s">
        <v>662</v>
      </c>
      <c r="C67" s="101" t="s">
        <v>209</v>
      </c>
      <c r="D67" s="101" t="s">
        <v>334</v>
      </c>
      <c r="E67" s="310">
        <f>F67</f>
        <v>1352220</v>
      </c>
      <c r="F67" s="425">
        <f>(24680+779540)+533000+15000</f>
        <v>1352220</v>
      </c>
      <c r="G67" s="425"/>
      <c r="H67" s="425"/>
      <c r="I67" s="425"/>
      <c r="J67" s="310">
        <f>L67+O67</f>
        <v>360320</v>
      </c>
      <c r="K67" s="425">
        <f>(375320)-15000</f>
        <v>360320</v>
      </c>
      <c r="L67" s="425"/>
      <c r="M67" s="425"/>
      <c r="N67" s="425"/>
      <c r="O67" s="422">
        <f>K67</f>
        <v>360320</v>
      </c>
      <c r="P67" s="310">
        <f>E67+J67</f>
        <v>1712540</v>
      </c>
      <c r="Q67" s="20"/>
      <c r="R67" s="30"/>
    </row>
    <row r="68" spans="1:18" ht="66.75" customHeight="1" thickTop="1" thickBot="1" x14ac:dyDescent="0.25">
      <c r="A68" s="598" t="s">
        <v>663</v>
      </c>
      <c r="B68" s="598" t="s">
        <v>664</v>
      </c>
      <c r="C68" s="598"/>
      <c r="D68" s="598" t="s">
        <v>424</v>
      </c>
      <c r="E68" s="599">
        <f>E69+E70</f>
        <v>5261031.42</v>
      </c>
      <c r="F68" s="599">
        <f>F69+F70</f>
        <v>5261031.42</v>
      </c>
      <c r="G68" s="599">
        <f t="shared" ref="G68:O68" si="38">G69+G70</f>
        <v>3631590</v>
      </c>
      <c r="H68" s="599">
        <f t="shared" si="38"/>
        <v>353856</v>
      </c>
      <c r="I68" s="599">
        <f t="shared" si="38"/>
        <v>0</v>
      </c>
      <c r="J68" s="599">
        <f t="shared" si="38"/>
        <v>0</v>
      </c>
      <c r="K68" s="599">
        <f t="shared" si="38"/>
        <v>0</v>
      </c>
      <c r="L68" s="599">
        <f t="shared" si="38"/>
        <v>0</v>
      </c>
      <c r="M68" s="599">
        <f t="shared" si="38"/>
        <v>0</v>
      </c>
      <c r="N68" s="599">
        <f t="shared" si="38"/>
        <v>0</v>
      </c>
      <c r="O68" s="599">
        <f t="shared" si="38"/>
        <v>0</v>
      </c>
      <c r="P68" s="599">
        <f>E68+J68</f>
        <v>5261031.42</v>
      </c>
      <c r="Q68" s="20"/>
      <c r="R68" s="35"/>
    </row>
    <row r="69" spans="1:18" ht="117.75" customHeight="1" thickTop="1" thickBot="1" x14ac:dyDescent="0.25">
      <c r="A69" s="101" t="s">
        <v>665</v>
      </c>
      <c r="B69" s="101" t="s">
        <v>666</v>
      </c>
      <c r="C69" s="101" t="s">
        <v>209</v>
      </c>
      <c r="D69" s="101" t="s">
        <v>667</v>
      </c>
      <c r="E69" s="310">
        <f>F69</f>
        <v>1597431.42</v>
      </c>
      <c r="F69" s="425">
        <f>(767000+346760+3580+99622+5480+298038+7585+44033+4200+3280)+17853.42</f>
        <v>1597431.42</v>
      </c>
      <c r="G69" s="425">
        <v>628690</v>
      </c>
      <c r="H69" s="425">
        <f>298038+7585+44033+4200</f>
        <v>353856</v>
      </c>
      <c r="I69" s="132"/>
      <c r="J69" s="310">
        <f>L69+O69</f>
        <v>0</v>
      </c>
      <c r="K69" s="425"/>
      <c r="L69" s="425"/>
      <c r="M69" s="425"/>
      <c r="N69" s="425"/>
      <c r="O69" s="422">
        <f>K69</f>
        <v>0</v>
      </c>
      <c r="P69" s="310">
        <f>E69+J69</f>
        <v>1597431.42</v>
      </c>
      <c r="Q69" s="20"/>
      <c r="R69" s="26"/>
    </row>
    <row r="70" spans="1:18" ht="93" thickTop="1" thickBot="1" x14ac:dyDescent="0.25">
      <c r="A70" s="101" t="s">
        <v>668</v>
      </c>
      <c r="B70" s="101" t="s">
        <v>669</v>
      </c>
      <c r="C70" s="101" t="s">
        <v>209</v>
      </c>
      <c r="D70" s="101" t="s">
        <v>670</v>
      </c>
      <c r="E70" s="310">
        <f>F70</f>
        <v>3663600</v>
      </c>
      <c r="F70" s="425">
        <v>3663600</v>
      </c>
      <c r="G70" s="425">
        <v>3002900</v>
      </c>
      <c r="H70" s="425"/>
      <c r="I70" s="425"/>
      <c r="J70" s="310">
        <f t="shared" ref="J70:J71" si="39">L70+O70</f>
        <v>0</v>
      </c>
      <c r="K70" s="425"/>
      <c r="L70" s="425"/>
      <c r="M70" s="425"/>
      <c r="N70" s="425"/>
      <c r="O70" s="422">
        <f t="shared" ref="O70:O71" si="40">K70</f>
        <v>0</v>
      </c>
      <c r="P70" s="310">
        <f t="shared" ref="P70:P78" si="41">E70+J70</f>
        <v>3663600</v>
      </c>
      <c r="Q70" s="20"/>
      <c r="R70" s="30"/>
    </row>
    <row r="71" spans="1:18" ht="93" thickTop="1" thickBot="1" x14ac:dyDescent="0.25">
      <c r="A71" s="101" t="s">
        <v>637</v>
      </c>
      <c r="B71" s="101" t="s">
        <v>638</v>
      </c>
      <c r="C71" s="101" t="s">
        <v>209</v>
      </c>
      <c r="D71" s="101" t="s">
        <v>639</v>
      </c>
      <c r="E71" s="310">
        <f t="shared" ref="E71:E99" si="42">F71</f>
        <v>3040387</v>
      </c>
      <c r="F71" s="425">
        <f>2645600+239500+59000+10970+38780+8148+37589+800</f>
        <v>3040387</v>
      </c>
      <c r="G71" s="425">
        <v>2168525</v>
      </c>
      <c r="H71" s="425">
        <f>38780+8148+37589+800</f>
        <v>85317</v>
      </c>
      <c r="I71" s="132"/>
      <c r="J71" s="310">
        <f t="shared" si="39"/>
        <v>0</v>
      </c>
      <c r="K71" s="425"/>
      <c r="L71" s="425"/>
      <c r="M71" s="425"/>
      <c r="N71" s="425"/>
      <c r="O71" s="422">
        <f t="shared" si="40"/>
        <v>0</v>
      </c>
      <c r="P71" s="310">
        <f t="shared" si="41"/>
        <v>3040387</v>
      </c>
      <c r="Q71" s="20"/>
      <c r="R71" s="26"/>
    </row>
    <row r="72" spans="1:18" s="33" customFormat="1" ht="108.75" customHeight="1" thickTop="1" thickBot="1" x14ac:dyDescent="0.25">
      <c r="A72" s="598" t="s">
        <v>642</v>
      </c>
      <c r="B72" s="598" t="s">
        <v>643</v>
      </c>
      <c r="C72" s="598"/>
      <c r="D72" s="598" t="s">
        <v>1518</v>
      </c>
      <c r="E72" s="599">
        <f t="shared" si="42"/>
        <v>0</v>
      </c>
      <c r="F72" s="599">
        <f>SUM(F73:F76)</f>
        <v>0</v>
      </c>
      <c r="G72" s="599">
        <f>SUM(G73:G76)</f>
        <v>0</v>
      </c>
      <c r="H72" s="599">
        <f>SUM(H73:H76)</f>
        <v>0</v>
      </c>
      <c r="I72" s="599">
        <f>SUM(I73:I76)</f>
        <v>0</v>
      </c>
      <c r="J72" s="599">
        <f t="shared" si="25"/>
        <v>19051327</v>
      </c>
      <c r="K72" s="599">
        <f>SUM(K73:K76)</f>
        <v>19051327</v>
      </c>
      <c r="L72" s="599">
        <f>SUM(L73:L76)</f>
        <v>0</v>
      </c>
      <c r="M72" s="599">
        <f>SUM(M73:M76)</f>
        <v>0</v>
      </c>
      <c r="N72" s="599">
        <f>SUM(N73:N76)</f>
        <v>0</v>
      </c>
      <c r="O72" s="599">
        <f>SUM(O73:O76)</f>
        <v>19051327</v>
      </c>
      <c r="P72" s="599">
        <f t="shared" si="41"/>
        <v>19051327</v>
      </c>
      <c r="Q72" s="36"/>
      <c r="R72" s="37"/>
    </row>
    <row r="73" spans="1:18" s="33" customFormat="1" ht="138.75" hidden="1" thickTop="1" thickBot="1" x14ac:dyDescent="0.25">
      <c r="A73" s="126" t="s">
        <v>644</v>
      </c>
      <c r="B73" s="126" t="s">
        <v>645</v>
      </c>
      <c r="C73" s="126" t="s">
        <v>209</v>
      </c>
      <c r="D73" s="126" t="s">
        <v>1519</v>
      </c>
      <c r="E73" s="125">
        <f t="shared" si="42"/>
        <v>0</v>
      </c>
      <c r="F73" s="132"/>
      <c r="G73" s="132"/>
      <c r="H73" s="132"/>
      <c r="I73" s="132"/>
      <c r="J73" s="125">
        <f t="shared" si="25"/>
        <v>0</v>
      </c>
      <c r="K73" s="132">
        <v>0</v>
      </c>
      <c r="L73" s="132"/>
      <c r="M73" s="132"/>
      <c r="N73" s="132"/>
      <c r="O73" s="130">
        <f t="shared" ref="O73:O78" si="43">K73</f>
        <v>0</v>
      </c>
      <c r="P73" s="125">
        <f t="shared" si="41"/>
        <v>0</v>
      </c>
      <c r="Q73" s="36"/>
      <c r="R73" s="26"/>
    </row>
    <row r="74" spans="1:18" s="33" customFormat="1" ht="138.75" hidden="1" thickTop="1" thickBot="1" x14ac:dyDescent="0.25">
      <c r="A74" s="126" t="s">
        <v>959</v>
      </c>
      <c r="B74" s="126" t="s">
        <v>960</v>
      </c>
      <c r="C74" s="126" t="s">
        <v>209</v>
      </c>
      <c r="D74" s="126" t="s">
        <v>1520</v>
      </c>
      <c r="E74" s="125">
        <f t="shared" si="42"/>
        <v>0</v>
      </c>
      <c r="F74" s="132"/>
      <c r="G74" s="132"/>
      <c r="H74" s="132"/>
      <c r="I74" s="132"/>
      <c r="J74" s="125">
        <f t="shared" si="25"/>
        <v>0</v>
      </c>
      <c r="K74" s="132">
        <v>0</v>
      </c>
      <c r="L74" s="132"/>
      <c r="M74" s="132"/>
      <c r="N74" s="132"/>
      <c r="O74" s="130">
        <f t="shared" si="43"/>
        <v>0</v>
      </c>
      <c r="P74" s="125">
        <f t="shared" si="41"/>
        <v>0</v>
      </c>
      <c r="Q74" s="36"/>
      <c r="R74" s="26"/>
    </row>
    <row r="75" spans="1:18" s="33" customFormat="1" ht="219" customHeight="1" thickTop="1" thickBot="1" x14ac:dyDescent="0.25">
      <c r="A75" s="101" t="s">
        <v>1633</v>
      </c>
      <c r="B75" s="101" t="s">
        <v>1635</v>
      </c>
      <c r="C75" s="101" t="s">
        <v>209</v>
      </c>
      <c r="D75" s="101" t="s">
        <v>1637</v>
      </c>
      <c r="E75" s="310">
        <f t="shared" si="42"/>
        <v>0</v>
      </c>
      <c r="F75" s="425"/>
      <c r="G75" s="425"/>
      <c r="H75" s="425"/>
      <c r="I75" s="425"/>
      <c r="J75" s="310">
        <f t="shared" si="25"/>
        <v>5715427</v>
      </c>
      <c r="K75" s="425">
        <v>5715427</v>
      </c>
      <c r="L75" s="425"/>
      <c r="M75" s="425"/>
      <c r="N75" s="425"/>
      <c r="O75" s="422">
        <f t="shared" si="43"/>
        <v>5715427</v>
      </c>
      <c r="P75" s="310">
        <f t="shared" si="41"/>
        <v>5715427</v>
      </c>
      <c r="Q75" s="36"/>
      <c r="R75" s="26"/>
    </row>
    <row r="76" spans="1:18" s="33" customFormat="1" ht="209.25" customHeight="1" thickTop="1" thickBot="1" x14ac:dyDescent="0.25">
      <c r="A76" s="101" t="s">
        <v>1634</v>
      </c>
      <c r="B76" s="101" t="s">
        <v>1636</v>
      </c>
      <c r="C76" s="101" t="s">
        <v>209</v>
      </c>
      <c r="D76" s="101" t="s">
        <v>1638</v>
      </c>
      <c r="E76" s="310">
        <f t="shared" si="42"/>
        <v>0</v>
      </c>
      <c r="F76" s="425"/>
      <c r="G76" s="425"/>
      <c r="H76" s="425"/>
      <c r="I76" s="425"/>
      <c r="J76" s="310">
        <f t="shared" si="25"/>
        <v>13335900</v>
      </c>
      <c r="K76" s="425">
        <v>13335900</v>
      </c>
      <c r="L76" s="425"/>
      <c r="M76" s="425"/>
      <c r="N76" s="425"/>
      <c r="O76" s="422">
        <f t="shared" si="43"/>
        <v>13335900</v>
      </c>
      <c r="P76" s="310">
        <f t="shared" si="41"/>
        <v>13335900</v>
      </c>
      <c r="Q76" s="36"/>
      <c r="R76" s="26"/>
    </row>
    <row r="77" spans="1:18" s="33" customFormat="1" ht="209.25" customHeight="1" thickTop="1" thickBot="1" x14ac:dyDescent="0.25">
      <c r="A77" s="101" t="s">
        <v>635</v>
      </c>
      <c r="B77" s="101" t="s">
        <v>636</v>
      </c>
      <c r="C77" s="101" t="s">
        <v>209</v>
      </c>
      <c r="D77" s="101" t="s">
        <v>1629</v>
      </c>
      <c r="E77" s="310">
        <f t="shared" si="42"/>
        <v>5255400</v>
      </c>
      <c r="F77" s="425">
        <v>5255400</v>
      </c>
      <c r="G77" s="425">
        <v>4307705</v>
      </c>
      <c r="H77" s="425"/>
      <c r="I77" s="425"/>
      <c r="J77" s="310">
        <f t="shared" si="25"/>
        <v>0</v>
      </c>
      <c r="K77" s="425"/>
      <c r="L77" s="425"/>
      <c r="M77" s="425"/>
      <c r="N77" s="425"/>
      <c r="O77" s="422">
        <f t="shared" si="43"/>
        <v>0</v>
      </c>
      <c r="P77" s="310">
        <f t="shared" si="41"/>
        <v>5255400</v>
      </c>
      <c r="Q77" s="36"/>
      <c r="R77" s="26"/>
    </row>
    <row r="78" spans="1:18" s="33" customFormat="1" ht="138.75" hidden="1" thickTop="1" thickBot="1" x14ac:dyDescent="0.25">
      <c r="A78" s="126" t="s">
        <v>921</v>
      </c>
      <c r="B78" s="126" t="s">
        <v>922</v>
      </c>
      <c r="C78" s="126" t="s">
        <v>209</v>
      </c>
      <c r="D78" s="126" t="s">
        <v>1380</v>
      </c>
      <c r="E78" s="125">
        <f t="shared" si="42"/>
        <v>0</v>
      </c>
      <c r="F78" s="132"/>
      <c r="G78" s="132"/>
      <c r="H78" s="132"/>
      <c r="I78" s="132"/>
      <c r="J78" s="125">
        <f t="shared" si="25"/>
        <v>0</v>
      </c>
      <c r="K78" s="132"/>
      <c r="L78" s="132"/>
      <c r="M78" s="132"/>
      <c r="N78" s="132"/>
      <c r="O78" s="130">
        <f t="shared" si="43"/>
        <v>0</v>
      </c>
      <c r="P78" s="125">
        <f t="shared" si="41"/>
        <v>0</v>
      </c>
      <c r="Q78" s="36"/>
      <c r="R78" s="26"/>
    </row>
    <row r="79" spans="1:18" s="33" customFormat="1" ht="93" hidden="1" thickTop="1" thickBot="1" x14ac:dyDescent="0.25">
      <c r="A79" s="138" t="s">
        <v>976</v>
      </c>
      <c r="B79" s="138" t="s">
        <v>978</v>
      </c>
      <c r="C79" s="138"/>
      <c r="D79" s="138" t="s">
        <v>1372</v>
      </c>
      <c r="E79" s="139">
        <f>F79</f>
        <v>0</v>
      </c>
      <c r="F79" s="139">
        <f>SUM(F80:F81)</f>
        <v>0</v>
      </c>
      <c r="G79" s="139">
        <f>SUM(G80:G81)</f>
        <v>0</v>
      </c>
      <c r="H79" s="139">
        <f>SUM(H80:H81)</f>
        <v>0</v>
      </c>
      <c r="I79" s="139">
        <f>SUM(I80:I81)</f>
        <v>0</v>
      </c>
      <c r="J79" s="139">
        <f>L79+O79</f>
        <v>0</v>
      </c>
      <c r="K79" s="139">
        <f>SUM(K80:K81)</f>
        <v>0</v>
      </c>
      <c r="L79" s="139">
        <f>SUM(L80:L81)</f>
        <v>0</v>
      </c>
      <c r="M79" s="139">
        <f>SUM(M80:M81)</f>
        <v>0</v>
      </c>
      <c r="N79" s="139">
        <f>SUM(N80:N81)</f>
        <v>0</v>
      </c>
      <c r="O79" s="139">
        <f>SUM(O80:O81)</f>
        <v>0</v>
      </c>
      <c r="P79" s="139">
        <f>E79+J79</f>
        <v>0</v>
      </c>
      <c r="Q79" s="36"/>
      <c r="R79" s="26"/>
    </row>
    <row r="80" spans="1:18" s="33" customFormat="1" ht="138.75" hidden="1" thickTop="1" thickBot="1" x14ac:dyDescent="0.25">
      <c r="A80" s="126" t="s">
        <v>977</v>
      </c>
      <c r="B80" s="126" t="s">
        <v>979</v>
      </c>
      <c r="C80" s="126" t="s">
        <v>209</v>
      </c>
      <c r="D80" s="126" t="s">
        <v>1209</v>
      </c>
      <c r="E80" s="125">
        <f>F80</f>
        <v>0</v>
      </c>
      <c r="F80" s="132"/>
      <c r="G80" s="132"/>
      <c r="H80" s="132"/>
      <c r="I80" s="132"/>
      <c r="J80" s="125">
        <f t="shared" ref="J80:J81" si="44">L80+O80</f>
        <v>0</v>
      </c>
      <c r="K80" s="132">
        <v>0</v>
      </c>
      <c r="L80" s="132"/>
      <c r="M80" s="132"/>
      <c r="N80" s="132"/>
      <c r="O80" s="130">
        <f t="shared" ref="O80:O81" si="45">K80</f>
        <v>0</v>
      </c>
      <c r="P80" s="125">
        <f>E80+J80</f>
        <v>0</v>
      </c>
      <c r="Q80" s="36"/>
      <c r="R80" s="26"/>
    </row>
    <row r="81" spans="1:18" s="33" customFormat="1" ht="138.75" hidden="1" thickTop="1" thickBot="1" x14ac:dyDescent="0.25">
      <c r="A81" s="126" t="s">
        <v>1016</v>
      </c>
      <c r="B81" s="126" t="s">
        <v>1017</v>
      </c>
      <c r="C81" s="126" t="s">
        <v>209</v>
      </c>
      <c r="D81" s="126" t="s">
        <v>1481</v>
      </c>
      <c r="E81" s="125">
        <f>F81</f>
        <v>0</v>
      </c>
      <c r="F81" s="132">
        <f>(553900)-553900</f>
        <v>0</v>
      </c>
      <c r="G81" s="132"/>
      <c r="H81" s="132"/>
      <c r="I81" s="132"/>
      <c r="J81" s="125">
        <f t="shared" si="44"/>
        <v>0</v>
      </c>
      <c r="K81" s="132">
        <v>0</v>
      </c>
      <c r="L81" s="132"/>
      <c r="M81" s="132"/>
      <c r="N81" s="132"/>
      <c r="O81" s="130">
        <f t="shared" si="45"/>
        <v>0</v>
      </c>
      <c r="P81" s="125">
        <f>E81+J81</f>
        <v>0</v>
      </c>
      <c r="Q81" s="36"/>
      <c r="R81" s="26"/>
    </row>
    <row r="82" spans="1:18" s="33" customFormat="1" ht="184.5" thickTop="1" thickBot="1" x14ac:dyDescent="0.25">
      <c r="A82" s="598" t="s">
        <v>1328</v>
      </c>
      <c r="B82" s="598" t="s">
        <v>1329</v>
      </c>
      <c r="C82" s="598"/>
      <c r="D82" s="598" t="s">
        <v>1615</v>
      </c>
      <c r="E82" s="599">
        <f>SUM(E83:E84)</f>
        <v>0</v>
      </c>
      <c r="F82" s="599">
        <f t="shared" ref="F82:P82" si="46">SUM(F83:F84)</f>
        <v>0</v>
      </c>
      <c r="G82" s="599">
        <f t="shared" si="46"/>
        <v>0</v>
      </c>
      <c r="H82" s="599">
        <f t="shared" si="46"/>
        <v>0</v>
      </c>
      <c r="I82" s="599">
        <f t="shared" si="46"/>
        <v>0</v>
      </c>
      <c r="J82" s="599">
        <f t="shared" si="46"/>
        <v>13600965.779999999</v>
      </c>
      <c r="K82" s="599">
        <f t="shared" si="46"/>
        <v>13600965.779999999</v>
      </c>
      <c r="L82" s="599">
        <f t="shared" si="46"/>
        <v>0</v>
      </c>
      <c r="M82" s="599">
        <f t="shared" si="46"/>
        <v>0</v>
      </c>
      <c r="N82" s="599">
        <f t="shared" si="46"/>
        <v>0</v>
      </c>
      <c r="O82" s="599">
        <f t="shared" si="46"/>
        <v>13600965.779999999</v>
      </c>
      <c r="P82" s="599">
        <f t="shared" si="46"/>
        <v>13600965.779999999</v>
      </c>
      <c r="Q82" s="36"/>
      <c r="R82" s="26"/>
    </row>
    <row r="83" spans="1:18" s="33" customFormat="1" ht="276" thickTop="1" thickBot="1" x14ac:dyDescent="0.25">
      <c r="A83" s="101" t="s">
        <v>1330</v>
      </c>
      <c r="B83" s="101" t="s">
        <v>1331</v>
      </c>
      <c r="C83" s="101" t="s">
        <v>209</v>
      </c>
      <c r="D83" s="101" t="s">
        <v>1616</v>
      </c>
      <c r="E83" s="310">
        <f>F83</f>
        <v>0</v>
      </c>
      <c r="F83" s="425"/>
      <c r="G83" s="425"/>
      <c r="H83" s="425"/>
      <c r="I83" s="425"/>
      <c r="J83" s="310">
        <f t="shared" ref="J83:J84" si="47">L83+O83</f>
        <v>13600965.779999999</v>
      </c>
      <c r="K83" s="425">
        <f>((5000000)+7000000)+1600965.78</f>
        <v>13600965.779999999</v>
      </c>
      <c r="L83" s="425"/>
      <c r="M83" s="425"/>
      <c r="N83" s="425"/>
      <c r="O83" s="422">
        <f t="shared" ref="O83:O84" si="48">K83</f>
        <v>13600965.779999999</v>
      </c>
      <c r="P83" s="310">
        <f>E83+J83</f>
        <v>13600965.779999999</v>
      </c>
      <c r="Q83" s="36"/>
      <c r="R83" s="26"/>
    </row>
    <row r="84" spans="1:18" s="33" customFormat="1" ht="138.75" hidden="1" thickTop="1" thickBot="1" x14ac:dyDescent="0.25">
      <c r="A84" s="126" t="s">
        <v>1332</v>
      </c>
      <c r="B84" s="126" t="s">
        <v>1333</v>
      </c>
      <c r="C84" s="126" t="s">
        <v>209</v>
      </c>
      <c r="D84" s="126" t="s">
        <v>1334</v>
      </c>
      <c r="E84" s="125">
        <f>F84</f>
        <v>0</v>
      </c>
      <c r="F84" s="132"/>
      <c r="G84" s="132"/>
      <c r="H84" s="132"/>
      <c r="I84" s="132"/>
      <c r="J84" s="125">
        <f t="shared" si="47"/>
        <v>0</v>
      </c>
      <c r="K84" s="132"/>
      <c r="L84" s="132"/>
      <c r="M84" s="132"/>
      <c r="N84" s="132"/>
      <c r="O84" s="130">
        <f t="shared" si="48"/>
        <v>0</v>
      </c>
      <c r="P84" s="125">
        <f>E84+J84</f>
        <v>0</v>
      </c>
      <c r="Q84" s="36"/>
      <c r="R84" s="26"/>
    </row>
    <row r="85" spans="1:18" s="33" customFormat="1" ht="138.75" thickTop="1" thickBot="1" x14ac:dyDescent="0.25">
      <c r="A85" s="598" t="s">
        <v>1392</v>
      </c>
      <c r="B85" s="598" t="s">
        <v>1391</v>
      </c>
      <c r="C85" s="598"/>
      <c r="D85" s="598" t="s">
        <v>1393</v>
      </c>
      <c r="E85" s="599">
        <f>SUM(E86:E89)</f>
        <v>28229</v>
      </c>
      <c r="F85" s="599">
        <f t="shared" ref="F85:P85" si="49">SUM(F86:F89)</f>
        <v>28229</v>
      </c>
      <c r="G85" s="599">
        <f t="shared" si="49"/>
        <v>0</v>
      </c>
      <c r="H85" s="599">
        <f t="shared" si="49"/>
        <v>0</v>
      </c>
      <c r="I85" s="599">
        <f t="shared" si="49"/>
        <v>0</v>
      </c>
      <c r="J85" s="599">
        <f t="shared" si="49"/>
        <v>1971736</v>
      </c>
      <c r="K85" s="599">
        <f t="shared" si="49"/>
        <v>171769</v>
      </c>
      <c r="L85" s="599">
        <f t="shared" si="49"/>
        <v>254051</v>
      </c>
      <c r="M85" s="599">
        <f t="shared" si="49"/>
        <v>0</v>
      </c>
      <c r="N85" s="599">
        <f t="shared" si="49"/>
        <v>0</v>
      </c>
      <c r="O85" s="599">
        <f t="shared" si="49"/>
        <v>1717685</v>
      </c>
      <c r="P85" s="599">
        <f t="shared" si="49"/>
        <v>1999965</v>
      </c>
      <c r="Q85" s="36"/>
      <c r="R85" s="26"/>
    </row>
    <row r="86" spans="1:18" s="33" customFormat="1" ht="93" hidden="1" thickTop="1" thickBot="1" x14ac:dyDescent="0.25">
      <c r="A86" s="536" t="s">
        <v>1394</v>
      </c>
      <c r="B86" s="536" t="s">
        <v>1395</v>
      </c>
      <c r="C86" s="536" t="s">
        <v>209</v>
      </c>
      <c r="D86" s="536" t="s">
        <v>1399</v>
      </c>
      <c r="E86" s="713">
        <f t="shared" ref="E86:E87" si="50">F86</f>
        <v>0</v>
      </c>
      <c r="F86" s="714">
        <v>0</v>
      </c>
      <c r="G86" s="714"/>
      <c r="H86" s="714"/>
      <c r="I86" s="714"/>
      <c r="J86" s="713">
        <f t="shared" ref="J86:J89" si="51">L86+O86</f>
        <v>0</v>
      </c>
      <c r="K86" s="714"/>
      <c r="L86" s="714"/>
      <c r="M86" s="714"/>
      <c r="N86" s="714"/>
      <c r="O86" s="715">
        <f t="shared" ref="O86" si="52">K86</f>
        <v>0</v>
      </c>
      <c r="P86" s="713">
        <f t="shared" ref="P86:P87" si="53">E86+J86</f>
        <v>0</v>
      </c>
      <c r="Q86" s="36"/>
      <c r="R86" s="26"/>
    </row>
    <row r="87" spans="1:18" s="33" customFormat="1" ht="138.75" hidden="1" thickTop="1" thickBot="1" x14ac:dyDescent="0.25">
      <c r="A87" s="536" t="s">
        <v>1396</v>
      </c>
      <c r="B87" s="536" t="s">
        <v>1397</v>
      </c>
      <c r="C87" s="536" t="s">
        <v>209</v>
      </c>
      <c r="D87" s="536" t="s">
        <v>1398</v>
      </c>
      <c r="E87" s="713">
        <f t="shared" si="50"/>
        <v>0</v>
      </c>
      <c r="F87" s="714"/>
      <c r="G87" s="714"/>
      <c r="H87" s="714"/>
      <c r="I87" s="714"/>
      <c r="J87" s="713">
        <f t="shared" si="51"/>
        <v>0</v>
      </c>
      <c r="K87" s="714"/>
      <c r="L87" s="714"/>
      <c r="M87" s="714"/>
      <c r="N87" s="714"/>
      <c r="O87" s="715">
        <f>K87</f>
        <v>0</v>
      </c>
      <c r="P87" s="713">
        <f t="shared" si="53"/>
        <v>0</v>
      </c>
      <c r="Q87" s="36"/>
      <c r="R87" s="26"/>
    </row>
    <row r="88" spans="1:18" s="33" customFormat="1" ht="163.5" customHeight="1" thickTop="1" thickBot="1" x14ac:dyDescent="0.25">
      <c r="A88" s="101" t="s">
        <v>1702</v>
      </c>
      <c r="B88" s="101" t="s">
        <v>1697</v>
      </c>
      <c r="C88" s="101" t="s">
        <v>209</v>
      </c>
      <c r="D88" s="101" t="s">
        <v>1696</v>
      </c>
      <c r="E88" s="310">
        <f>F88</f>
        <v>28229</v>
      </c>
      <c r="F88" s="425">
        <v>28229</v>
      </c>
      <c r="G88" s="425"/>
      <c r="H88" s="425"/>
      <c r="I88" s="425"/>
      <c r="J88" s="310">
        <f t="shared" si="51"/>
        <v>171769</v>
      </c>
      <c r="K88" s="425">
        <v>171769</v>
      </c>
      <c r="L88" s="425"/>
      <c r="M88" s="425"/>
      <c r="N88" s="425"/>
      <c r="O88" s="422">
        <f t="shared" ref="O88" si="54">K88</f>
        <v>171769</v>
      </c>
      <c r="P88" s="310">
        <f>E88+J88</f>
        <v>199998</v>
      </c>
      <c r="Q88" s="36"/>
      <c r="R88" s="26"/>
    </row>
    <row r="89" spans="1:18" s="33" customFormat="1" ht="138.75" thickTop="1" thickBot="1" x14ac:dyDescent="0.25">
      <c r="A89" s="101" t="s">
        <v>1703</v>
      </c>
      <c r="B89" s="101" t="s">
        <v>1699</v>
      </c>
      <c r="C89" s="101" t="s">
        <v>209</v>
      </c>
      <c r="D89" s="101" t="s">
        <v>1698</v>
      </c>
      <c r="E89" s="310">
        <f>F89</f>
        <v>0</v>
      </c>
      <c r="F89" s="425"/>
      <c r="G89" s="425"/>
      <c r="H89" s="425"/>
      <c r="I89" s="425"/>
      <c r="J89" s="310">
        <f t="shared" si="51"/>
        <v>1799967</v>
      </c>
      <c r="K89" s="425"/>
      <c r="L89" s="425">
        <v>254051</v>
      </c>
      <c r="M89" s="425"/>
      <c r="N89" s="425"/>
      <c r="O89" s="422">
        <f>K89+1545916</f>
        <v>1545916</v>
      </c>
      <c r="P89" s="310">
        <f>E89+J89</f>
        <v>1799967</v>
      </c>
      <c r="Q89" s="36"/>
      <c r="R89" s="26"/>
    </row>
    <row r="90" spans="1:18" s="33" customFormat="1" ht="209.25" customHeight="1" thickTop="1" thickBot="1" x14ac:dyDescent="0.25">
      <c r="A90" s="598" t="s">
        <v>1458</v>
      </c>
      <c r="B90" s="598" t="s">
        <v>1460</v>
      </c>
      <c r="C90" s="101"/>
      <c r="D90" s="598" t="s">
        <v>1457</v>
      </c>
      <c r="E90" s="599">
        <f>SUM(E91:E92)</f>
        <v>697523.23</v>
      </c>
      <c r="F90" s="599">
        <f t="shared" ref="F90:O90" si="55">SUM(F91:F92)</f>
        <v>697523.23</v>
      </c>
      <c r="G90" s="599">
        <f t="shared" si="55"/>
        <v>0</v>
      </c>
      <c r="H90" s="599">
        <f t="shared" si="55"/>
        <v>0</v>
      </c>
      <c r="I90" s="599">
        <f t="shared" si="55"/>
        <v>0</v>
      </c>
      <c r="J90" s="599">
        <f t="shared" si="55"/>
        <v>6199672.8099999996</v>
      </c>
      <c r="K90" s="599">
        <f t="shared" si="55"/>
        <v>1371638.2999999998</v>
      </c>
      <c r="L90" s="599">
        <f t="shared" si="55"/>
        <v>1627549.7</v>
      </c>
      <c r="M90" s="599">
        <f t="shared" si="55"/>
        <v>0</v>
      </c>
      <c r="N90" s="599">
        <f t="shared" si="55"/>
        <v>0</v>
      </c>
      <c r="O90" s="599">
        <f t="shared" si="55"/>
        <v>4572123.1099999994</v>
      </c>
      <c r="P90" s="599">
        <f>SUM(P91:P92)</f>
        <v>6897196.0399999991</v>
      </c>
      <c r="Q90" s="36"/>
      <c r="R90" s="26"/>
    </row>
    <row r="91" spans="1:18" s="33" customFormat="1" ht="230.25" thickTop="1" thickBot="1" x14ac:dyDescent="0.25">
      <c r="A91" s="101" t="s">
        <v>1461</v>
      </c>
      <c r="B91" s="101" t="s">
        <v>1459</v>
      </c>
      <c r="C91" s="101" t="s">
        <v>209</v>
      </c>
      <c r="D91" s="101" t="s">
        <v>1462</v>
      </c>
      <c r="E91" s="310">
        <f>F91</f>
        <v>697523.23</v>
      </c>
      <c r="F91" s="425">
        <f>(0)+697523.23</f>
        <v>697523.23</v>
      </c>
      <c r="G91" s="425"/>
      <c r="H91" s="425"/>
      <c r="I91" s="425"/>
      <c r="J91" s="310">
        <f t="shared" ref="J91:J93" si="56">L91+O91</f>
        <v>1371638.2999999998</v>
      </c>
      <c r="K91" s="425">
        <f>(0)+1209663.43+161974.87</f>
        <v>1371638.2999999998</v>
      </c>
      <c r="L91" s="425"/>
      <c r="M91" s="425"/>
      <c r="N91" s="425"/>
      <c r="O91" s="422">
        <f t="shared" ref="O91" si="57">K91</f>
        <v>1371638.2999999998</v>
      </c>
      <c r="P91" s="310">
        <f>E91+J91</f>
        <v>2069161.5299999998</v>
      </c>
      <c r="Q91" s="36"/>
      <c r="R91" s="26"/>
    </row>
    <row r="92" spans="1:18" s="33" customFormat="1" ht="219" customHeight="1" thickTop="1" thickBot="1" x14ac:dyDescent="0.25">
      <c r="A92" s="101" t="s">
        <v>1463</v>
      </c>
      <c r="B92" s="101" t="s">
        <v>1464</v>
      </c>
      <c r="C92" s="101" t="s">
        <v>209</v>
      </c>
      <c r="D92" s="101" t="s">
        <v>1465</v>
      </c>
      <c r="E92" s="310">
        <f>F92</f>
        <v>0</v>
      </c>
      <c r="F92" s="425"/>
      <c r="G92" s="425"/>
      <c r="H92" s="425"/>
      <c r="I92" s="425"/>
      <c r="J92" s="310">
        <f t="shared" si="56"/>
        <v>4828034.51</v>
      </c>
      <c r="K92" s="425"/>
      <c r="L92" s="425">
        <v>1627549.7</v>
      </c>
      <c r="M92" s="425"/>
      <c r="N92" s="425"/>
      <c r="O92" s="422">
        <f>K92+2822543.49+377941.32</f>
        <v>3200484.81</v>
      </c>
      <c r="P92" s="310">
        <f>E92+J92</f>
        <v>4828034.51</v>
      </c>
      <c r="Q92" s="36"/>
      <c r="R92" s="26"/>
    </row>
    <row r="93" spans="1:18" s="33" customFormat="1" ht="54" thickTop="1" thickBot="1" x14ac:dyDescent="0.25">
      <c r="A93" s="101" t="s">
        <v>1587</v>
      </c>
      <c r="B93" s="101" t="s">
        <v>1569</v>
      </c>
      <c r="C93" s="101" t="s">
        <v>209</v>
      </c>
      <c r="D93" s="101" t="s">
        <v>1570</v>
      </c>
      <c r="E93" s="310">
        <f>F93</f>
        <v>0</v>
      </c>
      <c r="F93" s="425"/>
      <c r="G93" s="425"/>
      <c r="H93" s="425"/>
      <c r="I93" s="425"/>
      <c r="J93" s="310">
        <f t="shared" si="56"/>
        <v>26128251.100000001</v>
      </c>
      <c r="K93" s="425">
        <f>((2000000+3000000)+10000000)+11128251.1</f>
        <v>26128251.100000001</v>
      </c>
      <c r="L93" s="425"/>
      <c r="M93" s="425"/>
      <c r="N93" s="425"/>
      <c r="O93" s="422">
        <f t="shared" ref="O93" si="58">K93</f>
        <v>26128251.100000001</v>
      </c>
      <c r="P93" s="310">
        <f>E93+J93</f>
        <v>26128251.100000001</v>
      </c>
      <c r="Q93" s="36"/>
      <c r="R93" s="26"/>
    </row>
    <row r="94" spans="1:18" s="33" customFormat="1" ht="93" thickTop="1" thickBot="1" x14ac:dyDescent="0.25">
      <c r="A94" s="598" t="s">
        <v>1523</v>
      </c>
      <c r="B94" s="598" t="s">
        <v>1526</v>
      </c>
      <c r="C94" s="101"/>
      <c r="D94" s="598" t="s">
        <v>1527</v>
      </c>
      <c r="E94" s="599">
        <f>E95</f>
        <v>0</v>
      </c>
      <c r="F94" s="599">
        <f t="shared" ref="F94:P94" si="59">F95</f>
        <v>0</v>
      </c>
      <c r="G94" s="599">
        <f t="shared" si="59"/>
        <v>0</v>
      </c>
      <c r="H94" s="599">
        <f t="shared" si="59"/>
        <v>0</v>
      </c>
      <c r="I94" s="599">
        <f t="shared" si="59"/>
        <v>0</v>
      </c>
      <c r="J94" s="599">
        <f t="shared" si="59"/>
        <v>42063000</v>
      </c>
      <c r="K94" s="599">
        <f t="shared" si="59"/>
        <v>0</v>
      </c>
      <c r="L94" s="599">
        <f t="shared" si="59"/>
        <v>42063000</v>
      </c>
      <c r="M94" s="599">
        <f t="shared" si="59"/>
        <v>0</v>
      </c>
      <c r="N94" s="599">
        <f t="shared" si="59"/>
        <v>0</v>
      </c>
      <c r="O94" s="599">
        <f t="shared" si="59"/>
        <v>0</v>
      </c>
      <c r="P94" s="599">
        <f t="shared" si="59"/>
        <v>42063000</v>
      </c>
      <c r="Q94" s="36"/>
      <c r="R94" s="26"/>
    </row>
    <row r="95" spans="1:18" s="33" customFormat="1" ht="138.75" thickTop="1" thickBot="1" x14ac:dyDescent="0.25">
      <c r="A95" s="101" t="s">
        <v>1524</v>
      </c>
      <c r="B95" s="101" t="s">
        <v>1525</v>
      </c>
      <c r="C95" s="101" t="s">
        <v>209</v>
      </c>
      <c r="D95" s="101" t="s">
        <v>1528</v>
      </c>
      <c r="E95" s="310">
        <f>F95</f>
        <v>0</v>
      </c>
      <c r="F95" s="425"/>
      <c r="G95" s="425"/>
      <c r="H95" s="425"/>
      <c r="I95" s="425"/>
      <c r="J95" s="310">
        <f t="shared" ref="J95:J96" si="60">L95+O95</f>
        <v>42063000</v>
      </c>
      <c r="K95" s="425"/>
      <c r="L95" s="425">
        <v>42063000</v>
      </c>
      <c r="M95" s="425"/>
      <c r="N95" s="425"/>
      <c r="O95" s="422">
        <f t="shared" ref="O95:O96" si="61">K95</f>
        <v>0</v>
      </c>
      <c r="P95" s="310">
        <f>E95+J95</f>
        <v>42063000</v>
      </c>
      <c r="Q95" s="36"/>
      <c r="R95" s="26"/>
    </row>
    <row r="96" spans="1:18" s="33" customFormat="1" ht="123" customHeight="1" thickTop="1" thickBot="1" x14ac:dyDescent="0.25">
      <c r="A96" s="101" t="s">
        <v>1630</v>
      </c>
      <c r="B96" s="101" t="s">
        <v>1631</v>
      </c>
      <c r="C96" s="101" t="s">
        <v>209</v>
      </c>
      <c r="D96" s="101" t="s">
        <v>1632</v>
      </c>
      <c r="E96" s="310">
        <f>F96</f>
        <v>38198300</v>
      </c>
      <c r="F96" s="425">
        <v>38198300</v>
      </c>
      <c r="G96" s="425">
        <v>31310100</v>
      </c>
      <c r="H96" s="425"/>
      <c r="I96" s="425"/>
      <c r="J96" s="310">
        <f t="shared" si="60"/>
        <v>0</v>
      </c>
      <c r="K96" s="425"/>
      <c r="L96" s="425"/>
      <c r="M96" s="425"/>
      <c r="N96" s="425"/>
      <c r="O96" s="422">
        <f t="shared" si="61"/>
        <v>0</v>
      </c>
      <c r="P96" s="310">
        <f>E96+J96</f>
        <v>38198300</v>
      </c>
      <c r="Q96" s="36"/>
      <c r="R96" s="26"/>
    </row>
    <row r="97" spans="1:18" s="33" customFormat="1" ht="47.25" thickTop="1" thickBot="1" x14ac:dyDescent="0.25">
      <c r="A97" s="298" t="s">
        <v>697</v>
      </c>
      <c r="B97" s="298" t="s">
        <v>698</v>
      </c>
      <c r="C97" s="298"/>
      <c r="D97" s="298" t="s">
        <v>699</v>
      </c>
      <c r="E97" s="310">
        <f>SUM(E98:E99)</f>
        <v>715000</v>
      </c>
      <c r="F97" s="310">
        <f t="shared" ref="F97:P97" si="62">SUM(F98:F99)</f>
        <v>715000</v>
      </c>
      <c r="G97" s="310">
        <f t="shared" si="62"/>
        <v>0</v>
      </c>
      <c r="H97" s="310">
        <f t="shared" si="62"/>
        <v>0</v>
      </c>
      <c r="I97" s="310">
        <f t="shared" si="62"/>
        <v>0</v>
      </c>
      <c r="J97" s="310">
        <f t="shared" si="62"/>
        <v>0</v>
      </c>
      <c r="K97" s="310">
        <f t="shared" si="62"/>
        <v>0</v>
      </c>
      <c r="L97" s="310">
        <f t="shared" si="62"/>
        <v>0</v>
      </c>
      <c r="M97" s="310">
        <f t="shared" si="62"/>
        <v>0</v>
      </c>
      <c r="N97" s="310">
        <f t="shared" si="62"/>
        <v>0</v>
      </c>
      <c r="O97" s="310">
        <f t="shared" si="62"/>
        <v>0</v>
      </c>
      <c r="P97" s="310">
        <f t="shared" si="62"/>
        <v>715000</v>
      </c>
      <c r="Q97" s="36"/>
      <c r="R97" s="26"/>
    </row>
    <row r="98" spans="1:18" s="33" customFormat="1" ht="167.25" customHeight="1" thickTop="1" thickBot="1" x14ac:dyDescent="0.25">
      <c r="A98" s="101" t="s">
        <v>426</v>
      </c>
      <c r="B98" s="101" t="s">
        <v>427</v>
      </c>
      <c r="C98" s="101" t="s">
        <v>184</v>
      </c>
      <c r="D98" s="101" t="s">
        <v>425</v>
      </c>
      <c r="E98" s="310">
        <f t="shared" si="42"/>
        <v>715000</v>
      </c>
      <c r="F98" s="425">
        <v>715000</v>
      </c>
      <c r="G98" s="425"/>
      <c r="H98" s="425"/>
      <c r="I98" s="425"/>
      <c r="J98" s="310">
        <f>L98+O98</f>
        <v>0</v>
      </c>
      <c r="K98" s="425"/>
      <c r="L98" s="425"/>
      <c r="M98" s="425"/>
      <c r="N98" s="425"/>
      <c r="O98" s="422">
        <f>K98</f>
        <v>0</v>
      </c>
      <c r="P98" s="310">
        <f>E98+J98</f>
        <v>715000</v>
      </c>
      <c r="Q98" s="36"/>
      <c r="R98" s="39"/>
    </row>
    <row r="99" spans="1:18" s="33" customFormat="1" ht="114.75" hidden="1" customHeight="1" thickTop="1" thickBot="1" x14ac:dyDescent="0.25">
      <c r="A99" s="126" t="s">
        <v>1192</v>
      </c>
      <c r="B99" s="126" t="s">
        <v>1159</v>
      </c>
      <c r="C99" s="126" t="s">
        <v>205</v>
      </c>
      <c r="D99" s="369" t="s">
        <v>1160</v>
      </c>
      <c r="E99" s="125">
        <f t="shared" si="42"/>
        <v>0</v>
      </c>
      <c r="F99" s="132"/>
      <c r="G99" s="132"/>
      <c r="H99" s="132"/>
      <c r="I99" s="132"/>
      <c r="J99" s="125">
        <f>L99+O99</f>
        <v>0</v>
      </c>
      <c r="K99" s="132"/>
      <c r="L99" s="132"/>
      <c r="M99" s="132"/>
      <c r="N99" s="132"/>
      <c r="O99" s="130">
        <f>K99</f>
        <v>0</v>
      </c>
      <c r="P99" s="125">
        <f>E99+J99</f>
        <v>0</v>
      </c>
      <c r="Q99" s="36"/>
      <c r="R99" s="39"/>
    </row>
    <row r="100" spans="1:18" s="33" customFormat="1" ht="47.25" thickTop="1" thickBot="1" x14ac:dyDescent="0.25">
      <c r="A100" s="298" t="s">
        <v>1053</v>
      </c>
      <c r="B100" s="298" t="s">
        <v>735</v>
      </c>
      <c r="C100" s="298"/>
      <c r="D100" s="298" t="s">
        <v>1052</v>
      </c>
      <c r="E100" s="310">
        <f>E103+E101</f>
        <v>0</v>
      </c>
      <c r="F100" s="310">
        <f t="shared" ref="F100:P100" si="63">F103+F101</f>
        <v>0</v>
      </c>
      <c r="G100" s="310">
        <f t="shared" si="63"/>
        <v>0</v>
      </c>
      <c r="H100" s="310">
        <f t="shared" si="63"/>
        <v>0</v>
      </c>
      <c r="I100" s="310">
        <f t="shared" si="63"/>
        <v>0</v>
      </c>
      <c r="J100" s="310">
        <f t="shared" si="63"/>
        <v>5131606.79</v>
      </c>
      <c r="K100" s="310">
        <f t="shared" si="63"/>
        <v>5131606.79</v>
      </c>
      <c r="L100" s="310">
        <f t="shared" si="63"/>
        <v>0</v>
      </c>
      <c r="M100" s="310">
        <f t="shared" si="63"/>
        <v>0</v>
      </c>
      <c r="N100" s="310">
        <f t="shared" si="63"/>
        <v>0</v>
      </c>
      <c r="O100" s="310">
        <f t="shared" si="63"/>
        <v>5131606.79</v>
      </c>
      <c r="P100" s="310">
        <f t="shared" si="63"/>
        <v>5131606.79</v>
      </c>
      <c r="Q100" s="36"/>
      <c r="R100" s="26"/>
    </row>
    <row r="101" spans="1:18" s="33" customFormat="1" ht="47.25" hidden="1" thickTop="1" thickBot="1" x14ac:dyDescent="0.25">
      <c r="A101" s="593" t="s">
        <v>1658</v>
      </c>
      <c r="B101" s="703" t="s">
        <v>788</v>
      </c>
      <c r="C101" s="703"/>
      <c r="D101" s="703" t="s">
        <v>1623</v>
      </c>
      <c r="E101" s="595">
        <f>E102</f>
        <v>0</v>
      </c>
      <c r="F101" s="595">
        <f t="shared" ref="F101:P103" si="64">F102</f>
        <v>0</v>
      </c>
      <c r="G101" s="595">
        <f t="shared" si="64"/>
        <v>0</v>
      </c>
      <c r="H101" s="595">
        <f t="shared" si="64"/>
        <v>0</v>
      </c>
      <c r="I101" s="595">
        <f t="shared" si="64"/>
        <v>0</v>
      </c>
      <c r="J101" s="595">
        <f t="shared" si="64"/>
        <v>0</v>
      </c>
      <c r="K101" s="595">
        <f t="shared" si="64"/>
        <v>0</v>
      </c>
      <c r="L101" s="595">
        <f t="shared" si="64"/>
        <v>0</v>
      </c>
      <c r="M101" s="595">
        <f t="shared" si="64"/>
        <v>0</v>
      </c>
      <c r="N101" s="595">
        <f t="shared" si="64"/>
        <v>0</v>
      </c>
      <c r="O101" s="595">
        <f t="shared" si="64"/>
        <v>0</v>
      </c>
      <c r="P101" s="595">
        <f t="shared" si="64"/>
        <v>0</v>
      </c>
      <c r="Q101" s="36"/>
      <c r="R101" s="26"/>
    </row>
    <row r="102" spans="1:18" s="33" customFormat="1" ht="54" hidden="1" thickTop="1" thickBot="1" x14ac:dyDescent="0.25">
      <c r="A102" s="101" t="s">
        <v>1659</v>
      </c>
      <c r="B102" s="700" t="s">
        <v>313</v>
      </c>
      <c r="C102" s="700" t="s">
        <v>302</v>
      </c>
      <c r="D102" s="700" t="s">
        <v>1572</v>
      </c>
      <c r="E102" s="310">
        <f t="shared" ref="E102" si="65">F102</f>
        <v>0</v>
      </c>
      <c r="F102" s="425"/>
      <c r="G102" s="425"/>
      <c r="H102" s="425"/>
      <c r="I102" s="425"/>
      <c r="J102" s="310">
        <f t="shared" ref="J102" si="66">L102+O102</f>
        <v>0</v>
      </c>
      <c r="K102" s="425">
        <f>1600000-1600000</f>
        <v>0</v>
      </c>
      <c r="L102" s="425"/>
      <c r="M102" s="425"/>
      <c r="N102" s="425"/>
      <c r="O102" s="422">
        <f t="shared" ref="O102" si="67">K102</f>
        <v>0</v>
      </c>
      <c r="P102" s="310">
        <f>E102+J102</f>
        <v>0</v>
      </c>
      <c r="Q102" s="36"/>
      <c r="R102" s="26"/>
    </row>
    <row r="103" spans="1:18" s="33" customFormat="1" ht="57" customHeight="1" thickTop="1" thickBot="1" x14ac:dyDescent="0.25">
      <c r="A103" s="593" t="s">
        <v>1054</v>
      </c>
      <c r="B103" s="593" t="s">
        <v>679</v>
      </c>
      <c r="C103" s="593"/>
      <c r="D103" s="593" t="s">
        <v>677</v>
      </c>
      <c r="E103" s="595">
        <f>E104</f>
        <v>0</v>
      </c>
      <c r="F103" s="595">
        <f t="shared" si="64"/>
        <v>0</v>
      </c>
      <c r="G103" s="595">
        <f t="shared" si="64"/>
        <v>0</v>
      </c>
      <c r="H103" s="595">
        <f t="shared" si="64"/>
        <v>0</v>
      </c>
      <c r="I103" s="595">
        <f t="shared" si="64"/>
        <v>0</v>
      </c>
      <c r="J103" s="595">
        <f t="shared" si="64"/>
        <v>5131606.79</v>
      </c>
      <c r="K103" s="595">
        <f t="shared" si="64"/>
        <v>5131606.79</v>
      </c>
      <c r="L103" s="595">
        <f t="shared" si="64"/>
        <v>0</v>
      </c>
      <c r="M103" s="595">
        <f t="shared" si="64"/>
        <v>0</v>
      </c>
      <c r="N103" s="595">
        <f t="shared" si="64"/>
        <v>0</v>
      </c>
      <c r="O103" s="595">
        <f t="shared" si="64"/>
        <v>5131606.79</v>
      </c>
      <c r="P103" s="595">
        <f t="shared" si="64"/>
        <v>5131606.79</v>
      </c>
      <c r="Q103" s="30"/>
      <c r="R103" s="26"/>
    </row>
    <row r="104" spans="1:18" s="33" customFormat="1" ht="57" customHeight="1" thickTop="1" thickBot="1" x14ac:dyDescent="0.25">
      <c r="A104" s="101" t="s">
        <v>1055</v>
      </c>
      <c r="B104" s="101" t="s">
        <v>211</v>
      </c>
      <c r="C104" s="101" t="s">
        <v>212</v>
      </c>
      <c r="D104" s="101" t="s">
        <v>41</v>
      </c>
      <c r="E104" s="310">
        <f t="shared" ref="E104" si="68">F104</f>
        <v>0</v>
      </c>
      <c r="F104" s="425"/>
      <c r="G104" s="425"/>
      <c r="H104" s="425"/>
      <c r="I104" s="425"/>
      <c r="J104" s="310">
        <f t="shared" ref="J104" si="69">L104+O104</f>
        <v>5131606.79</v>
      </c>
      <c r="K104" s="425">
        <f>((1000000)+1970975.79)+2160631</f>
        <v>5131606.79</v>
      </c>
      <c r="L104" s="425"/>
      <c r="M104" s="425"/>
      <c r="N104" s="425"/>
      <c r="O104" s="422">
        <f t="shared" ref="O104" si="70">K104</f>
        <v>5131606.79</v>
      </c>
      <c r="P104" s="310">
        <f>E104+J104</f>
        <v>5131606.79</v>
      </c>
      <c r="Q104" s="30"/>
      <c r="R104" s="26"/>
    </row>
    <row r="105" spans="1:18" s="33" customFormat="1" ht="47.25" hidden="1" thickTop="1" thickBot="1" x14ac:dyDescent="0.25">
      <c r="A105" s="123" t="s">
        <v>1183</v>
      </c>
      <c r="B105" s="123" t="s">
        <v>684</v>
      </c>
      <c r="C105" s="123"/>
      <c r="D105" s="123" t="s">
        <v>685</v>
      </c>
      <c r="E105" s="125">
        <f t="shared" ref="E105:P106" si="71">E106</f>
        <v>0</v>
      </c>
      <c r="F105" s="125">
        <f t="shared" si="71"/>
        <v>0</v>
      </c>
      <c r="G105" s="125">
        <f t="shared" si="71"/>
        <v>0</v>
      </c>
      <c r="H105" s="125">
        <f t="shared" si="71"/>
        <v>0</v>
      </c>
      <c r="I105" s="125">
        <f t="shared" si="71"/>
        <v>0</v>
      </c>
      <c r="J105" s="125">
        <f t="shared" si="71"/>
        <v>0</v>
      </c>
      <c r="K105" s="125">
        <f t="shared" si="71"/>
        <v>0</v>
      </c>
      <c r="L105" s="125">
        <f t="shared" si="71"/>
        <v>0</v>
      </c>
      <c r="M105" s="125">
        <f t="shared" si="71"/>
        <v>0</v>
      </c>
      <c r="N105" s="125">
        <f t="shared" si="71"/>
        <v>0</v>
      </c>
      <c r="O105" s="125">
        <f t="shared" si="71"/>
        <v>0</v>
      </c>
      <c r="P105" s="125">
        <f t="shared" si="71"/>
        <v>0</v>
      </c>
      <c r="Q105" s="30"/>
      <c r="R105" s="26"/>
    </row>
    <row r="106" spans="1:18" s="33" customFormat="1" ht="47.25" hidden="1" thickTop="1" thickBot="1" x14ac:dyDescent="0.25">
      <c r="A106" s="134" t="s">
        <v>1184</v>
      </c>
      <c r="B106" s="134" t="s">
        <v>1145</v>
      </c>
      <c r="C106" s="134"/>
      <c r="D106" s="134" t="s">
        <v>1143</v>
      </c>
      <c r="E106" s="135">
        <f t="shared" si="71"/>
        <v>0</v>
      </c>
      <c r="F106" s="135">
        <f t="shared" si="71"/>
        <v>0</v>
      </c>
      <c r="G106" s="135">
        <f t="shared" si="71"/>
        <v>0</v>
      </c>
      <c r="H106" s="135">
        <f t="shared" si="71"/>
        <v>0</v>
      </c>
      <c r="I106" s="135">
        <f t="shared" si="71"/>
        <v>0</v>
      </c>
      <c r="J106" s="135">
        <f t="shared" si="71"/>
        <v>0</v>
      </c>
      <c r="K106" s="135">
        <f t="shared" si="71"/>
        <v>0</v>
      </c>
      <c r="L106" s="135">
        <f t="shared" si="71"/>
        <v>0</v>
      </c>
      <c r="M106" s="135">
        <f t="shared" si="71"/>
        <v>0</v>
      </c>
      <c r="N106" s="135">
        <f t="shared" si="71"/>
        <v>0</v>
      </c>
      <c r="O106" s="135">
        <f t="shared" si="71"/>
        <v>0</v>
      </c>
      <c r="P106" s="135">
        <f t="shared" si="71"/>
        <v>0</v>
      </c>
      <c r="Q106" s="30"/>
      <c r="R106" s="26"/>
    </row>
    <row r="107" spans="1:18" s="33" customFormat="1" ht="48" hidden="1" thickTop="1" thickBot="1" x14ac:dyDescent="0.25">
      <c r="A107" s="126" t="s">
        <v>1185</v>
      </c>
      <c r="B107" s="126" t="s">
        <v>1149</v>
      </c>
      <c r="C107" s="126" t="s">
        <v>1147</v>
      </c>
      <c r="D107" s="126" t="s">
        <v>1146</v>
      </c>
      <c r="E107" s="125">
        <f>F107</f>
        <v>0</v>
      </c>
      <c r="F107" s="132"/>
      <c r="G107" s="132"/>
      <c r="H107" s="132"/>
      <c r="I107" s="132"/>
      <c r="J107" s="125">
        <f>L107+O107</f>
        <v>0</v>
      </c>
      <c r="K107" s="132">
        <v>0</v>
      </c>
      <c r="L107" s="132"/>
      <c r="M107" s="132"/>
      <c r="N107" s="132"/>
      <c r="O107" s="130">
        <f>K107</f>
        <v>0</v>
      </c>
      <c r="P107" s="125">
        <f>E107+J107</f>
        <v>0</v>
      </c>
      <c r="Q107" s="30"/>
      <c r="R107" s="26"/>
    </row>
    <row r="108" spans="1:18" s="33" customFormat="1" ht="47.25" hidden="1" customHeight="1" thickTop="1" thickBot="1" x14ac:dyDescent="0.25">
      <c r="A108" s="144" t="s">
        <v>996</v>
      </c>
      <c r="B108" s="144" t="s">
        <v>689</v>
      </c>
      <c r="C108" s="144"/>
      <c r="D108" s="144" t="s">
        <v>690</v>
      </c>
      <c r="E108" s="42">
        <f>E109</f>
        <v>0</v>
      </c>
      <c r="F108" s="42">
        <f t="shared" ref="F108:P109" si="72">F109</f>
        <v>0</v>
      </c>
      <c r="G108" s="42">
        <f t="shared" si="72"/>
        <v>0</v>
      </c>
      <c r="H108" s="42">
        <f t="shared" si="72"/>
        <v>0</v>
      </c>
      <c r="I108" s="42">
        <f t="shared" si="72"/>
        <v>0</v>
      </c>
      <c r="J108" s="42">
        <f t="shared" si="72"/>
        <v>0</v>
      </c>
      <c r="K108" s="42">
        <f t="shared" si="72"/>
        <v>0</v>
      </c>
      <c r="L108" s="42">
        <f t="shared" si="72"/>
        <v>0</v>
      </c>
      <c r="M108" s="42">
        <f t="shared" si="72"/>
        <v>0</v>
      </c>
      <c r="N108" s="42">
        <f t="shared" si="72"/>
        <v>0</v>
      </c>
      <c r="O108" s="42">
        <f t="shared" si="72"/>
        <v>0</v>
      </c>
      <c r="P108" s="42">
        <f t="shared" si="72"/>
        <v>0</v>
      </c>
      <c r="Q108" s="36"/>
      <c r="R108" s="26"/>
    </row>
    <row r="109" spans="1:18" s="33" customFormat="1" ht="91.5" hidden="1" thickTop="1" thickBot="1" x14ac:dyDescent="0.25">
      <c r="A109" s="145" t="s">
        <v>997</v>
      </c>
      <c r="B109" s="145" t="s">
        <v>692</v>
      </c>
      <c r="C109" s="145"/>
      <c r="D109" s="145" t="s">
        <v>693</v>
      </c>
      <c r="E109" s="146">
        <f>E110</f>
        <v>0</v>
      </c>
      <c r="F109" s="146">
        <f t="shared" si="72"/>
        <v>0</v>
      </c>
      <c r="G109" s="146">
        <f t="shared" si="72"/>
        <v>0</v>
      </c>
      <c r="H109" s="146">
        <f t="shared" si="72"/>
        <v>0</v>
      </c>
      <c r="I109" s="146">
        <f t="shared" si="72"/>
        <v>0</v>
      </c>
      <c r="J109" s="146">
        <f t="shared" si="72"/>
        <v>0</v>
      </c>
      <c r="K109" s="146">
        <f t="shared" si="72"/>
        <v>0</v>
      </c>
      <c r="L109" s="146">
        <f t="shared" si="72"/>
        <v>0</v>
      </c>
      <c r="M109" s="146">
        <f t="shared" si="72"/>
        <v>0</v>
      </c>
      <c r="N109" s="146">
        <f t="shared" si="72"/>
        <v>0</v>
      </c>
      <c r="O109" s="146">
        <f t="shared" si="72"/>
        <v>0</v>
      </c>
      <c r="P109" s="146">
        <f t="shared" si="72"/>
        <v>0</v>
      </c>
      <c r="Q109" s="36"/>
      <c r="R109" s="26"/>
    </row>
    <row r="110" spans="1:18" s="33" customFormat="1" ht="48" hidden="1" thickTop="1" thickBot="1" x14ac:dyDescent="0.25">
      <c r="A110" s="41" t="s">
        <v>998</v>
      </c>
      <c r="B110" s="41" t="s">
        <v>359</v>
      </c>
      <c r="C110" s="41" t="s">
        <v>43</v>
      </c>
      <c r="D110" s="41" t="s">
        <v>360</v>
      </c>
      <c r="E110" s="42">
        <f t="shared" ref="E110" si="73">F110</f>
        <v>0</v>
      </c>
      <c r="F110" s="43"/>
      <c r="G110" s="43"/>
      <c r="H110" s="43"/>
      <c r="I110" s="43"/>
      <c r="J110" s="42">
        <f>L110+O110</f>
        <v>0</v>
      </c>
      <c r="K110" s="43"/>
      <c r="L110" s="43"/>
      <c r="M110" s="43"/>
      <c r="N110" s="43"/>
      <c r="O110" s="44">
        <f>K110</f>
        <v>0</v>
      </c>
      <c r="P110" s="42">
        <f>E110+J110</f>
        <v>0</v>
      </c>
      <c r="Q110" s="36"/>
      <c r="R110" s="26"/>
    </row>
    <row r="111" spans="1:18" ht="120" customHeight="1" thickTop="1" thickBot="1" x14ac:dyDescent="0.25">
      <c r="A111" s="624" t="s">
        <v>153</v>
      </c>
      <c r="B111" s="624"/>
      <c r="C111" s="624"/>
      <c r="D111" s="625" t="s">
        <v>18</v>
      </c>
      <c r="E111" s="626">
        <f>E112</f>
        <v>122747729.34</v>
      </c>
      <c r="F111" s="627">
        <f t="shared" ref="F111:G111" si="74">F112</f>
        <v>122747729.34</v>
      </c>
      <c r="G111" s="627">
        <f t="shared" si="74"/>
        <v>6098092</v>
      </c>
      <c r="H111" s="627">
        <f>H112</f>
        <v>402300</v>
      </c>
      <c r="I111" s="627">
        <f t="shared" ref="I111" si="75">I112</f>
        <v>0</v>
      </c>
      <c r="J111" s="626">
        <f>J112</f>
        <v>39730605.489999995</v>
      </c>
      <c r="K111" s="627">
        <f>K112</f>
        <v>39730605.489999995</v>
      </c>
      <c r="L111" s="627">
        <f>L112</f>
        <v>0</v>
      </c>
      <c r="M111" s="627">
        <f t="shared" ref="M111" si="76">M112</f>
        <v>0</v>
      </c>
      <c r="N111" s="627">
        <f>N112</f>
        <v>0</v>
      </c>
      <c r="O111" s="626">
        <f>O112</f>
        <v>39730605.489999995</v>
      </c>
      <c r="P111" s="627">
        <f>P112</f>
        <v>162478334.82999998</v>
      </c>
      <c r="Q111" s="20"/>
    </row>
    <row r="112" spans="1:18" ht="120" customHeight="1" thickTop="1" thickBot="1" x14ac:dyDescent="0.25">
      <c r="A112" s="588" t="s">
        <v>154</v>
      </c>
      <c r="B112" s="588"/>
      <c r="C112" s="588"/>
      <c r="D112" s="589" t="s">
        <v>36</v>
      </c>
      <c r="E112" s="590">
        <f>E113+E116+E132+E136</f>
        <v>122747729.34</v>
      </c>
      <c r="F112" s="590">
        <f t="shared" ref="F112:P112" si="77">F113+F116+F132+F136</f>
        <v>122747729.34</v>
      </c>
      <c r="G112" s="590">
        <f t="shared" si="77"/>
        <v>6098092</v>
      </c>
      <c r="H112" s="590">
        <f t="shared" si="77"/>
        <v>402300</v>
      </c>
      <c r="I112" s="590">
        <f t="shared" si="77"/>
        <v>0</v>
      </c>
      <c r="J112" s="590">
        <f t="shared" si="77"/>
        <v>39730605.489999995</v>
      </c>
      <c r="K112" s="590">
        <f t="shared" si="77"/>
        <v>39730605.489999995</v>
      </c>
      <c r="L112" s="590">
        <f t="shared" si="77"/>
        <v>0</v>
      </c>
      <c r="M112" s="590">
        <f t="shared" si="77"/>
        <v>0</v>
      </c>
      <c r="N112" s="590">
        <f t="shared" si="77"/>
        <v>0</v>
      </c>
      <c r="O112" s="590">
        <f t="shared" si="77"/>
        <v>39730605.489999995</v>
      </c>
      <c r="P112" s="590">
        <f t="shared" si="77"/>
        <v>162478334.82999998</v>
      </c>
      <c r="Q112" s="474" t="b">
        <f>P112=P114+P117+P118+P119+P120+P123+P127+P128+P135+P131+P140+P134</f>
        <v>1</v>
      </c>
      <c r="R112" s="26"/>
    </row>
    <row r="113" spans="1:18" ht="47.25" thickTop="1" thickBot="1" x14ac:dyDescent="0.25">
      <c r="A113" s="298" t="s">
        <v>700</v>
      </c>
      <c r="B113" s="298" t="s">
        <v>672</v>
      </c>
      <c r="C113" s="298"/>
      <c r="D113" s="298" t="s">
        <v>673</v>
      </c>
      <c r="E113" s="310">
        <f>SUM(E114:E115)</f>
        <v>3876038</v>
      </c>
      <c r="F113" s="310">
        <f t="shared" ref="F113:P113" si="78">SUM(F114:F115)</f>
        <v>3876038</v>
      </c>
      <c r="G113" s="310">
        <f t="shared" si="78"/>
        <v>2828211</v>
      </c>
      <c r="H113" s="310">
        <f t="shared" si="78"/>
        <v>192320</v>
      </c>
      <c r="I113" s="310">
        <f t="shared" si="78"/>
        <v>0</v>
      </c>
      <c r="J113" s="310">
        <f t="shared" si="78"/>
        <v>0</v>
      </c>
      <c r="K113" s="310">
        <f t="shared" si="78"/>
        <v>0</v>
      </c>
      <c r="L113" s="310">
        <f t="shared" si="78"/>
        <v>0</v>
      </c>
      <c r="M113" s="310">
        <f t="shared" si="78"/>
        <v>0</v>
      </c>
      <c r="N113" s="310">
        <f t="shared" si="78"/>
        <v>0</v>
      </c>
      <c r="O113" s="310">
        <f t="shared" si="78"/>
        <v>0</v>
      </c>
      <c r="P113" s="310">
        <f t="shared" si="78"/>
        <v>3876038</v>
      </c>
      <c r="Q113" s="30"/>
      <c r="R113" s="26"/>
    </row>
    <row r="114" spans="1:18" ht="93" thickTop="1" thickBot="1" x14ac:dyDescent="0.25">
      <c r="A114" s="101" t="s">
        <v>411</v>
      </c>
      <c r="B114" s="101" t="s">
        <v>235</v>
      </c>
      <c r="C114" s="101" t="s">
        <v>233</v>
      </c>
      <c r="D114" s="101" t="s">
        <v>234</v>
      </c>
      <c r="E114" s="310">
        <f>F114</f>
        <v>3876038</v>
      </c>
      <c r="F114" s="425">
        <v>3876038</v>
      </c>
      <c r="G114" s="425">
        <v>2828211</v>
      </c>
      <c r="H114" s="425">
        <v>192320</v>
      </c>
      <c r="I114" s="425"/>
      <c r="J114" s="310">
        <f t="shared" ref="J114:J142" si="79">L114+O114</f>
        <v>0</v>
      </c>
      <c r="K114" s="425"/>
      <c r="L114" s="425"/>
      <c r="M114" s="425"/>
      <c r="N114" s="425"/>
      <c r="O114" s="422">
        <f>K114</f>
        <v>0</v>
      </c>
      <c r="P114" s="310">
        <f t="shared" ref="P114:P142" si="80">E114+J114</f>
        <v>3876038</v>
      </c>
      <c r="Q114" s="39"/>
      <c r="R114" s="26"/>
    </row>
    <row r="115" spans="1:18" ht="93" hidden="1" thickTop="1" thickBot="1" x14ac:dyDescent="0.25">
      <c r="A115" s="126" t="s">
        <v>1215</v>
      </c>
      <c r="B115" s="126" t="s">
        <v>358</v>
      </c>
      <c r="C115" s="126" t="s">
        <v>616</v>
      </c>
      <c r="D115" s="126" t="s">
        <v>617</v>
      </c>
      <c r="E115" s="125">
        <f>F115</f>
        <v>0</v>
      </c>
      <c r="F115" s="132">
        <v>0</v>
      </c>
      <c r="G115" s="132"/>
      <c r="H115" s="132"/>
      <c r="I115" s="132"/>
      <c r="J115" s="125">
        <f t="shared" si="79"/>
        <v>0</v>
      </c>
      <c r="K115" s="132"/>
      <c r="L115" s="132"/>
      <c r="M115" s="132"/>
      <c r="N115" s="132"/>
      <c r="O115" s="130">
        <f>K115</f>
        <v>0</v>
      </c>
      <c r="P115" s="125">
        <f t="shared" si="80"/>
        <v>0</v>
      </c>
      <c r="Q115" s="39"/>
      <c r="R115" s="26"/>
    </row>
    <row r="116" spans="1:18" ht="47.25" thickTop="1" thickBot="1" x14ac:dyDescent="0.25">
      <c r="A116" s="298" t="s">
        <v>701</v>
      </c>
      <c r="B116" s="298" t="s">
        <v>702</v>
      </c>
      <c r="C116" s="298"/>
      <c r="D116" s="298" t="s">
        <v>703</v>
      </c>
      <c r="E116" s="310">
        <f>SUM(E117:E131)-E122-E124-E126-E129</f>
        <v>118422691.34</v>
      </c>
      <c r="F116" s="310">
        <f t="shared" ref="F116:P116" si="81">SUM(F117:F131)-F122-F124-F126-F129</f>
        <v>118422691.34</v>
      </c>
      <c r="G116" s="310">
        <f t="shared" si="81"/>
        <v>3269881</v>
      </c>
      <c r="H116" s="310">
        <f t="shared" si="81"/>
        <v>209980</v>
      </c>
      <c r="I116" s="310">
        <f t="shared" si="81"/>
        <v>0</v>
      </c>
      <c r="J116" s="310">
        <f t="shared" si="81"/>
        <v>33211790.489999995</v>
      </c>
      <c r="K116" s="310">
        <f t="shared" si="81"/>
        <v>33211790.489999995</v>
      </c>
      <c r="L116" s="310">
        <f t="shared" si="81"/>
        <v>0</v>
      </c>
      <c r="M116" s="310">
        <f t="shared" si="81"/>
        <v>0</v>
      </c>
      <c r="N116" s="310">
        <f t="shared" si="81"/>
        <v>0</v>
      </c>
      <c r="O116" s="310">
        <f t="shared" si="81"/>
        <v>33211790.489999995</v>
      </c>
      <c r="P116" s="310">
        <f t="shared" si="81"/>
        <v>151634481.82999998</v>
      </c>
      <c r="Q116" s="39"/>
      <c r="R116" s="39"/>
    </row>
    <row r="117" spans="1:18" ht="79.5" customHeight="1" thickTop="1" thickBot="1" x14ac:dyDescent="0.25">
      <c r="A117" s="101" t="s">
        <v>213</v>
      </c>
      <c r="B117" s="101" t="s">
        <v>210</v>
      </c>
      <c r="C117" s="101" t="s">
        <v>214</v>
      </c>
      <c r="D117" s="101" t="s">
        <v>19</v>
      </c>
      <c r="E117" s="310">
        <f>F117</f>
        <v>33261186</v>
      </c>
      <c r="F117" s="425">
        <f>((28342986)+3418200)+700000+800000</f>
        <v>33261186</v>
      </c>
      <c r="G117" s="425"/>
      <c r="H117" s="425"/>
      <c r="I117" s="425"/>
      <c r="J117" s="310">
        <f t="shared" si="79"/>
        <v>18147029.509999998</v>
      </c>
      <c r="K117" s="425">
        <f>((4413552+4000000)+2000000-4000000+3653477.51)+2000000+6080000</f>
        <v>18147029.509999998</v>
      </c>
      <c r="L117" s="425"/>
      <c r="M117" s="425"/>
      <c r="N117" s="425"/>
      <c r="O117" s="422">
        <f>K117</f>
        <v>18147029.509999998</v>
      </c>
      <c r="P117" s="310">
        <f t="shared" si="80"/>
        <v>51408215.509999998</v>
      </c>
      <c r="Q117" s="20"/>
      <c r="R117" s="30"/>
    </row>
    <row r="118" spans="1:18" ht="72.75" customHeight="1" thickTop="1" thickBot="1" x14ac:dyDescent="0.25">
      <c r="A118" s="101" t="s">
        <v>500</v>
      </c>
      <c r="B118" s="101" t="s">
        <v>503</v>
      </c>
      <c r="C118" s="101" t="s">
        <v>502</v>
      </c>
      <c r="D118" s="101" t="s">
        <v>501</v>
      </c>
      <c r="E118" s="310">
        <f>F118</f>
        <v>13960600</v>
      </c>
      <c r="F118" s="425">
        <f>((8260600)+900000+1000000)+3500000+300000</f>
        <v>13960600</v>
      </c>
      <c r="G118" s="425"/>
      <c r="H118" s="425"/>
      <c r="I118" s="425"/>
      <c r="J118" s="310">
        <f t="shared" si="79"/>
        <v>0</v>
      </c>
      <c r="K118" s="425"/>
      <c r="L118" s="425"/>
      <c r="M118" s="425"/>
      <c r="N118" s="425"/>
      <c r="O118" s="422">
        <f>K118</f>
        <v>0</v>
      </c>
      <c r="P118" s="310">
        <f t="shared" si="80"/>
        <v>13960600</v>
      </c>
      <c r="Q118" s="20"/>
      <c r="R118" s="39"/>
    </row>
    <row r="119" spans="1:18" ht="69.75" customHeight="1" thickTop="1" thickBot="1" x14ac:dyDescent="0.25">
      <c r="A119" s="101" t="s">
        <v>215</v>
      </c>
      <c r="B119" s="101" t="s">
        <v>216</v>
      </c>
      <c r="C119" s="101" t="s">
        <v>217</v>
      </c>
      <c r="D119" s="101" t="s">
        <v>218</v>
      </c>
      <c r="E119" s="310">
        <f t="shared" ref="E119:E142" si="82">F119</f>
        <v>14470895.34</v>
      </c>
      <c r="F119" s="425">
        <f>((8489900)+424763.34)+5556232</f>
        <v>14470895.34</v>
      </c>
      <c r="G119" s="425"/>
      <c r="H119" s="425"/>
      <c r="I119" s="425"/>
      <c r="J119" s="310">
        <f t="shared" si="79"/>
        <v>8138644.9800000004</v>
      </c>
      <c r="K119" s="425">
        <f>(6127300)+1700000+52431.28+143100.42+115813.28</f>
        <v>8138644.9800000004</v>
      </c>
      <c r="L119" s="425"/>
      <c r="M119" s="425"/>
      <c r="N119" s="425"/>
      <c r="O119" s="422">
        <f>K119</f>
        <v>8138644.9800000004</v>
      </c>
      <c r="P119" s="310">
        <f t="shared" si="80"/>
        <v>22609540.32</v>
      </c>
      <c r="Q119" s="20"/>
      <c r="R119" s="39"/>
    </row>
    <row r="120" spans="1:18" ht="93" thickTop="1" thickBot="1" x14ac:dyDescent="0.25">
      <c r="A120" s="101" t="s">
        <v>219</v>
      </c>
      <c r="B120" s="101" t="s">
        <v>220</v>
      </c>
      <c r="C120" s="101" t="s">
        <v>221</v>
      </c>
      <c r="D120" s="101" t="s">
        <v>342</v>
      </c>
      <c r="E120" s="310">
        <f t="shared" si="82"/>
        <v>26023962</v>
      </c>
      <c r="F120" s="425">
        <f>((24013785)+2000000+127373)+200000-127373+110177-300000</f>
        <v>26023962</v>
      </c>
      <c r="G120" s="425"/>
      <c r="H120" s="425"/>
      <c r="I120" s="425"/>
      <c r="J120" s="310">
        <f t="shared" si="79"/>
        <v>3340288</v>
      </c>
      <c r="K120" s="425">
        <f>((0)+1701120)+350000+1289168</f>
        <v>3340288</v>
      </c>
      <c r="L120" s="425"/>
      <c r="M120" s="425"/>
      <c r="N120" s="425"/>
      <c r="O120" s="422">
        <f>K120</f>
        <v>3340288</v>
      </c>
      <c r="P120" s="310">
        <f t="shared" si="80"/>
        <v>29364250</v>
      </c>
      <c r="Q120" s="20"/>
      <c r="R120" s="39"/>
    </row>
    <row r="121" spans="1:18" ht="48" hidden="1" thickTop="1" thickBot="1" x14ac:dyDescent="0.25">
      <c r="A121" s="126" t="s">
        <v>222</v>
      </c>
      <c r="B121" s="126" t="s">
        <v>223</v>
      </c>
      <c r="C121" s="126" t="s">
        <v>224</v>
      </c>
      <c r="D121" s="126" t="s">
        <v>225</v>
      </c>
      <c r="E121" s="125">
        <f t="shared" si="82"/>
        <v>0</v>
      </c>
      <c r="F121" s="132">
        <f>(7556300)-7556300</f>
        <v>0</v>
      </c>
      <c r="G121" s="132"/>
      <c r="H121" s="132"/>
      <c r="I121" s="132"/>
      <c r="J121" s="125">
        <f t="shared" si="79"/>
        <v>0</v>
      </c>
      <c r="K121" s="132">
        <f>(200000)-200000</f>
        <v>0</v>
      </c>
      <c r="L121" s="132"/>
      <c r="M121" s="132"/>
      <c r="N121" s="132"/>
      <c r="O121" s="130">
        <f>K121</f>
        <v>0</v>
      </c>
      <c r="P121" s="125">
        <f t="shared" si="80"/>
        <v>0</v>
      </c>
      <c r="Q121" s="20"/>
      <c r="R121" s="39"/>
    </row>
    <row r="122" spans="1:18" ht="48" thickTop="1" thickBot="1" x14ac:dyDescent="0.25">
      <c r="A122" s="598" t="s">
        <v>704</v>
      </c>
      <c r="B122" s="598" t="s">
        <v>705</v>
      </c>
      <c r="C122" s="598"/>
      <c r="D122" s="598" t="s">
        <v>706</v>
      </c>
      <c r="E122" s="599">
        <f>E123</f>
        <v>20992313</v>
      </c>
      <c r="F122" s="599">
        <f t="shared" ref="F122:P122" si="83">F123</f>
        <v>20992313</v>
      </c>
      <c r="G122" s="599">
        <f t="shared" si="83"/>
        <v>0</v>
      </c>
      <c r="H122" s="599">
        <f t="shared" si="83"/>
        <v>0</v>
      </c>
      <c r="I122" s="599">
        <f t="shared" si="83"/>
        <v>0</v>
      </c>
      <c r="J122" s="599">
        <f t="shared" si="83"/>
        <v>1000000</v>
      </c>
      <c r="K122" s="599">
        <f t="shared" si="83"/>
        <v>1000000</v>
      </c>
      <c r="L122" s="599">
        <f t="shared" si="83"/>
        <v>0</v>
      </c>
      <c r="M122" s="599">
        <f t="shared" si="83"/>
        <v>0</v>
      </c>
      <c r="N122" s="599">
        <f t="shared" si="83"/>
        <v>0</v>
      </c>
      <c r="O122" s="599">
        <f t="shared" si="83"/>
        <v>1000000</v>
      </c>
      <c r="P122" s="599">
        <f t="shared" si="83"/>
        <v>21992313</v>
      </c>
      <c r="Q122" s="20"/>
      <c r="R122" s="39"/>
    </row>
    <row r="123" spans="1:18" ht="93" thickTop="1" thickBot="1" x14ac:dyDescent="0.25">
      <c r="A123" s="101" t="s">
        <v>226</v>
      </c>
      <c r="B123" s="101" t="s">
        <v>227</v>
      </c>
      <c r="C123" s="101" t="s">
        <v>343</v>
      </c>
      <c r="D123" s="101" t="s">
        <v>228</v>
      </c>
      <c r="E123" s="310">
        <f t="shared" si="82"/>
        <v>20992313</v>
      </c>
      <c r="F123" s="425">
        <v>20992313</v>
      </c>
      <c r="G123" s="425"/>
      <c r="H123" s="425"/>
      <c r="I123" s="425"/>
      <c r="J123" s="310">
        <f t="shared" si="79"/>
        <v>1000000</v>
      </c>
      <c r="K123" s="425">
        <f>(0)+1000000</f>
        <v>1000000</v>
      </c>
      <c r="L123" s="425"/>
      <c r="M123" s="425"/>
      <c r="N123" s="425"/>
      <c r="O123" s="422">
        <f t="shared" ref="O123:O142" si="84">K123</f>
        <v>1000000</v>
      </c>
      <c r="P123" s="310">
        <f t="shared" si="80"/>
        <v>21992313</v>
      </c>
      <c r="Q123" s="20"/>
      <c r="R123" s="39"/>
    </row>
    <row r="124" spans="1:18" ht="48" hidden="1" thickTop="1" thickBot="1" x14ac:dyDescent="0.25">
      <c r="A124" s="138" t="s">
        <v>707</v>
      </c>
      <c r="B124" s="138" t="s">
        <v>708</v>
      </c>
      <c r="C124" s="138"/>
      <c r="D124" s="138" t="s">
        <v>709</v>
      </c>
      <c r="E124" s="139">
        <f>E125</f>
        <v>0</v>
      </c>
      <c r="F124" s="139">
        <f t="shared" ref="F124:P124" si="85">F125</f>
        <v>0</v>
      </c>
      <c r="G124" s="139">
        <f t="shared" si="85"/>
        <v>0</v>
      </c>
      <c r="H124" s="139">
        <f t="shared" si="85"/>
        <v>0</v>
      </c>
      <c r="I124" s="139">
        <f t="shared" si="85"/>
        <v>0</v>
      </c>
      <c r="J124" s="143">
        <f t="shared" si="85"/>
        <v>0</v>
      </c>
      <c r="K124" s="143">
        <f t="shared" si="85"/>
        <v>0</v>
      </c>
      <c r="L124" s="143">
        <f t="shared" si="85"/>
        <v>0</v>
      </c>
      <c r="M124" s="143">
        <f t="shared" si="85"/>
        <v>0</v>
      </c>
      <c r="N124" s="143">
        <f t="shared" si="85"/>
        <v>0</v>
      </c>
      <c r="O124" s="143">
        <f t="shared" si="85"/>
        <v>0</v>
      </c>
      <c r="P124" s="143">
        <f t="shared" si="85"/>
        <v>0</v>
      </c>
      <c r="Q124" s="20"/>
      <c r="R124" s="39"/>
    </row>
    <row r="125" spans="1:18" ht="48" hidden="1" thickTop="1" thickBot="1" x14ac:dyDescent="0.25">
      <c r="A125" s="126" t="s">
        <v>470</v>
      </c>
      <c r="B125" s="126" t="s">
        <v>471</v>
      </c>
      <c r="C125" s="126" t="s">
        <v>229</v>
      </c>
      <c r="D125" s="126" t="s">
        <v>472</v>
      </c>
      <c r="E125" s="125">
        <f t="shared" si="82"/>
        <v>0</v>
      </c>
      <c r="F125" s="132">
        <v>0</v>
      </c>
      <c r="G125" s="132"/>
      <c r="H125" s="132"/>
      <c r="I125" s="132"/>
      <c r="J125" s="42">
        <f t="shared" si="79"/>
        <v>0</v>
      </c>
      <c r="K125" s="43"/>
      <c r="L125" s="43"/>
      <c r="M125" s="43"/>
      <c r="N125" s="43"/>
      <c r="O125" s="44">
        <f t="shared" si="84"/>
        <v>0</v>
      </c>
      <c r="P125" s="42">
        <f t="shared" si="80"/>
        <v>0</v>
      </c>
      <c r="Q125" s="20"/>
      <c r="R125" s="39"/>
    </row>
    <row r="126" spans="1:18" ht="48" thickTop="1" thickBot="1" x14ac:dyDescent="0.25">
      <c r="A126" s="598" t="s">
        <v>710</v>
      </c>
      <c r="B126" s="598" t="s">
        <v>711</v>
      </c>
      <c r="C126" s="598"/>
      <c r="D126" s="598" t="s">
        <v>712</v>
      </c>
      <c r="E126" s="599">
        <f>SUM(E127:E128)</f>
        <v>9713735</v>
      </c>
      <c r="F126" s="599">
        <f t="shared" ref="F126:P126" si="86">SUM(F127:F128)</f>
        <v>9713735</v>
      </c>
      <c r="G126" s="599">
        <f t="shared" si="86"/>
        <v>3269881</v>
      </c>
      <c r="H126" s="599">
        <f t="shared" si="86"/>
        <v>209980</v>
      </c>
      <c r="I126" s="599">
        <f t="shared" si="86"/>
        <v>0</v>
      </c>
      <c r="J126" s="599">
        <f t="shared" si="86"/>
        <v>0</v>
      </c>
      <c r="K126" s="599">
        <f t="shared" si="86"/>
        <v>0</v>
      </c>
      <c r="L126" s="599">
        <f t="shared" si="86"/>
        <v>0</v>
      </c>
      <c r="M126" s="599">
        <f t="shared" si="86"/>
        <v>0</v>
      </c>
      <c r="N126" s="599">
        <f t="shared" si="86"/>
        <v>0</v>
      </c>
      <c r="O126" s="599">
        <f t="shared" si="86"/>
        <v>0</v>
      </c>
      <c r="P126" s="599">
        <f t="shared" si="86"/>
        <v>9713735</v>
      </c>
      <c r="Q126" s="20"/>
      <c r="R126" s="39"/>
    </row>
    <row r="127" spans="1:18" s="33" customFormat="1" ht="48" thickTop="1" thickBot="1" x14ac:dyDescent="0.25">
      <c r="A127" s="101" t="s">
        <v>319</v>
      </c>
      <c r="B127" s="101" t="s">
        <v>321</v>
      </c>
      <c r="C127" s="101" t="s">
        <v>229</v>
      </c>
      <c r="D127" s="600" t="s">
        <v>317</v>
      </c>
      <c r="E127" s="310">
        <f t="shared" si="82"/>
        <v>4424235</v>
      </c>
      <c r="F127" s="425">
        <v>4424235</v>
      </c>
      <c r="G127" s="425">
        <v>3269881</v>
      </c>
      <c r="H127" s="425">
        <v>209980</v>
      </c>
      <c r="I127" s="425"/>
      <c r="J127" s="310">
        <f t="shared" si="79"/>
        <v>0</v>
      </c>
      <c r="K127" s="425"/>
      <c r="L127" s="425"/>
      <c r="M127" s="425"/>
      <c r="N127" s="425"/>
      <c r="O127" s="422">
        <f t="shared" si="84"/>
        <v>0</v>
      </c>
      <c r="P127" s="310">
        <f t="shared" si="80"/>
        <v>4424235</v>
      </c>
      <c r="Q127" s="36"/>
      <c r="R127" s="26"/>
    </row>
    <row r="128" spans="1:18" s="33" customFormat="1" ht="48" thickTop="1" thickBot="1" x14ac:dyDescent="0.25">
      <c r="A128" s="101" t="s">
        <v>320</v>
      </c>
      <c r="B128" s="101" t="s">
        <v>322</v>
      </c>
      <c r="C128" s="101" t="s">
        <v>229</v>
      </c>
      <c r="D128" s="600" t="s">
        <v>318</v>
      </c>
      <c r="E128" s="310">
        <f t="shared" si="82"/>
        <v>5289500</v>
      </c>
      <c r="F128" s="425">
        <v>5289500</v>
      </c>
      <c r="G128" s="425"/>
      <c r="H128" s="425"/>
      <c r="I128" s="425"/>
      <c r="J128" s="310">
        <f t="shared" si="79"/>
        <v>0</v>
      </c>
      <c r="K128" s="425"/>
      <c r="L128" s="425"/>
      <c r="M128" s="425"/>
      <c r="N128" s="425"/>
      <c r="O128" s="422">
        <f t="shared" si="84"/>
        <v>0</v>
      </c>
      <c r="P128" s="310">
        <f t="shared" si="80"/>
        <v>5289500</v>
      </c>
      <c r="Q128" s="36"/>
      <c r="R128" s="39"/>
    </row>
    <row r="129" spans="1:20" s="33" customFormat="1" ht="93" hidden="1" thickTop="1" thickBot="1" x14ac:dyDescent="0.25">
      <c r="A129" s="138" t="s">
        <v>1483</v>
      </c>
      <c r="B129" s="138" t="s">
        <v>1484</v>
      </c>
      <c r="C129" s="138"/>
      <c r="D129" s="138" t="s">
        <v>1482</v>
      </c>
      <c r="E129" s="139">
        <f>E130</f>
        <v>0</v>
      </c>
      <c r="F129" s="139">
        <f t="shared" ref="F129:P129" si="87">F130</f>
        <v>0</v>
      </c>
      <c r="G129" s="139">
        <f t="shared" si="87"/>
        <v>0</v>
      </c>
      <c r="H129" s="139">
        <f t="shared" si="87"/>
        <v>0</v>
      </c>
      <c r="I129" s="139">
        <f t="shared" si="87"/>
        <v>0</v>
      </c>
      <c r="J129" s="139">
        <f t="shared" si="87"/>
        <v>0</v>
      </c>
      <c r="K129" s="139">
        <f t="shared" si="87"/>
        <v>0</v>
      </c>
      <c r="L129" s="139">
        <f t="shared" si="87"/>
        <v>0</v>
      </c>
      <c r="M129" s="139">
        <f t="shared" si="87"/>
        <v>0</v>
      </c>
      <c r="N129" s="139">
        <f t="shared" si="87"/>
        <v>0</v>
      </c>
      <c r="O129" s="139">
        <f t="shared" si="87"/>
        <v>0</v>
      </c>
      <c r="P129" s="139">
        <f t="shared" si="87"/>
        <v>0</v>
      </c>
      <c r="Q129" s="36"/>
      <c r="R129" s="39"/>
    </row>
    <row r="130" spans="1:20" s="532" customFormat="1" ht="138.75" hidden="1" thickTop="1" thickBot="1" x14ac:dyDescent="0.25">
      <c r="A130" s="126" t="s">
        <v>1486</v>
      </c>
      <c r="B130" s="126" t="s">
        <v>1487</v>
      </c>
      <c r="C130" s="126" t="s">
        <v>229</v>
      </c>
      <c r="D130" s="369" t="s">
        <v>1485</v>
      </c>
      <c r="E130" s="125">
        <f t="shared" ref="E130:E131" si="88">F130</f>
        <v>0</v>
      </c>
      <c r="F130" s="132"/>
      <c r="G130" s="132"/>
      <c r="H130" s="132"/>
      <c r="I130" s="132"/>
      <c r="J130" s="125">
        <f t="shared" ref="J130:J131" si="89">L130+O130</f>
        <v>0</v>
      </c>
      <c r="K130" s="132">
        <f>(2994000)-2994000</f>
        <v>0</v>
      </c>
      <c r="L130" s="132"/>
      <c r="M130" s="132"/>
      <c r="N130" s="132"/>
      <c r="O130" s="130">
        <f t="shared" ref="O130:O131" si="90">K130</f>
        <v>0</v>
      </c>
      <c r="P130" s="125">
        <f t="shared" ref="P130:P131" si="91">E130+J130</f>
        <v>0</v>
      </c>
      <c r="Q130" s="530"/>
      <c r="R130" s="531"/>
    </row>
    <row r="131" spans="1:20" s="532" customFormat="1" ht="54" thickTop="1" thickBot="1" x14ac:dyDescent="0.25">
      <c r="A131" s="101" t="s">
        <v>1661</v>
      </c>
      <c r="B131" s="101" t="s">
        <v>1662</v>
      </c>
      <c r="C131" s="101" t="s">
        <v>229</v>
      </c>
      <c r="D131" s="101" t="s">
        <v>1660</v>
      </c>
      <c r="E131" s="310">
        <f t="shared" si="88"/>
        <v>0</v>
      </c>
      <c r="F131" s="425"/>
      <c r="G131" s="425"/>
      <c r="H131" s="425"/>
      <c r="I131" s="425"/>
      <c r="J131" s="310">
        <f t="shared" si="89"/>
        <v>2585828</v>
      </c>
      <c r="K131" s="425">
        <f>(300000+1700000)+585828</f>
        <v>2585828</v>
      </c>
      <c r="L131" s="425"/>
      <c r="M131" s="425"/>
      <c r="N131" s="425"/>
      <c r="O131" s="422">
        <f t="shared" si="90"/>
        <v>2585828</v>
      </c>
      <c r="P131" s="310">
        <f t="shared" si="91"/>
        <v>2585828</v>
      </c>
      <c r="Q131" s="530"/>
      <c r="R131" s="531"/>
    </row>
    <row r="132" spans="1:20" s="33" customFormat="1" ht="47.25" thickTop="1" thickBot="1" x14ac:dyDescent="0.25">
      <c r="A132" s="298" t="s">
        <v>1157</v>
      </c>
      <c r="B132" s="298" t="s">
        <v>698</v>
      </c>
      <c r="C132" s="298"/>
      <c r="D132" s="298" t="s">
        <v>699</v>
      </c>
      <c r="E132" s="310">
        <f>SUM(E133:E135)-E133</f>
        <v>449000</v>
      </c>
      <c r="F132" s="310">
        <f t="shared" ref="F132:P132" si="92">SUM(F133:F135)-F133</f>
        <v>449000</v>
      </c>
      <c r="G132" s="310">
        <f t="shared" si="92"/>
        <v>0</v>
      </c>
      <c r="H132" s="310">
        <f t="shared" si="92"/>
        <v>0</v>
      </c>
      <c r="I132" s="310">
        <f t="shared" si="92"/>
        <v>0</v>
      </c>
      <c r="J132" s="310">
        <f t="shared" si="92"/>
        <v>0</v>
      </c>
      <c r="K132" s="310">
        <f t="shared" si="92"/>
        <v>0</v>
      </c>
      <c r="L132" s="310">
        <f t="shared" si="92"/>
        <v>0</v>
      </c>
      <c r="M132" s="310">
        <f t="shared" si="92"/>
        <v>0</v>
      </c>
      <c r="N132" s="310">
        <f t="shared" si="92"/>
        <v>0</v>
      </c>
      <c r="O132" s="310">
        <f t="shared" si="92"/>
        <v>0</v>
      </c>
      <c r="P132" s="310">
        <f t="shared" si="92"/>
        <v>449000</v>
      </c>
      <c r="Q132" s="36"/>
      <c r="R132" s="39"/>
    </row>
    <row r="133" spans="1:20" s="33" customFormat="1" ht="72.75" customHeight="1" thickTop="1" thickBot="1" x14ac:dyDescent="0.25">
      <c r="A133" s="598" t="s">
        <v>1700</v>
      </c>
      <c r="B133" s="598" t="s">
        <v>723</v>
      </c>
      <c r="C133" s="598"/>
      <c r="D133" s="598" t="s">
        <v>724</v>
      </c>
      <c r="E133" s="599">
        <f>E134</f>
        <v>349000</v>
      </c>
      <c r="F133" s="599">
        <f t="shared" ref="F133:P133" si="93">F134</f>
        <v>349000</v>
      </c>
      <c r="G133" s="599">
        <f t="shared" si="93"/>
        <v>0</v>
      </c>
      <c r="H133" s="599">
        <f t="shared" si="93"/>
        <v>0</v>
      </c>
      <c r="I133" s="599">
        <f t="shared" si="93"/>
        <v>0</v>
      </c>
      <c r="J133" s="599">
        <f t="shared" si="93"/>
        <v>0</v>
      </c>
      <c r="K133" s="599">
        <f t="shared" si="93"/>
        <v>0</v>
      </c>
      <c r="L133" s="599">
        <f t="shared" si="93"/>
        <v>0</v>
      </c>
      <c r="M133" s="599">
        <f t="shared" si="93"/>
        <v>0</v>
      </c>
      <c r="N133" s="599">
        <f t="shared" si="93"/>
        <v>0</v>
      </c>
      <c r="O133" s="599">
        <f t="shared" si="93"/>
        <v>0</v>
      </c>
      <c r="P133" s="599">
        <f t="shared" si="93"/>
        <v>349000</v>
      </c>
      <c r="Q133" s="36"/>
      <c r="R133" s="39"/>
    </row>
    <row r="134" spans="1:20" s="33" customFormat="1" ht="170.45" customHeight="1" thickTop="1" thickBot="1" x14ac:dyDescent="0.25">
      <c r="A134" s="101" t="s">
        <v>1701</v>
      </c>
      <c r="B134" s="101" t="s">
        <v>1644</v>
      </c>
      <c r="C134" s="101" t="s">
        <v>204</v>
      </c>
      <c r="D134" s="600" t="s">
        <v>1645</v>
      </c>
      <c r="E134" s="310">
        <f t="shared" ref="E134:E135" si="94">F134</f>
        <v>349000</v>
      </c>
      <c r="F134" s="425">
        <v>349000</v>
      </c>
      <c r="G134" s="308"/>
      <c r="H134" s="308"/>
      <c r="I134" s="425"/>
      <c r="J134" s="310">
        <f t="shared" ref="J134:J135" si="95">L134+O134</f>
        <v>0</v>
      </c>
      <c r="K134" s="425"/>
      <c r="L134" s="425"/>
      <c r="M134" s="425"/>
      <c r="N134" s="425"/>
      <c r="O134" s="422"/>
      <c r="P134" s="310">
        <f t="shared" ref="P134:P135" si="96">E134+J134</f>
        <v>349000</v>
      </c>
      <c r="Q134" s="36"/>
      <c r="R134" s="39"/>
    </row>
    <row r="135" spans="1:20" s="33" customFormat="1" ht="93" thickTop="1" thickBot="1" x14ac:dyDescent="0.25">
      <c r="A135" s="101" t="s">
        <v>1158</v>
      </c>
      <c r="B135" s="101" t="s">
        <v>1159</v>
      </c>
      <c r="C135" s="101" t="s">
        <v>205</v>
      </c>
      <c r="D135" s="600" t="s">
        <v>1160</v>
      </c>
      <c r="E135" s="310">
        <f t="shared" si="94"/>
        <v>100000</v>
      </c>
      <c r="F135" s="425">
        <v>100000</v>
      </c>
      <c r="G135" s="425"/>
      <c r="H135" s="425"/>
      <c r="I135" s="425"/>
      <c r="J135" s="310">
        <f t="shared" si="95"/>
        <v>0</v>
      </c>
      <c r="K135" s="425"/>
      <c r="L135" s="425"/>
      <c r="M135" s="425"/>
      <c r="N135" s="425"/>
      <c r="O135" s="422">
        <f t="shared" ref="O135" si="97">K135</f>
        <v>0</v>
      </c>
      <c r="P135" s="310">
        <f t="shared" si="96"/>
        <v>100000</v>
      </c>
      <c r="Q135" s="36"/>
      <c r="R135" s="39"/>
    </row>
    <row r="136" spans="1:20" s="33" customFormat="1" ht="47.25" thickTop="1" thickBot="1" x14ac:dyDescent="0.25">
      <c r="A136" s="298" t="s">
        <v>1665</v>
      </c>
      <c r="B136" s="298" t="s">
        <v>735</v>
      </c>
      <c r="C136" s="298"/>
      <c r="D136" s="298" t="s">
        <v>780</v>
      </c>
      <c r="E136" s="310">
        <f>E139</f>
        <v>0</v>
      </c>
      <c r="F136" s="310">
        <f t="shared" ref="F136:P136" si="98">F139</f>
        <v>0</v>
      </c>
      <c r="G136" s="310">
        <f t="shared" si="98"/>
        <v>0</v>
      </c>
      <c r="H136" s="310">
        <f t="shared" si="98"/>
        <v>0</v>
      </c>
      <c r="I136" s="310">
        <f t="shared" si="98"/>
        <v>0</v>
      </c>
      <c r="J136" s="310">
        <f t="shared" si="98"/>
        <v>6518815</v>
      </c>
      <c r="K136" s="310">
        <f t="shared" si="98"/>
        <v>6518815</v>
      </c>
      <c r="L136" s="310">
        <f t="shared" si="98"/>
        <v>0</v>
      </c>
      <c r="M136" s="310">
        <f t="shared" si="98"/>
        <v>0</v>
      </c>
      <c r="N136" s="310">
        <f t="shared" si="98"/>
        <v>0</v>
      </c>
      <c r="O136" s="310">
        <f t="shared" si="98"/>
        <v>6518815</v>
      </c>
      <c r="P136" s="310">
        <f t="shared" si="98"/>
        <v>6518815</v>
      </c>
      <c r="Q136" s="36"/>
      <c r="R136" s="39"/>
    </row>
    <row r="137" spans="1:20" s="33" customFormat="1" ht="48" hidden="1" thickTop="1" thickBot="1" x14ac:dyDescent="0.25">
      <c r="A137" s="142" t="s">
        <v>1020</v>
      </c>
      <c r="B137" s="142" t="s">
        <v>1019</v>
      </c>
      <c r="C137" s="142"/>
      <c r="D137" s="142" t="s">
        <v>1018</v>
      </c>
      <c r="E137" s="143">
        <f>E138</f>
        <v>0</v>
      </c>
      <c r="F137" s="143">
        <f t="shared" ref="F137:P137" si="99">F138</f>
        <v>0</v>
      </c>
      <c r="G137" s="143">
        <f t="shared" si="99"/>
        <v>0</v>
      </c>
      <c r="H137" s="143">
        <f t="shared" si="99"/>
        <v>0</v>
      </c>
      <c r="I137" s="143">
        <f t="shared" si="99"/>
        <v>0</v>
      </c>
      <c r="J137" s="143">
        <f t="shared" si="99"/>
        <v>0</v>
      </c>
      <c r="K137" s="143">
        <f t="shared" si="99"/>
        <v>0</v>
      </c>
      <c r="L137" s="143">
        <f t="shared" si="99"/>
        <v>0</v>
      </c>
      <c r="M137" s="143">
        <f t="shared" si="99"/>
        <v>0</v>
      </c>
      <c r="N137" s="143">
        <f t="shared" si="99"/>
        <v>0</v>
      </c>
      <c r="O137" s="143">
        <f t="shared" si="99"/>
        <v>0</v>
      </c>
      <c r="P137" s="143">
        <f t="shared" si="99"/>
        <v>0</v>
      </c>
      <c r="Q137" s="36"/>
      <c r="R137" s="39"/>
    </row>
    <row r="138" spans="1:20" s="33" customFormat="1" ht="93" hidden="1" thickTop="1" thickBot="1" x14ac:dyDescent="0.25">
      <c r="A138" s="41" t="s">
        <v>1021</v>
      </c>
      <c r="B138" s="41" t="s">
        <v>1022</v>
      </c>
      <c r="C138" s="41" t="s">
        <v>169</v>
      </c>
      <c r="D138" s="41" t="s">
        <v>1023</v>
      </c>
      <c r="E138" s="42">
        <f t="shared" si="82"/>
        <v>0</v>
      </c>
      <c r="F138" s="43"/>
      <c r="G138" s="43"/>
      <c r="H138" s="43"/>
      <c r="I138" s="43"/>
      <c r="J138" s="42">
        <f t="shared" si="79"/>
        <v>0</v>
      </c>
      <c r="K138" s="43"/>
      <c r="L138" s="43"/>
      <c r="M138" s="43"/>
      <c r="N138" s="43"/>
      <c r="O138" s="44">
        <f>K138</f>
        <v>0</v>
      </c>
      <c r="P138" s="42">
        <f t="shared" si="80"/>
        <v>0</v>
      </c>
      <c r="Q138" s="36"/>
      <c r="R138" s="26"/>
    </row>
    <row r="139" spans="1:20" s="28" customFormat="1" ht="47.25" thickTop="1" thickBot="1" x14ac:dyDescent="0.25">
      <c r="A139" s="593" t="s">
        <v>713</v>
      </c>
      <c r="B139" s="593" t="s">
        <v>679</v>
      </c>
      <c r="C139" s="593"/>
      <c r="D139" s="593" t="s">
        <v>677</v>
      </c>
      <c r="E139" s="595">
        <f>E140</f>
        <v>0</v>
      </c>
      <c r="F139" s="595">
        <f t="shared" ref="F139:P139" si="100">F140</f>
        <v>0</v>
      </c>
      <c r="G139" s="595">
        <f t="shared" si="100"/>
        <v>0</v>
      </c>
      <c r="H139" s="595">
        <f t="shared" si="100"/>
        <v>0</v>
      </c>
      <c r="I139" s="595">
        <f t="shared" si="100"/>
        <v>0</v>
      </c>
      <c r="J139" s="595">
        <f t="shared" si="100"/>
        <v>6518815</v>
      </c>
      <c r="K139" s="595">
        <f t="shared" si="100"/>
        <v>6518815</v>
      </c>
      <c r="L139" s="595">
        <f t="shared" si="100"/>
        <v>0</v>
      </c>
      <c r="M139" s="595">
        <f t="shared" si="100"/>
        <v>0</v>
      </c>
      <c r="N139" s="595">
        <f t="shared" si="100"/>
        <v>0</v>
      </c>
      <c r="O139" s="595">
        <f t="shared" si="100"/>
        <v>6518815</v>
      </c>
      <c r="P139" s="595">
        <f t="shared" si="100"/>
        <v>6518815</v>
      </c>
      <c r="Q139" s="147"/>
      <c r="R139" s="40"/>
    </row>
    <row r="140" spans="1:20" s="28" customFormat="1" ht="48" thickTop="1" thickBot="1" x14ac:dyDescent="0.25">
      <c r="A140" s="101" t="s">
        <v>1213</v>
      </c>
      <c r="B140" s="101" t="s">
        <v>211</v>
      </c>
      <c r="C140" s="101" t="s">
        <v>212</v>
      </c>
      <c r="D140" s="101" t="s">
        <v>41</v>
      </c>
      <c r="E140" s="310">
        <f t="shared" si="82"/>
        <v>0</v>
      </c>
      <c r="F140" s="425"/>
      <c r="G140" s="425"/>
      <c r="H140" s="425"/>
      <c r="I140" s="425"/>
      <c r="J140" s="310">
        <f t="shared" ref="J140" si="101">L140+O140</f>
        <v>6518815</v>
      </c>
      <c r="K140" s="425">
        <f>((0)+4000000)+2518815</f>
        <v>6518815</v>
      </c>
      <c r="L140" s="425"/>
      <c r="M140" s="425"/>
      <c r="N140" s="425"/>
      <c r="O140" s="422">
        <f t="shared" ref="O140" si="102">K140</f>
        <v>6518815</v>
      </c>
      <c r="P140" s="310">
        <f t="shared" si="80"/>
        <v>6518815</v>
      </c>
      <c r="Q140" s="147"/>
      <c r="R140" s="40"/>
    </row>
    <row r="141" spans="1:20" s="33" customFormat="1" ht="48" hidden="1" thickTop="1" thickBot="1" x14ac:dyDescent="0.25">
      <c r="A141" s="41" t="s">
        <v>430</v>
      </c>
      <c r="B141" s="41" t="s">
        <v>196</v>
      </c>
      <c r="C141" s="41" t="s">
        <v>169</v>
      </c>
      <c r="D141" s="41" t="s">
        <v>34</v>
      </c>
      <c r="E141" s="42">
        <f t="shared" si="82"/>
        <v>0</v>
      </c>
      <c r="F141" s="43"/>
      <c r="G141" s="43"/>
      <c r="H141" s="43"/>
      <c r="I141" s="43"/>
      <c r="J141" s="42">
        <f t="shared" si="79"/>
        <v>0</v>
      </c>
      <c r="K141" s="43"/>
      <c r="L141" s="43"/>
      <c r="M141" s="43"/>
      <c r="N141" s="43"/>
      <c r="O141" s="44">
        <f t="shared" si="84"/>
        <v>0</v>
      </c>
      <c r="P141" s="42">
        <f t="shared" si="80"/>
        <v>0</v>
      </c>
      <c r="Q141" s="36"/>
      <c r="R141" s="26"/>
    </row>
    <row r="142" spans="1:20" s="33" customFormat="1" ht="48" hidden="1" thickTop="1" thickBot="1" x14ac:dyDescent="0.25">
      <c r="A142" s="41" t="s">
        <v>504</v>
      </c>
      <c r="B142" s="41" t="s">
        <v>359</v>
      </c>
      <c r="C142" s="41" t="s">
        <v>43</v>
      </c>
      <c r="D142" s="41" t="s">
        <v>360</v>
      </c>
      <c r="E142" s="42">
        <f t="shared" si="82"/>
        <v>0</v>
      </c>
      <c r="F142" s="43"/>
      <c r="G142" s="43"/>
      <c r="H142" s="43"/>
      <c r="I142" s="43"/>
      <c r="J142" s="42">
        <f t="shared" si="79"/>
        <v>0</v>
      </c>
      <c r="K142" s="43"/>
      <c r="L142" s="43"/>
      <c r="M142" s="43"/>
      <c r="N142" s="43"/>
      <c r="O142" s="44">
        <f t="shared" si="84"/>
        <v>0</v>
      </c>
      <c r="P142" s="42">
        <f t="shared" si="80"/>
        <v>0</v>
      </c>
      <c r="Q142" s="36"/>
      <c r="R142" s="30"/>
    </row>
    <row r="143" spans="1:20" ht="91.5" thickTop="1" thickBot="1" x14ac:dyDescent="0.25">
      <c r="A143" s="624" t="s">
        <v>155</v>
      </c>
      <c r="B143" s="624"/>
      <c r="C143" s="624"/>
      <c r="D143" s="625" t="s">
        <v>37</v>
      </c>
      <c r="E143" s="626">
        <f>E144</f>
        <v>423228467.79999989</v>
      </c>
      <c r="F143" s="627">
        <f t="shared" ref="F143:G143" si="103">F144</f>
        <v>423228467.79999989</v>
      </c>
      <c r="G143" s="627">
        <f t="shared" si="103"/>
        <v>103963775</v>
      </c>
      <c r="H143" s="627">
        <f>H144</f>
        <v>6230524.2300000004</v>
      </c>
      <c r="I143" s="627">
        <f t="shared" ref="I143" si="104">I144</f>
        <v>0</v>
      </c>
      <c r="J143" s="626">
        <f>J144</f>
        <v>151118923.09999999</v>
      </c>
      <c r="K143" s="627">
        <f>K144</f>
        <v>140336675.09999999</v>
      </c>
      <c r="L143" s="627">
        <f>L144</f>
        <v>10762248</v>
      </c>
      <c r="M143" s="627">
        <f t="shared" ref="M143" si="105">M144</f>
        <v>4705151</v>
      </c>
      <c r="N143" s="627">
        <f>N144</f>
        <v>774200</v>
      </c>
      <c r="O143" s="626">
        <f>O144</f>
        <v>140356675.09999999</v>
      </c>
      <c r="P143" s="627">
        <f>P144</f>
        <v>574347390.89999986</v>
      </c>
      <c r="Q143" s="20"/>
    </row>
    <row r="144" spans="1:20" ht="120" customHeight="1" thickTop="1" thickBot="1" x14ac:dyDescent="0.25">
      <c r="A144" s="588" t="s">
        <v>156</v>
      </c>
      <c r="B144" s="588"/>
      <c r="C144" s="588"/>
      <c r="D144" s="589" t="s">
        <v>38</v>
      </c>
      <c r="E144" s="590">
        <f>E145+E149+E195+E199</f>
        <v>423228467.79999989</v>
      </c>
      <c r="F144" s="590">
        <f>F145+F149+F195+F199</f>
        <v>423228467.79999989</v>
      </c>
      <c r="G144" s="590">
        <f>G145+G149+G195+G199</f>
        <v>103963775</v>
      </c>
      <c r="H144" s="590">
        <f>H145+H149+H195+H199</f>
        <v>6230524.2300000004</v>
      </c>
      <c r="I144" s="590">
        <f>I145+I149+I195+I199</f>
        <v>0</v>
      </c>
      <c r="J144" s="590">
        <f t="shared" ref="J144:J173" si="106">L144+O144</f>
        <v>151118923.09999999</v>
      </c>
      <c r="K144" s="590">
        <f>K145+K149+K195+K199</f>
        <v>140336675.09999999</v>
      </c>
      <c r="L144" s="590">
        <f>L145+L149+L195+L199</f>
        <v>10762248</v>
      </c>
      <c r="M144" s="590">
        <f>M145+M149+M195+M199</f>
        <v>4705151</v>
      </c>
      <c r="N144" s="590">
        <f>N145+N149+N195+N199</f>
        <v>774200</v>
      </c>
      <c r="O144" s="590">
        <f>O145+O149+O195+O199</f>
        <v>140356675.09999999</v>
      </c>
      <c r="P144" s="590">
        <f>E144+J144</f>
        <v>574347390.89999986</v>
      </c>
      <c r="Q144" s="452" t="b">
        <f>P144=P146+P148+P151+P152+P153+P154+P155+P156+P157+P158+P160+P161+P165+P166+P167+P169+P170+P172+P173+P189+P191+P192+P194+P197+P163+P187+P193</f>
        <v>1</v>
      </c>
      <c r="R144" s="46"/>
      <c r="S144" s="46"/>
      <c r="T144" s="45"/>
    </row>
    <row r="145" spans="1:20" ht="47.25" thickTop="1" thickBot="1" x14ac:dyDescent="0.25">
      <c r="A145" s="298" t="s">
        <v>714</v>
      </c>
      <c r="B145" s="298" t="s">
        <v>672</v>
      </c>
      <c r="C145" s="298"/>
      <c r="D145" s="298" t="s">
        <v>673</v>
      </c>
      <c r="E145" s="310">
        <f t="shared" ref="E145:P145" si="107">SUM(E146:E148)</f>
        <v>58001713</v>
      </c>
      <c r="F145" s="310">
        <f t="shared" si="107"/>
        <v>58001713</v>
      </c>
      <c r="G145" s="310">
        <f t="shared" si="107"/>
        <v>43619896</v>
      </c>
      <c r="H145" s="310">
        <f t="shared" si="107"/>
        <v>2034640</v>
      </c>
      <c r="I145" s="310">
        <f t="shared" si="107"/>
        <v>0</v>
      </c>
      <c r="J145" s="310">
        <f t="shared" si="107"/>
        <v>23400</v>
      </c>
      <c r="K145" s="310">
        <f t="shared" si="107"/>
        <v>23400</v>
      </c>
      <c r="L145" s="310">
        <f t="shared" si="107"/>
        <v>0</v>
      </c>
      <c r="M145" s="310">
        <f t="shared" si="107"/>
        <v>0</v>
      </c>
      <c r="N145" s="310">
        <f t="shared" si="107"/>
        <v>0</v>
      </c>
      <c r="O145" s="310">
        <f t="shared" si="107"/>
        <v>23400</v>
      </c>
      <c r="P145" s="310">
        <f t="shared" si="107"/>
        <v>58025113</v>
      </c>
      <c r="Q145" s="47"/>
      <c r="R145" s="46"/>
      <c r="T145" s="45"/>
    </row>
    <row r="146" spans="1:20" ht="93" thickTop="1" thickBot="1" x14ac:dyDescent="0.25">
      <c r="A146" s="101" t="s">
        <v>410</v>
      </c>
      <c r="B146" s="101" t="s">
        <v>235</v>
      </c>
      <c r="C146" s="101" t="s">
        <v>233</v>
      </c>
      <c r="D146" s="101" t="s">
        <v>234</v>
      </c>
      <c r="E146" s="310">
        <f t="shared" ref="E146:E148" si="108">F146</f>
        <v>57971713</v>
      </c>
      <c r="F146" s="425">
        <v>57971713</v>
      </c>
      <c r="G146" s="425">
        <v>43619896</v>
      </c>
      <c r="H146" s="425">
        <v>2034640</v>
      </c>
      <c r="I146" s="425"/>
      <c r="J146" s="310">
        <f t="shared" si="106"/>
        <v>23400</v>
      </c>
      <c r="K146" s="425">
        <f>(0)+23400</f>
        <v>23400</v>
      </c>
      <c r="L146" s="425"/>
      <c r="M146" s="425"/>
      <c r="N146" s="425"/>
      <c r="O146" s="422">
        <f>K146</f>
        <v>23400</v>
      </c>
      <c r="P146" s="310">
        <f t="shared" ref="P146:P161" si="109">E146+J146</f>
        <v>57995113</v>
      </c>
      <c r="Q146" s="47"/>
      <c r="R146" s="46"/>
      <c r="T146" s="45"/>
    </row>
    <row r="147" spans="1:20" ht="93" hidden="1" thickTop="1" thickBot="1" x14ac:dyDescent="0.25">
      <c r="A147" s="126" t="s">
        <v>619</v>
      </c>
      <c r="B147" s="126" t="s">
        <v>358</v>
      </c>
      <c r="C147" s="126" t="s">
        <v>616</v>
      </c>
      <c r="D147" s="126" t="s">
        <v>617</v>
      </c>
      <c r="E147" s="125">
        <f t="shared" si="108"/>
        <v>0</v>
      </c>
      <c r="F147" s="132">
        <v>0</v>
      </c>
      <c r="G147" s="132"/>
      <c r="H147" s="132"/>
      <c r="I147" s="132"/>
      <c r="J147" s="125">
        <f t="shared" si="106"/>
        <v>0</v>
      </c>
      <c r="K147" s="132"/>
      <c r="L147" s="132"/>
      <c r="M147" s="132"/>
      <c r="N147" s="132"/>
      <c r="O147" s="130">
        <f>K147</f>
        <v>0</v>
      </c>
      <c r="P147" s="125">
        <f t="shared" si="109"/>
        <v>0</v>
      </c>
      <c r="Q147" s="47"/>
      <c r="R147" s="46"/>
      <c r="T147" s="45"/>
    </row>
    <row r="148" spans="1:20" ht="48" thickTop="1" thickBot="1" x14ac:dyDescent="0.25">
      <c r="A148" s="101" t="s">
        <v>901</v>
      </c>
      <c r="B148" s="101" t="s">
        <v>43</v>
      </c>
      <c r="C148" s="101" t="s">
        <v>42</v>
      </c>
      <c r="D148" s="101" t="s">
        <v>246</v>
      </c>
      <c r="E148" s="310">
        <f t="shared" si="108"/>
        <v>30000</v>
      </c>
      <c r="F148" s="425">
        <v>30000</v>
      </c>
      <c r="G148" s="425"/>
      <c r="H148" s="425"/>
      <c r="I148" s="425"/>
      <c r="J148" s="310">
        <f t="shared" si="106"/>
        <v>0</v>
      </c>
      <c r="K148" s="425"/>
      <c r="L148" s="425"/>
      <c r="M148" s="425"/>
      <c r="N148" s="425"/>
      <c r="O148" s="422"/>
      <c r="P148" s="310">
        <f t="shared" si="109"/>
        <v>30000</v>
      </c>
      <c r="Q148" s="47"/>
      <c r="R148" s="46"/>
      <c r="T148" s="45"/>
    </row>
    <row r="149" spans="1:20" ht="47.25" thickTop="1" thickBot="1" x14ac:dyDescent="0.25">
      <c r="A149" s="298" t="s">
        <v>715</v>
      </c>
      <c r="B149" s="298" t="s">
        <v>698</v>
      </c>
      <c r="C149" s="298"/>
      <c r="D149" s="298" t="s">
        <v>699</v>
      </c>
      <c r="E149" s="310">
        <f>SUM(E150:E194)-E150-E159-E171-E174-E190-E168-E164-E162</f>
        <v>365226754.79999989</v>
      </c>
      <c r="F149" s="310">
        <f t="shared" ref="F149:P149" si="110">SUM(F150:F194)-F150-F159-F171-F174-F190-F168-F164-F162</f>
        <v>365226754.79999989</v>
      </c>
      <c r="G149" s="310">
        <f t="shared" si="110"/>
        <v>60343879</v>
      </c>
      <c r="H149" s="310">
        <f t="shared" si="110"/>
        <v>4195884.2300000004</v>
      </c>
      <c r="I149" s="310">
        <f t="shared" si="110"/>
        <v>0</v>
      </c>
      <c r="J149" s="310">
        <f t="shared" si="110"/>
        <v>126095523.09999999</v>
      </c>
      <c r="K149" s="310">
        <f t="shared" si="110"/>
        <v>115313275.09999999</v>
      </c>
      <c r="L149" s="310">
        <f t="shared" si="110"/>
        <v>10762248</v>
      </c>
      <c r="M149" s="310">
        <f t="shared" si="110"/>
        <v>4705151</v>
      </c>
      <c r="N149" s="310">
        <f t="shared" si="110"/>
        <v>774200</v>
      </c>
      <c r="O149" s="310">
        <f t="shared" si="110"/>
        <v>115333275.09999999</v>
      </c>
      <c r="P149" s="310">
        <f t="shared" si="110"/>
        <v>491322277.89999992</v>
      </c>
      <c r="Q149" s="47"/>
      <c r="R149" s="46"/>
      <c r="T149" s="45"/>
    </row>
    <row r="150" spans="1:20" ht="138.75" thickTop="1" thickBot="1" x14ac:dyDescent="0.25">
      <c r="A150" s="598" t="s">
        <v>716</v>
      </c>
      <c r="B150" s="598" t="s">
        <v>717</v>
      </c>
      <c r="C150" s="598"/>
      <c r="D150" s="598" t="s">
        <v>718</v>
      </c>
      <c r="E150" s="599">
        <f>SUM(E151:E155)</f>
        <v>92308000</v>
      </c>
      <c r="F150" s="599">
        <f t="shared" ref="F150:P150" si="111">SUM(F151:F155)</f>
        <v>92308000</v>
      </c>
      <c r="G150" s="599">
        <f t="shared" si="111"/>
        <v>0</v>
      </c>
      <c r="H150" s="599">
        <f t="shared" si="111"/>
        <v>0</v>
      </c>
      <c r="I150" s="599">
        <f t="shared" si="111"/>
        <v>0</v>
      </c>
      <c r="J150" s="599">
        <f t="shared" si="111"/>
        <v>50000</v>
      </c>
      <c r="K150" s="599">
        <f t="shared" si="111"/>
        <v>50000</v>
      </c>
      <c r="L150" s="599">
        <f t="shared" si="111"/>
        <v>0</v>
      </c>
      <c r="M150" s="599">
        <f t="shared" si="111"/>
        <v>0</v>
      </c>
      <c r="N150" s="599">
        <f t="shared" si="111"/>
        <v>0</v>
      </c>
      <c r="O150" s="599">
        <f t="shared" si="111"/>
        <v>50000</v>
      </c>
      <c r="P150" s="599">
        <f t="shared" si="111"/>
        <v>92358000</v>
      </c>
      <c r="Q150" s="148"/>
      <c r="R150" s="48"/>
      <c r="T150" s="49"/>
    </row>
    <row r="151" spans="1:20" s="33" customFormat="1" ht="93" thickTop="1" thickBot="1" x14ac:dyDescent="0.25">
      <c r="A151" s="101" t="s">
        <v>267</v>
      </c>
      <c r="B151" s="101" t="s">
        <v>268</v>
      </c>
      <c r="C151" s="101" t="s">
        <v>204</v>
      </c>
      <c r="D151" s="311" t="s">
        <v>269</v>
      </c>
      <c r="E151" s="310">
        <f>F151</f>
        <v>858000</v>
      </c>
      <c r="F151" s="425">
        <f>(835000)+23000</f>
        <v>858000</v>
      </c>
      <c r="G151" s="425"/>
      <c r="H151" s="425"/>
      <c r="I151" s="425"/>
      <c r="J151" s="310">
        <f t="shared" si="106"/>
        <v>50000</v>
      </c>
      <c r="K151" s="425">
        <v>50000</v>
      </c>
      <c r="L151" s="425"/>
      <c r="M151" s="425"/>
      <c r="N151" s="425"/>
      <c r="O151" s="422">
        <f t="shared" ref="O151:O173" si="112">K151</f>
        <v>50000</v>
      </c>
      <c r="P151" s="310">
        <f t="shared" si="109"/>
        <v>908000</v>
      </c>
      <c r="Q151" s="36"/>
      <c r="R151" s="46"/>
    </row>
    <row r="152" spans="1:20" s="33" customFormat="1" ht="48" thickTop="1" thickBot="1" x14ac:dyDescent="0.25">
      <c r="A152" s="101" t="s">
        <v>270</v>
      </c>
      <c r="B152" s="101" t="s">
        <v>271</v>
      </c>
      <c r="C152" s="101" t="s">
        <v>205</v>
      </c>
      <c r="D152" s="101" t="s">
        <v>6</v>
      </c>
      <c r="E152" s="310">
        <f t="shared" ref="E152:E203" si="113">F152</f>
        <v>650000</v>
      </c>
      <c r="F152" s="425">
        <v>650000</v>
      </c>
      <c r="G152" s="425"/>
      <c r="H152" s="425"/>
      <c r="I152" s="425"/>
      <c r="J152" s="310">
        <f t="shared" si="106"/>
        <v>0</v>
      </c>
      <c r="K152" s="425"/>
      <c r="L152" s="425"/>
      <c r="M152" s="425"/>
      <c r="N152" s="425"/>
      <c r="O152" s="422">
        <f t="shared" si="112"/>
        <v>0</v>
      </c>
      <c r="P152" s="310">
        <f t="shared" si="109"/>
        <v>650000</v>
      </c>
      <c r="Q152" s="36"/>
      <c r="R152" s="50"/>
    </row>
    <row r="153" spans="1:20" s="33" customFormat="1" ht="93" thickTop="1" thickBot="1" x14ac:dyDescent="0.25">
      <c r="A153" s="101" t="s">
        <v>273</v>
      </c>
      <c r="B153" s="101" t="s">
        <v>274</v>
      </c>
      <c r="C153" s="101" t="s">
        <v>205</v>
      </c>
      <c r="D153" s="101" t="s">
        <v>7</v>
      </c>
      <c r="E153" s="310">
        <f t="shared" si="113"/>
        <v>40000000</v>
      </c>
      <c r="F153" s="425">
        <v>40000000</v>
      </c>
      <c r="G153" s="425"/>
      <c r="H153" s="425"/>
      <c r="I153" s="425"/>
      <c r="J153" s="310">
        <f t="shared" si="106"/>
        <v>0</v>
      </c>
      <c r="K153" s="425"/>
      <c r="L153" s="425"/>
      <c r="M153" s="425"/>
      <c r="N153" s="425"/>
      <c r="O153" s="422">
        <f t="shared" si="112"/>
        <v>0</v>
      </c>
      <c r="P153" s="310">
        <f t="shared" si="109"/>
        <v>40000000</v>
      </c>
      <c r="Q153" s="36"/>
      <c r="R153" s="50"/>
    </row>
    <row r="154" spans="1:20" s="33" customFormat="1" ht="93" thickTop="1" thickBot="1" x14ac:dyDescent="0.25">
      <c r="A154" s="101" t="s">
        <v>275</v>
      </c>
      <c r="B154" s="101" t="s">
        <v>272</v>
      </c>
      <c r="C154" s="101" t="s">
        <v>205</v>
      </c>
      <c r="D154" s="101" t="s">
        <v>8</v>
      </c>
      <c r="E154" s="310">
        <f t="shared" si="113"/>
        <v>800000</v>
      </c>
      <c r="F154" s="425">
        <v>800000</v>
      </c>
      <c r="G154" s="425"/>
      <c r="H154" s="425"/>
      <c r="I154" s="425"/>
      <c r="J154" s="310">
        <f t="shared" si="106"/>
        <v>0</v>
      </c>
      <c r="K154" s="425"/>
      <c r="L154" s="425"/>
      <c r="M154" s="425"/>
      <c r="N154" s="425"/>
      <c r="O154" s="422">
        <f t="shared" si="112"/>
        <v>0</v>
      </c>
      <c r="P154" s="310">
        <f t="shared" si="109"/>
        <v>800000</v>
      </c>
      <c r="Q154" s="36"/>
      <c r="R154" s="50"/>
    </row>
    <row r="155" spans="1:20" s="33" customFormat="1" ht="93" thickTop="1" thickBot="1" x14ac:dyDescent="0.25">
      <c r="A155" s="101" t="s">
        <v>276</v>
      </c>
      <c r="B155" s="101" t="s">
        <v>277</v>
      </c>
      <c r="C155" s="101" t="s">
        <v>205</v>
      </c>
      <c r="D155" s="101" t="s">
        <v>9</v>
      </c>
      <c r="E155" s="310">
        <f t="shared" si="113"/>
        <v>50000000</v>
      </c>
      <c r="F155" s="425">
        <f>(58000000-3000000)-5000000</f>
        <v>50000000</v>
      </c>
      <c r="G155" s="425"/>
      <c r="H155" s="425"/>
      <c r="I155" s="425"/>
      <c r="J155" s="310">
        <f t="shared" si="106"/>
        <v>0</v>
      </c>
      <c r="K155" s="425"/>
      <c r="L155" s="425"/>
      <c r="M155" s="425"/>
      <c r="N155" s="425"/>
      <c r="O155" s="422">
        <f t="shared" si="112"/>
        <v>0</v>
      </c>
      <c r="P155" s="310">
        <f t="shared" si="109"/>
        <v>50000000</v>
      </c>
      <c r="Q155" s="36"/>
      <c r="R155" s="50"/>
    </row>
    <row r="156" spans="1:20" s="33" customFormat="1" ht="93" thickTop="1" thickBot="1" x14ac:dyDescent="0.25">
      <c r="A156" s="101" t="s">
        <v>473</v>
      </c>
      <c r="B156" s="101" t="s">
        <v>474</v>
      </c>
      <c r="C156" s="101" t="s">
        <v>205</v>
      </c>
      <c r="D156" s="101" t="s">
        <v>475</v>
      </c>
      <c r="E156" s="310">
        <f t="shared" si="113"/>
        <v>381295</v>
      </c>
      <c r="F156" s="425">
        <v>381295</v>
      </c>
      <c r="G156" s="425"/>
      <c r="H156" s="425"/>
      <c r="I156" s="425"/>
      <c r="J156" s="310">
        <f t="shared" si="106"/>
        <v>0</v>
      </c>
      <c r="K156" s="425"/>
      <c r="L156" s="425"/>
      <c r="M156" s="425"/>
      <c r="N156" s="425"/>
      <c r="O156" s="422">
        <f t="shared" si="112"/>
        <v>0</v>
      </c>
      <c r="P156" s="310">
        <f t="shared" si="109"/>
        <v>381295</v>
      </c>
      <c r="Q156" s="36"/>
      <c r="R156" s="50"/>
    </row>
    <row r="157" spans="1:20" s="33" customFormat="1" ht="93" thickTop="1" thickBot="1" x14ac:dyDescent="0.25">
      <c r="A157" s="101" t="s">
        <v>902</v>
      </c>
      <c r="B157" s="101" t="s">
        <v>903</v>
      </c>
      <c r="C157" s="101" t="s">
        <v>205</v>
      </c>
      <c r="D157" s="101" t="s">
        <v>904</v>
      </c>
      <c r="E157" s="310">
        <f t="shared" si="113"/>
        <v>2000000</v>
      </c>
      <c r="F157" s="425">
        <v>2000000</v>
      </c>
      <c r="G157" s="425"/>
      <c r="H157" s="425"/>
      <c r="I157" s="425"/>
      <c r="J157" s="310">
        <f t="shared" si="106"/>
        <v>0</v>
      </c>
      <c r="K157" s="425"/>
      <c r="L157" s="425"/>
      <c r="M157" s="425"/>
      <c r="N157" s="425"/>
      <c r="O157" s="422">
        <f t="shared" si="112"/>
        <v>0</v>
      </c>
      <c r="P157" s="310">
        <f t="shared" si="109"/>
        <v>2000000</v>
      </c>
      <c r="Q157" s="36"/>
      <c r="R157" s="50"/>
    </row>
    <row r="158" spans="1:20" ht="93" thickTop="1" thickBot="1" x14ac:dyDescent="0.25">
      <c r="A158" s="101" t="s">
        <v>476</v>
      </c>
      <c r="B158" s="101" t="s">
        <v>477</v>
      </c>
      <c r="C158" s="101" t="s">
        <v>204</v>
      </c>
      <c r="D158" s="101" t="s">
        <v>478</v>
      </c>
      <c r="E158" s="310">
        <f t="shared" si="113"/>
        <v>629581</v>
      </c>
      <c r="F158" s="425">
        <v>629581</v>
      </c>
      <c r="G158" s="425"/>
      <c r="H158" s="425"/>
      <c r="I158" s="425"/>
      <c r="J158" s="310">
        <f t="shared" si="106"/>
        <v>0</v>
      </c>
      <c r="K158" s="425"/>
      <c r="L158" s="425"/>
      <c r="M158" s="425"/>
      <c r="N158" s="425"/>
      <c r="O158" s="422">
        <f>K158</f>
        <v>0</v>
      </c>
      <c r="P158" s="310">
        <f t="shared" si="109"/>
        <v>629581</v>
      </c>
      <c r="Q158" s="20"/>
      <c r="R158" s="50"/>
    </row>
    <row r="159" spans="1:20" s="33" customFormat="1" ht="138.75" thickTop="1" thickBot="1" x14ac:dyDescent="0.25">
      <c r="A159" s="598" t="s">
        <v>719</v>
      </c>
      <c r="B159" s="598" t="s">
        <v>720</v>
      </c>
      <c r="C159" s="598"/>
      <c r="D159" s="598" t="s">
        <v>721</v>
      </c>
      <c r="E159" s="599">
        <f>SUM(E160:E161)</f>
        <v>68722000.260000005</v>
      </c>
      <c r="F159" s="599">
        <f t="shared" ref="F159:P159" si="114">SUM(F160:F161)</f>
        <v>68722000.260000005</v>
      </c>
      <c r="G159" s="599">
        <f t="shared" si="114"/>
        <v>36435489</v>
      </c>
      <c r="H159" s="599">
        <f t="shared" si="114"/>
        <v>1299069</v>
      </c>
      <c r="I159" s="599">
        <f t="shared" si="114"/>
        <v>0</v>
      </c>
      <c r="J159" s="599">
        <f t="shared" si="114"/>
        <v>2353800</v>
      </c>
      <c r="K159" s="599">
        <f t="shared" si="114"/>
        <v>553800</v>
      </c>
      <c r="L159" s="599">
        <f t="shared" si="114"/>
        <v>1800000</v>
      </c>
      <c r="M159" s="599">
        <f t="shared" si="114"/>
        <v>1000000</v>
      </c>
      <c r="N159" s="599">
        <f t="shared" si="114"/>
        <v>320000</v>
      </c>
      <c r="O159" s="599">
        <f t="shared" si="114"/>
        <v>553800</v>
      </c>
      <c r="P159" s="599">
        <f t="shared" si="114"/>
        <v>71075800.260000005</v>
      </c>
      <c r="Q159" s="36"/>
      <c r="R159" s="51"/>
    </row>
    <row r="160" spans="1:20" ht="138.75" thickTop="1" thickBot="1" x14ac:dyDescent="0.25">
      <c r="A160" s="101" t="s">
        <v>265</v>
      </c>
      <c r="B160" s="101" t="s">
        <v>263</v>
      </c>
      <c r="C160" s="101" t="s">
        <v>199</v>
      </c>
      <c r="D160" s="101" t="s">
        <v>17</v>
      </c>
      <c r="E160" s="310">
        <f t="shared" si="113"/>
        <v>54750731</v>
      </c>
      <c r="F160" s="425">
        <f>((48003535-150000)+2168100)+4379400+349696</f>
        <v>54750731</v>
      </c>
      <c r="G160" s="425">
        <v>26737646</v>
      </c>
      <c r="H160" s="425">
        <f>374515+20707+169000+10800</f>
        <v>575022</v>
      </c>
      <c r="I160" s="425"/>
      <c r="J160" s="310">
        <f t="shared" si="106"/>
        <v>1950000</v>
      </c>
      <c r="K160" s="425">
        <v>150000</v>
      </c>
      <c r="L160" s="425">
        <v>1800000</v>
      </c>
      <c r="M160" s="425">
        <v>1000000</v>
      </c>
      <c r="N160" s="425">
        <f>200000+20000+100000</f>
        <v>320000</v>
      </c>
      <c r="O160" s="422">
        <f>K160+0</f>
        <v>150000</v>
      </c>
      <c r="P160" s="310">
        <f t="shared" si="109"/>
        <v>56700731</v>
      </c>
      <c r="Q160" s="20"/>
      <c r="R160" s="46"/>
    </row>
    <row r="161" spans="1:18" ht="93" thickTop="1" thickBot="1" x14ac:dyDescent="0.25">
      <c r="A161" s="101" t="s">
        <v>266</v>
      </c>
      <c r="B161" s="101" t="s">
        <v>264</v>
      </c>
      <c r="C161" s="101" t="s">
        <v>198</v>
      </c>
      <c r="D161" s="101" t="s">
        <v>450</v>
      </c>
      <c r="E161" s="310">
        <f t="shared" si="113"/>
        <v>13971269.26</v>
      </c>
      <c r="F161" s="425">
        <f>((13869902)+50067.26)+18000+50000-16700</f>
        <v>13971269.26</v>
      </c>
      <c r="G161" s="425">
        <f>6448188+3249655</f>
        <v>9697843</v>
      </c>
      <c r="H161" s="425">
        <f>305211+9225+75000+833+271602+8695+53172+309</f>
        <v>724047</v>
      </c>
      <c r="I161" s="425"/>
      <c r="J161" s="310">
        <f t="shared" si="106"/>
        <v>403800</v>
      </c>
      <c r="K161" s="425">
        <f>(0)+385000+18800</f>
        <v>403800</v>
      </c>
      <c r="L161" s="425"/>
      <c r="M161" s="425"/>
      <c r="N161" s="425"/>
      <c r="O161" s="422">
        <f t="shared" si="112"/>
        <v>403800</v>
      </c>
      <c r="P161" s="310">
        <f t="shared" si="109"/>
        <v>14375069.26</v>
      </c>
      <c r="Q161" s="20"/>
      <c r="R161" s="46"/>
    </row>
    <row r="162" spans="1:18" ht="48" thickTop="1" thickBot="1" x14ac:dyDescent="0.25">
      <c r="A162" s="598" t="s">
        <v>1666</v>
      </c>
      <c r="B162" s="598" t="s">
        <v>1667</v>
      </c>
      <c r="C162" s="598"/>
      <c r="D162" s="598" t="s">
        <v>1668</v>
      </c>
      <c r="E162" s="599">
        <f>E163</f>
        <v>44745</v>
      </c>
      <c r="F162" s="599">
        <f t="shared" ref="F162:P162" si="115">F163</f>
        <v>44745</v>
      </c>
      <c r="G162" s="599">
        <f t="shared" si="115"/>
        <v>0</v>
      </c>
      <c r="H162" s="599">
        <f t="shared" si="115"/>
        <v>0</v>
      </c>
      <c r="I162" s="599">
        <f t="shared" si="115"/>
        <v>0</v>
      </c>
      <c r="J162" s="599">
        <f t="shared" si="115"/>
        <v>0</v>
      </c>
      <c r="K162" s="599">
        <f t="shared" si="115"/>
        <v>0</v>
      </c>
      <c r="L162" s="599">
        <f t="shared" si="115"/>
        <v>0</v>
      </c>
      <c r="M162" s="599">
        <f t="shared" si="115"/>
        <v>0</v>
      </c>
      <c r="N162" s="599">
        <f t="shared" si="115"/>
        <v>0</v>
      </c>
      <c r="O162" s="599">
        <f t="shared" si="115"/>
        <v>0</v>
      </c>
      <c r="P162" s="599">
        <f t="shared" si="115"/>
        <v>44745</v>
      </c>
      <c r="Q162" s="20"/>
      <c r="R162" s="46"/>
    </row>
    <row r="163" spans="1:18" ht="138.75" thickTop="1" thickBot="1" x14ac:dyDescent="0.25">
      <c r="A163" s="101" t="s">
        <v>1670</v>
      </c>
      <c r="B163" s="101" t="s">
        <v>1671</v>
      </c>
      <c r="C163" s="101" t="s">
        <v>184</v>
      </c>
      <c r="D163" s="101" t="s">
        <v>1669</v>
      </c>
      <c r="E163" s="299">
        <f t="shared" ref="E163" si="116">F163</f>
        <v>44745</v>
      </c>
      <c r="F163" s="308">
        <v>44745</v>
      </c>
      <c r="G163" s="308"/>
      <c r="H163" s="308"/>
      <c r="I163" s="308"/>
      <c r="J163" s="310">
        <f t="shared" ref="J163" si="117">L163+O163</f>
        <v>0</v>
      </c>
      <c r="K163" s="308"/>
      <c r="L163" s="421"/>
      <c r="M163" s="421"/>
      <c r="N163" s="421"/>
      <c r="O163" s="422">
        <f>K163+0</f>
        <v>0</v>
      </c>
      <c r="P163" s="310">
        <f>+J163+E163</f>
        <v>44745</v>
      </c>
      <c r="Q163" s="20"/>
      <c r="R163" s="46"/>
    </row>
    <row r="164" spans="1:18" ht="48" thickTop="1" thickBot="1" x14ac:dyDescent="0.25">
      <c r="A164" s="598" t="s">
        <v>989</v>
      </c>
      <c r="B164" s="598" t="s">
        <v>751</v>
      </c>
      <c r="C164" s="598"/>
      <c r="D164" s="598" t="s">
        <v>752</v>
      </c>
      <c r="E164" s="599">
        <f t="shared" ref="E164:P164" si="118">SUM(E165:E166)</f>
        <v>13163311</v>
      </c>
      <c r="F164" s="599">
        <f t="shared" si="118"/>
        <v>13163311</v>
      </c>
      <c r="G164" s="599">
        <f t="shared" si="118"/>
        <v>6345349</v>
      </c>
      <c r="H164" s="599">
        <f t="shared" si="118"/>
        <v>158766</v>
      </c>
      <c r="I164" s="599">
        <f t="shared" si="118"/>
        <v>0</v>
      </c>
      <c r="J164" s="599">
        <f t="shared" si="118"/>
        <v>141600</v>
      </c>
      <c r="K164" s="599">
        <f t="shared" si="118"/>
        <v>90000</v>
      </c>
      <c r="L164" s="599">
        <f t="shared" si="118"/>
        <v>51600</v>
      </c>
      <c r="M164" s="599">
        <f t="shared" si="118"/>
        <v>0</v>
      </c>
      <c r="N164" s="599">
        <f t="shared" si="118"/>
        <v>0</v>
      </c>
      <c r="O164" s="599">
        <f t="shared" si="118"/>
        <v>90000</v>
      </c>
      <c r="P164" s="599">
        <f t="shared" si="118"/>
        <v>13304911</v>
      </c>
      <c r="Q164" s="20"/>
      <c r="R164" s="46"/>
    </row>
    <row r="165" spans="1:18" ht="184.5" thickTop="1" thickBot="1" x14ac:dyDescent="0.25">
      <c r="A165" s="101" t="s">
        <v>1174</v>
      </c>
      <c r="B165" s="101" t="s">
        <v>183</v>
      </c>
      <c r="C165" s="101" t="s">
        <v>184</v>
      </c>
      <c r="D165" s="101" t="s">
        <v>1617</v>
      </c>
      <c r="E165" s="299">
        <f t="shared" ref="E165:E166" si="119">F165</f>
        <v>8882198</v>
      </c>
      <c r="F165" s="308">
        <f>(8619292)+2906+62000+198000</f>
        <v>8882198</v>
      </c>
      <c r="G165" s="308">
        <v>6345349</v>
      </c>
      <c r="H165" s="308">
        <f>87620+6430+58705+6011</f>
        <v>158766</v>
      </c>
      <c r="I165" s="308"/>
      <c r="J165" s="310">
        <f t="shared" ref="J165:J166" si="120">L165+O165</f>
        <v>141600</v>
      </c>
      <c r="K165" s="308">
        <f>(0)+90000</f>
        <v>90000</v>
      </c>
      <c r="L165" s="421">
        <v>51600</v>
      </c>
      <c r="M165" s="421"/>
      <c r="N165" s="421"/>
      <c r="O165" s="422">
        <f>K165+0</f>
        <v>90000</v>
      </c>
      <c r="P165" s="310">
        <f>+J165+E165</f>
        <v>9023798</v>
      </c>
      <c r="Q165" s="20"/>
      <c r="R165" s="46"/>
    </row>
    <row r="166" spans="1:18" ht="93" thickTop="1" thickBot="1" x14ac:dyDescent="0.25">
      <c r="A166" s="101" t="s">
        <v>990</v>
      </c>
      <c r="B166" s="101" t="s">
        <v>991</v>
      </c>
      <c r="C166" s="101" t="s">
        <v>184</v>
      </c>
      <c r="D166" s="101" t="s">
        <v>1618</v>
      </c>
      <c r="E166" s="299">
        <f t="shared" si="119"/>
        <v>4281113</v>
      </c>
      <c r="F166" s="308">
        <f>(4225673)+55440</f>
        <v>4281113</v>
      </c>
      <c r="G166" s="308"/>
      <c r="H166" s="308"/>
      <c r="I166" s="308"/>
      <c r="J166" s="310">
        <f t="shared" si="120"/>
        <v>0</v>
      </c>
      <c r="K166" s="308"/>
      <c r="L166" s="421"/>
      <c r="M166" s="421"/>
      <c r="N166" s="421"/>
      <c r="O166" s="422">
        <f t="shared" ref="O166" si="121">K166</f>
        <v>0</v>
      </c>
      <c r="P166" s="310">
        <f>+J166+E166</f>
        <v>4281113</v>
      </c>
      <c r="Q166" s="20"/>
      <c r="R166" s="46"/>
    </row>
    <row r="167" spans="1:18" ht="184.5" thickTop="1" thickBot="1" x14ac:dyDescent="0.25">
      <c r="A167" s="101" t="s">
        <v>261</v>
      </c>
      <c r="B167" s="101" t="s">
        <v>262</v>
      </c>
      <c r="C167" s="101" t="s">
        <v>198</v>
      </c>
      <c r="D167" s="101" t="s">
        <v>448</v>
      </c>
      <c r="E167" s="310">
        <f t="shared" si="113"/>
        <v>9547200</v>
      </c>
      <c r="F167" s="425">
        <v>9547200</v>
      </c>
      <c r="G167" s="425"/>
      <c r="H167" s="425"/>
      <c r="I167" s="425"/>
      <c r="J167" s="310">
        <f t="shared" si="106"/>
        <v>0</v>
      </c>
      <c r="K167" s="310"/>
      <c r="L167" s="425"/>
      <c r="M167" s="425"/>
      <c r="N167" s="425"/>
      <c r="O167" s="422">
        <f t="shared" si="112"/>
        <v>0</v>
      </c>
      <c r="P167" s="310">
        <f>+J167+E167</f>
        <v>9547200</v>
      </c>
      <c r="Q167" s="20"/>
      <c r="R167" s="50"/>
    </row>
    <row r="168" spans="1:18" ht="48" thickTop="1" thickBot="1" x14ac:dyDescent="0.25">
      <c r="A168" s="598" t="s">
        <v>863</v>
      </c>
      <c r="B168" s="598" t="s">
        <v>864</v>
      </c>
      <c r="C168" s="598"/>
      <c r="D168" s="598" t="s">
        <v>865</v>
      </c>
      <c r="E168" s="599">
        <f t="shared" si="113"/>
        <v>160170</v>
      </c>
      <c r="F168" s="599">
        <f>F169</f>
        <v>160170</v>
      </c>
      <c r="G168" s="599">
        <f t="shared" ref="G168:I168" si="122">G169</f>
        <v>0</v>
      </c>
      <c r="H168" s="599">
        <f t="shared" si="122"/>
        <v>0</v>
      </c>
      <c r="I168" s="599">
        <f t="shared" si="122"/>
        <v>0</v>
      </c>
      <c r="J168" s="599">
        <f t="shared" si="106"/>
        <v>0</v>
      </c>
      <c r="K168" s="599">
        <f t="shared" ref="K168:N168" si="123">K169</f>
        <v>0</v>
      </c>
      <c r="L168" s="599">
        <f t="shared" si="123"/>
        <v>0</v>
      </c>
      <c r="M168" s="599">
        <f t="shared" si="123"/>
        <v>0</v>
      </c>
      <c r="N168" s="599">
        <f t="shared" si="123"/>
        <v>0</v>
      </c>
      <c r="O168" s="599">
        <f t="shared" si="112"/>
        <v>0</v>
      </c>
      <c r="P168" s="599">
        <f>+J168+E168</f>
        <v>160170</v>
      </c>
      <c r="Q168" s="20"/>
      <c r="R168" s="50"/>
    </row>
    <row r="169" spans="1:18" ht="93" thickTop="1" thickBot="1" x14ac:dyDescent="0.25">
      <c r="A169" s="101" t="s">
        <v>479</v>
      </c>
      <c r="B169" s="101" t="s">
        <v>480</v>
      </c>
      <c r="C169" s="101" t="s">
        <v>198</v>
      </c>
      <c r="D169" s="101" t="s">
        <v>481</v>
      </c>
      <c r="E169" s="310">
        <f t="shared" si="113"/>
        <v>160170</v>
      </c>
      <c r="F169" s="425">
        <v>160170</v>
      </c>
      <c r="G169" s="425"/>
      <c r="H169" s="425"/>
      <c r="I169" s="425"/>
      <c r="J169" s="310">
        <f t="shared" si="106"/>
        <v>0</v>
      </c>
      <c r="K169" s="310"/>
      <c r="L169" s="425"/>
      <c r="M169" s="425"/>
      <c r="N169" s="425"/>
      <c r="O169" s="422">
        <f t="shared" si="112"/>
        <v>0</v>
      </c>
      <c r="P169" s="310">
        <f>+J169+E169</f>
        <v>160170</v>
      </c>
      <c r="Q169" s="20"/>
      <c r="R169" s="50"/>
    </row>
    <row r="170" spans="1:18" ht="138.75" thickTop="1" thickBot="1" x14ac:dyDescent="0.25">
      <c r="A170" s="101" t="s">
        <v>345</v>
      </c>
      <c r="B170" s="101" t="s">
        <v>344</v>
      </c>
      <c r="C170" s="101" t="s">
        <v>50</v>
      </c>
      <c r="D170" s="101" t="s">
        <v>449</v>
      </c>
      <c r="E170" s="310">
        <f t="shared" si="113"/>
        <v>5175144</v>
      </c>
      <c r="F170" s="425">
        <v>5175144</v>
      </c>
      <c r="G170" s="425"/>
      <c r="H170" s="425"/>
      <c r="I170" s="425"/>
      <c r="J170" s="310">
        <f t="shared" si="106"/>
        <v>0</v>
      </c>
      <c r="K170" s="310"/>
      <c r="L170" s="425"/>
      <c r="M170" s="425"/>
      <c r="N170" s="425"/>
      <c r="O170" s="422">
        <f t="shared" si="112"/>
        <v>0</v>
      </c>
      <c r="P170" s="310">
        <f>E170+J170</f>
        <v>5175144</v>
      </c>
      <c r="Q170" s="20"/>
      <c r="R170" s="50"/>
    </row>
    <row r="171" spans="1:18" s="33" customFormat="1" ht="48" thickTop="1" thickBot="1" x14ac:dyDescent="0.25">
      <c r="A171" s="598" t="s">
        <v>722</v>
      </c>
      <c r="B171" s="598" t="s">
        <v>723</v>
      </c>
      <c r="C171" s="598"/>
      <c r="D171" s="598" t="s">
        <v>724</v>
      </c>
      <c r="E171" s="599">
        <f>E172</f>
        <v>1400000</v>
      </c>
      <c r="F171" s="599">
        <f t="shared" ref="F171:P171" si="124">F172</f>
        <v>1400000</v>
      </c>
      <c r="G171" s="599">
        <f t="shared" si="124"/>
        <v>0</v>
      </c>
      <c r="H171" s="599">
        <f t="shared" si="124"/>
        <v>0</v>
      </c>
      <c r="I171" s="599">
        <f t="shared" si="124"/>
        <v>0</v>
      </c>
      <c r="J171" s="599">
        <f t="shared" si="124"/>
        <v>0</v>
      </c>
      <c r="K171" s="599">
        <f t="shared" si="124"/>
        <v>0</v>
      </c>
      <c r="L171" s="599">
        <f t="shared" si="124"/>
        <v>0</v>
      </c>
      <c r="M171" s="599">
        <f t="shared" si="124"/>
        <v>0</v>
      </c>
      <c r="N171" s="599">
        <f t="shared" si="124"/>
        <v>0</v>
      </c>
      <c r="O171" s="599">
        <f t="shared" si="124"/>
        <v>0</v>
      </c>
      <c r="P171" s="599">
        <f t="shared" si="124"/>
        <v>1400000</v>
      </c>
      <c r="Q171" s="36"/>
      <c r="R171" s="51"/>
    </row>
    <row r="172" spans="1:18" ht="93" thickTop="1" thickBot="1" x14ac:dyDescent="0.25">
      <c r="A172" s="101" t="s">
        <v>323</v>
      </c>
      <c r="B172" s="101" t="s">
        <v>324</v>
      </c>
      <c r="C172" s="101" t="s">
        <v>204</v>
      </c>
      <c r="D172" s="101" t="s">
        <v>626</v>
      </c>
      <c r="E172" s="310">
        <f t="shared" si="113"/>
        <v>1400000</v>
      </c>
      <c r="F172" s="425">
        <f>((500000)+600000)+300000</f>
        <v>1400000</v>
      </c>
      <c r="G172" s="425"/>
      <c r="H172" s="425"/>
      <c r="I172" s="425"/>
      <c r="J172" s="310">
        <f t="shared" si="106"/>
        <v>0</v>
      </c>
      <c r="K172" s="425"/>
      <c r="L172" s="425"/>
      <c r="M172" s="425"/>
      <c r="N172" s="425"/>
      <c r="O172" s="422">
        <f t="shared" si="112"/>
        <v>0</v>
      </c>
      <c r="P172" s="310">
        <f>E172+J172</f>
        <v>1400000</v>
      </c>
      <c r="Q172" s="20"/>
      <c r="R172" s="50"/>
    </row>
    <row r="173" spans="1:18" ht="48" thickTop="1" thickBot="1" x14ac:dyDescent="0.25">
      <c r="A173" s="101" t="s">
        <v>423</v>
      </c>
      <c r="B173" s="101" t="s">
        <v>368</v>
      </c>
      <c r="C173" s="101" t="s">
        <v>369</v>
      </c>
      <c r="D173" s="101" t="s">
        <v>367</v>
      </c>
      <c r="E173" s="636">
        <f t="shared" si="113"/>
        <v>117000</v>
      </c>
      <c r="F173" s="425">
        <v>117000</v>
      </c>
      <c r="G173" s="425">
        <v>90000</v>
      </c>
      <c r="H173" s="425"/>
      <c r="I173" s="425"/>
      <c r="J173" s="310">
        <f t="shared" si="106"/>
        <v>0</v>
      </c>
      <c r="K173" s="425"/>
      <c r="L173" s="425"/>
      <c r="M173" s="425"/>
      <c r="N173" s="425"/>
      <c r="O173" s="422">
        <f t="shared" si="112"/>
        <v>0</v>
      </c>
      <c r="P173" s="310">
        <f>E173+J173</f>
        <v>117000</v>
      </c>
      <c r="Q173" s="20"/>
      <c r="R173" s="50"/>
    </row>
    <row r="174" spans="1:18" ht="130.69999999999999" customHeight="1" thickTop="1" thickBot="1" x14ac:dyDescent="0.25">
      <c r="A174" s="598" t="s">
        <v>1025</v>
      </c>
      <c r="B174" s="598" t="s">
        <v>1026</v>
      </c>
      <c r="C174" s="598"/>
      <c r="D174" s="598" t="s">
        <v>1024</v>
      </c>
      <c r="E174" s="599">
        <f>E175+E179+E181+E184+E187</f>
        <v>0</v>
      </c>
      <c r="F174" s="599">
        <f t="shared" ref="F174:O174" si="125">F175+F179+F181+F184+F187</f>
        <v>0</v>
      </c>
      <c r="G174" s="599">
        <f t="shared" si="125"/>
        <v>0</v>
      </c>
      <c r="H174" s="599">
        <f t="shared" si="125"/>
        <v>0</v>
      </c>
      <c r="I174" s="599">
        <f t="shared" si="125"/>
        <v>0</v>
      </c>
      <c r="J174" s="599">
        <f t="shared" si="125"/>
        <v>44763277.100000001</v>
      </c>
      <c r="K174" s="599">
        <f t="shared" si="125"/>
        <v>44763277.100000001</v>
      </c>
      <c r="L174" s="599">
        <f t="shared" si="125"/>
        <v>0</v>
      </c>
      <c r="M174" s="599">
        <f t="shared" si="125"/>
        <v>0</v>
      </c>
      <c r="N174" s="599">
        <f t="shared" si="125"/>
        <v>0</v>
      </c>
      <c r="O174" s="599">
        <f t="shared" si="125"/>
        <v>44763277.100000001</v>
      </c>
      <c r="P174" s="599">
        <f>P175+P179+P181+P184+P187</f>
        <v>44763277.100000001</v>
      </c>
      <c r="Q174" s="20"/>
      <c r="R174" s="50"/>
    </row>
    <row r="175" spans="1:18" ht="184.5" hidden="1" thickTop="1" thickBot="1" x14ac:dyDescent="0.7">
      <c r="A175" s="767" t="s">
        <v>1027</v>
      </c>
      <c r="B175" s="767" t="s">
        <v>1028</v>
      </c>
      <c r="C175" s="767" t="s">
        <v>50</v>
      </c>
      <c r="D175" s="557" t="s">
        <v>1366</v>
      </c>
      <c r="E175" s="775">
        <f t="shared" ref="E175:E179" si="126">F175</f>
        <v>0</v>
      </c>
      <c r="F175" s="775"/>
      <c r="G175" s="775"/>
      <c r="H175" s="775"/>
      <c r="I175" s="775"/>
      <c r="J175" s="775">
        <f t="shared" ref="J175:J179" si="127">L175+O175</f>
        <v>0</v>
      </c>
      <c r="K175" s="806"/>
      <c r="L175" s="775"/>
      <c r="M175" s="775"/>
      <c r="N175" s="775"/>
      <c r="O175" s="806">
        <f t="shared" ref="O175:O179" si="128">K175</f>
        <v>0</v>
      </c>
      <c r="P175" s="775">
        <f t="shared" ref="P175:P179" si="129">E175+J175</f>
        <v>0</v>
      </c>
      <c r="Q175" s="816"/>
      <c r="R175" s="813"/>
    </row>
    <row r="176" spans="1:18" ht="184.5" hidden="1" thickTop="1" thickBot="1" x14ac:dyDescent="0.25">
      <c r="A176" s="768"/>
      <c r="B176" s="768"/>
      <c r="C176" s="768"/>
      <c r="D176" s="558" t="s">
        <v>1367</v>
      </c>
      <c r="E176" s="768"/>
      <c r="F176" s="768"/>
      <c r="G176" s="768"/>
      <c r="H176" s="768"/>
      <c r="I176" s="768"/>
      <c r="J176" s="768"/>
      <c r="K176" s="768"/>
      <c r="L176" s="768"/>
      <c r="M176" s="768"/>
      <c r="N176" s="768"/>
      <c r="O176" s="768"/>
      <c r="P176" s="768"/>
      <c r="Q176" s="816"/>
      <c r="R176" s="814"/>
    </row>
    <row r="177" spans="1:18" ht="184.5" hidden="1" thickTop="1" thickBot="1" x14ac:dyDescent="0.25">
      <c r="A177" s="768"/>
      <c r="B177" s="768"/>
      <c r="C177" s="768"/>
      <c r="D177" s="558" t="s">
        <v>1368</v>
      </c>
      <c r="E177" s="768"/>
      <c r="F177" s="768"/>
      <c r="G177" s="768"/>
      <c r="H177" s="768"/>
      <c r="I177" s="768"/>
      <c r="J177" s="768"/>
      <c r="K177" s="768"/>
      <c r="L177" s="768"/>
      <c r="M177" s="768"/>
      <c r="N177" s="768"/>
      <c r="O177" s="768"/>
      <c r="P177" s="768"/>
      <c r="Q177" s="816"/>
      <c r="R177" s="814"/>
    </row>
    <row r="178" spans="1:18" ht="93" hidden="1" thickTop="1" thickBot="1" x14ac:dyDescent="0.25">
      <c r="A178" s="769"/>
      <c r="B178" s="769"/>
      <c r="C178" s="769"/>
      <c r="D178" s="559" t="s">
        <v>1369</v>
      </c>
      <c r="E178" s="769"/>
      <c r="F178" s="769"/>
      <c r="G178" s="769"/>
      <c r="H178" s="769"/>
      <c r="I178" s="769"/>
      <c r="J178" s="769"/>
      <c r="K178" s="769"/>
      <c r="L178" s="769"/>
      <c r="M178" s="769"/>
      <c r="N178" s="769"/>
      <c r="O178" s="769"/>
      <c r="P178" s="769"/>
      <c r="Q178" s="816"/>
      <c r="R178" s="814"/>
    </row>
    <row r="179" spans="1:18" ht="409.6" hidden="1" thickTop="1" thickBot="1" x14ac:dyDescent="0.7">
      <c r="A179" s="767" t="s">
        <v>1029</v>
      </c>
      <c r="B179" s="767" t="s">
        <v>1030</v>
      </c>
      <c r="C179" s="767" t="s">
        <v>50</v>
      </c>
      <c r="D179" s="557" t="s">
        <v>1589</v>
      </c>
      <c r="E179" s="775">
        <f t="shared" si="126"/>
        <v>0</v>
      </c>
      <c r="F179" s="775"/>
      <c r="G179" s="775"/>
      <c r="H179" s="775"/>
      <c r="I179" s="775"/>
      <c r="J179" s="775">
        <f t="shared" si="127"/>
        <v>0</v>
      </c>
      <c r="K179" s="806"/>
      <c r="L179" s="775"/>
      <c r="M179" s="775"/>
      <c r="N179" s="775"/>
      <c r="O179" s="775">
        <f t="shared" si="128"/>
        <v>0</v>
      </c>
      <c r="P179" s="775">
        <f t="shared" si="129"/>
        <v>0</v>
      </c>
      <c r="Q179" s="20"/>
      <c r="R179" s="813"/>
    </row>
    <row r="180" spans="1:18" ht="184.5" hidden="1" thickTop="1" thickBot="1" x14ac:dyDescent="0.25">
      <c r="A180" s="768"/>
      <c r="B180" s="768"/>
      <c r="C180" s="768"/>
      <c r="D180" s="558" t="s">
        <v>1590</v>
      </c>
      <c r="E180" s="768"/>
      <c r="F180" s="768"/>
      <c r="G180" s="768"/>
      <c r="H180" s="768"/>
      <c r="I180" s="768"/>
      <c r="J180" s="768"/>
      <c r="K180" s="768"/>
      <c r="L180" s="768"/>
      <c r="M180" s="768"/>
      <c r="N180" s="768"/>
      <c r="O180" s="768"/>
      <c r="P180" s="768"/>
      <c r="Q180" s="20"/>
      <c r="R180" s="815"/>
    </row>
    <row r="181" spans="1:18" ht="184.5" hidden="1" thickTop="1" thickBot="1" x14ac:dyDescent="0.7">
      <c r="A181" s="767" t="s">
        <v>1031</v>
      </c>
      <c r="B181" s="767" t="s">
        <v>1032</v>
      </c>
      <c r="C181" s="767" t="s">
        <v>50</v>
      </c>
      <c r="D181" s="557" t="s">
        <v>1370</v>
      </c>
      <c r="E181" s="775">
        <f t="shared" ref="E181" si="130">F181</f>
        <v>0</v>
      </c>
      <c r="F181" s="775"/>
      <c r="G181" s="775"/>
      <c r="H181" s="775"/>
      <c r="I181" s="775"/>
      <c r="J181" s="775">
        <f t="shared" ref="J181" si="131">L181+O181</f>
        <v>0</v>
      </c>
      <c r="K181" s="806"/>
      <c r="L181" s="775"/>
      <c r="M181" s="775"/>
      <c r="N181" s="775"/>
      <c r="O181" s="806">
        <f t="shared" ref="O181" si="132">K181</f>
        <v>0</v>
      </c>
      <c r="P181" s="775">
        <f t="shared" ref="P181" si="133">E181+J181</f>
        <v>0</v>
      </c>
      <c r="Q181" s="20"/>
      <c r="R181" s="813"/>
    </row>
    <row r="182" spans="1:18" ht="184.5" hidden="1" thickTop="1" thickBot="1" x14ac:dyDescent="0.25">
      <c r="A182" s="768"/>
      <c r="B182" s="768"/>
      <c r="C182" s="768"/>
      <c r="D182" s="558" t="s">
        <v>1371</v>
      </c>
      <c r="E182" s="768"/>
      <c r="F182" s="768"/>
      <c r="G182" s="768"/>
      <c r="H182" s="768"/>
      <c r="I182" s="768"/>
      <c r="J182" s="768"/>
      <c r="K182" s="768"/>
      <c r="L182" s="768"/>
      <c r="M182" s="768"/>
      <c r="N182" s="768"/>
      <c r="O182" s="768"/>
      <c r="P182" s="768"/>
      <c r="Q182" s="20"/>
      <c r="R182" s="814"/>
    </row>
    <row r="183" spans="1:18" ht="93" hidden="1" thickTop="1" thickBot="1" x14ac:dyDescent="0.25">
      <c r="A183" s="769"/>
      <c r="B183" s="769"/>
      <c r="C183" s="769"/>
      <c r="D183" s="559" t="s">
        <v>1033</v>
      </c>
      <c r="E183" s="769"/>
      <c r="F183" s="769"/>
      <c r="G183" s="769"/>
      <c r="H183" s="769"/>
      <c r="I183" s="769"/>
      <c r="J183" s="769"/>
      <c r="K183" s="769"/>
      <c r="L183" s="769"/>
      <c r="M183" s="769"/>
      <c r="N183" s="769"/>
      <c r="O183" s="769"/>
      <c r="P183" s="769"/>
      <c r="Q183" s="20"/>
      <c r="R183" s="814"/>
    </row>
    <row r="184" spans="1:18" ht="184.5" hidden="1" thickTop="1" thickBot="1" x14ac:dyDescent="0.7">
      <c r="A184" s="772" t="s">
        <v>1037</v>
      </c>
      <c r="B184" s="772" t="s">
        <v>1038</v>
      </c>
      <c r="C184" s="772" t="s">
        <v>50</v>
      </c>
      <c r="D184" s="370" t="s">
        <v>1034</v>
      </c>
      <c r="E184" s="775">
        <f t="shared" ref="E184" si="134">F184</f>
        <v>0</v>
      </c>
      <c r="F184" s="775"/>
      <c r="G184" s="775"/>
      <c r="H184" s="775"/>
      <c r="I184" s="775"/>
      <c r="J184" s="775">
        <f t="shared" ref="J184" si="135">L184+O184</f>
        <v>0</v>
      </c>
      <c r="K184" s="804">
        <v>0</v>
      </c>
      <c r="L184" s="803"/>
      <c r="M184" s="803"/>
      <c r="N184" s="803"/>
      <c r="O184" s="804">
        <f t="shared" ref="O184" si="136">K184</f>
        <v>0</v>
      </c>
      <c r="P184" s="803">
        <f t="shared" ref="P184" si="137">E184+J184</f>
        <v>0</v>
      </c>
      <c r="Q184" s="20"/>
      <c r="R184" s="813"/>
    </row>
    <row r="185" spans="1:18" ht="184.5" hidden="1" thickTop="1" thickBot="1" x14ac:dyDescent="0.25">
      <c r="A185" s="773"/>
      <c r="B185" s="773"/>
      <c r="C185" s="773"/>
      <c r="D185" s="124" t="s">
        <v>1035</v>
      </c>
      <c r="E185" s="768"/>
      <c r="F185" s="768"/>
      <c r="G185" s="768"/>
      <c r="H185" s="768"/>
      <c r="I185" s="768"/>
      <c r="J185" s="768"/>
      <c r="K185" s="773"/>
      <c r="L185" s="773"/>
      <c r="M185" s="773"/>
      <c r="N185" s="773"/>
      <c r="O185" s="773"/>
      <c r="P185" s="773"/>
      <c r="Q185" s="20"/>
      <c r="R185" s="814"/>
    </row>
    <row r="186" spans="1:18" ht="47.25" hidden="1" thickTop="1" thickBot="1" x14ac:dyDescent="0.25">
      <c r="A186" s="774"/>
      <c r="B186" s="774"/>
      <c r="C186" s="774"/>
      <c r="D186" s="371" t="s">
        <v>1036</v>
      </c>
      <c r="E186" s="769"/>
      <c r="F186" s="769"/>
      <c r="G186" s="769"/>
      <c r="H186" s="769"/>
      <c r="I186" s="769"/>
      <c r="J186" s="769"/>
      <c r="K186" s="774"/>
      <c r="L186" s="774"/>
      <c r="M186" s="774"/>
      <c r="N186" s="774"/>
      <c r="O186" s="774"/>
      <c r="P186" s="774"/>
      <c r="Q186" s="20"/>
      <c r="R186" s="814"/>
    </row>
    <row r="187" spans="1:18" ht="378" customHeight="1" thickTop="1" x14ac:dyDescent="0.2">
      <c r="A187" s="761" t="s">
        <v>1704</v>
      </c>
      <c r="B187" s="761" t="s">
        <v>1705</v>
      </c>
      <c r="C187" s="761" t="s">
        <v>50</v>
      </c>
      <c r="D187" s="761" t="s">
        <v>1706</v>
      </c>
      <c r="E187" s="759">
        <f t="shared" ref="E187" si="138">F187</f>
        <v>0</v>
      </c>
      <c r="F187" s="763"/>
      <c r="G187" s="763"/>
      <c r="H187" s="763"/>
      <c r="I187" s="763"/>
      <c r="J187" s="759">
        <f t="shared" ref="J187" si="139">L187+O187</f>
        <v>44763277.100000001</v>
      </c>
      <c r="K187" s="763">
        <v>44763277.100000001</v>
      </c>
      <c r="L187" s="763"/>
      <c r="M187" s="763"/>
      <c r="N187" s="763"/>
      <c r="O187" s="757">
        <f t="shared" ref="O187" si="140">K187</f>
        <v>44763277.100000001</v>
      </c>
      <c r="P187" s="759">
        <f t="shared" ref="P187" si="141">E187+J187</f>
        <v>44763277.100000001</v>
      </c>
      <c r="Q187" s="20"/>
      <c r="R187" s="21"/>
    </row>
    <row r="188" spans="1:18" ht="315.75" customHeight="1" thickBot="1" x14ac:dyDescent="0.25">
      <c r="A188" s="762"/>
      <c r="B188" s="762"/>
      <c r="C188" s="762"/>
      <c r="D188" s="762"/>
      <c r="E188" s="760"/>
      <c r="F188" s="764"/>
      <c r="G188" s="764"/>
      <c r="H188" s="764"/>
      <c r="I188" s="764"/>
      <c r="J188" s="760"/>
      <c r="K188" s="764"/>
      <c r="L188" s="764"/>
      <c r="M188" s="764"/>
      <c r="N188" s="764"/>
      <c r="O188" s="758"/>
      <c r="P188" s="760"/>
      <c r="Q188" s="20"/>
      <c r="R188" s="21"/>
    </row>
    <row r="189" spans="1:18" ht="121.7" customHeight="1" thickTop="1" thickBot="1" x14ac:dyDescent="0.25">
      <c r="A189" s="101" t="s">
        <v>1162</v>
      </c>
      <c r="B189" s="101" t="s">
        <v>1159</v>
      </c>
      <c r="C189" s="101" t="s">
        <v>205</v>
      </c>
      <c r="D189" s="600" t="s">
        <v>1160</v>
      </c>
      <c r="E189" s="636">
        <f t="shared" ref="E189" si="142">F189</f>
        <v>5176195</v>
      </c>
      <c r="F189" s="425">
        <v>5176195</v>
      </c>
      <c r="G189" s="425"/>
      <c r="H189" s="425"/>
      <c r="I189" s="425"/>
      <c r="J189" s="310">
        <f t="shared" ref="J189" si="143">L189+O189</f>
        <v>8022695</v>
      </c>
      <c r="K189" s="425">
        <f>((4560281)+2478414)+984000</f>
        <v>8022695</v>
      </c>
      <c r="L189" s="425"/>
      <c r="M189" s="425"/>
      <c r="N189" s="425"/>
      <c r="O189" s="422">
        <f t="shared" ref="O189" si="144">K189</f>
        <v>8022695</v>
      </c>
      <c r="P189" s="310">
        <f>E189+J189</f>
        <v>13198890</v>
      </c>
      <c r="Q189" s="20"/>
      <c r="R189" s="21"/>
    </row>
    <row r="190" spans="1:18" s="33" customFormat="1" ht="48" thickTop="1" thickBot="1" x14ac:dyDescent="0.25">
      <c r="A190" s="598" t="s">
        <v>725</v>
      </c>
      <c r="B190" s="598" t="s">
        <v>726</v>
      </c>
      <c r="C190" s="598"/>
      <c r="D190" s="598" t="s">
        <v>727</v>
      </c>
      <c r="E190" s="599">
        <f>SUM(E191:E193)</f>
        <v>166402113.54000002</v>
      </c>
      <c r="F190" s="599">
        <f t="shared" ref="F190:P190" si="145">SUM(F191:F193)</f>
        <v>166402113.54000002</v>
      </c>
      <c r="G190" s="599">
        <f t="shared" si="145"/>
        <v>17473041</v>
      </c>
      <c r="H190" s="599">
        <f t="shared" si="145"/>
        <v>2738049.2300000004</v>
      </c>
      <c r="I190" s="599">
        <f t="shared" si="145"/>
        <v>0</v>
      </c>
      <c r="J190" s="599">
        <f t="shared" si="145"/>
        <v>61364151</v>
      </c>
      <c r="K190" s="599">
        <f t="shared" si="145"/>
        <v>52433503</v>
      </c>
      <c r="L190" s="599">
        <f t="shared" si="145"/>
        <v>8910648</v>
      </c>
      <c r="M190" s="599">
        <f t="shared" si="145"/>
        <v>3705151</v>
      </c>
      <c r="N190" s="599">
        <f t="shared" si="145"/>
        <v>454200</v>
      </c>
      <c r="O190" s="599">
        <f t="shared" si="145"/>
        <v>52453503</v>
      </c>
      <c r="P190" s="599">
        <f t="shared" si="145"/>
        <v>227766264.54000002</v>
      </c>
      <c r="Q190" s="36"/>
      <c r="R190" s="51"/>
    </row>
    <row r="191" spans="1:18" ht="93" thickTop="1" thickBot="1" x14ac:dyDescent="0.25">
      <c r="A191" s="101" t="s">
        <v>325</v>
      </c>
      <c r="B191" s="101" t="s">
        <v>327</v>
      </c>
      <c r="C191" s="101" t="s">
        <v>190</v>
      </c>
      <c r="D191" s="600" t="s">
        <v>1621</v>
      </c>
      <c r="E191" s="310">
        <f t="shared" si="113"/>
        <v>34631032.540000007</v>
      </c>
      <c r="F191" s="425">
        <f>((35730795-296500-3000000)+135000+36485.22+2465219.2-1772263+398722.88-199218.77)+45348.93+85000+7200+82298+200000+150000+99816+92400+19500+35420+260400+16700+38709.08</f>
        <v>34631032.540000007</v>
      </c>
      <c r="G191" s="308">
        <f>5328862+7922303+4221876</f>
        <v>17473041</v>
      </c>
      <c r="H191" s="308">
        <f>((103200+360000+275270+20306+305000+175725+995030+348275)+36485.22+13300+1400+20000)+45348.93+38709.08</f>
        <v>2738049.2300000004</v>
      </c>
      <c r="I191" s="425"/>
      <c r="J191" s="310">
        <f t="shared" ref="J191:J203" si="146">L191+O191</f>
        <v>11209061</v>
      </c>
      <c r="K191" s="425">
        <f>((296500)+1772263)+12000+197650</f>
        <v>2278413</v>
      </c>
      <c r="L191" s="425">
        <f>(8178950)+731698</f>
        <v>8910648</v>
      </c>
      <c r="M191" s="425">
        <f>(3670511)+34640</f>
        <v>3705151</v>
      </c>
      <c r="N191" s="425">
        <f>387200+67000</f>
        <v>454200</v>
      </c>
      <c r="O191" s="422">
        <f>K191+20000</f>
        <v>2298413</v>
      </c>
      <c r="P191" s="310">
        <f t="shared" ref="P191:P203" si="147">E191+J191</f>
        <v>45840093.540000007</v>
      </c>
      <c r="Q191" s="20"/>
      <c r="R191" s="46"/>
    </row>
    <row r="192" spans="1:18" ht="66.75" customHeight="1" thickTop="1" thickBot="1" x14ac:dyDescent="0.25">
      <c r="A192" s="101" t="s">
        <v>326</v>
      </c>
      <c r="B192" s="101" t="s">
        <v>328</v>
      </c>
      <c r="C192" s="101" t="s">
        <v>190</v>
      </c>
      <c r="D192" s="600" t="s">
        <v>329</v>
      </c>
      <c r="E192" s="310">
        <f t="shared" si="113"/>
        <v>131771081</v>
      </c>
      <c r="F192" s="425">
        <f>((103281081-34000000-150000)+20000000+5000000)+45865000-50000-8175000</f>
        <v>131771081</v>
      </c>
      <c r="G192" s="425"/>
      <c r="H192" s="425"/>
      <c r="I192" s="425"/>
      <c r="J192" s="310">
        <f t="shared" si="146"/>
        <v>42375000</v>
      </c>
      <c r="K192" s="425">
        <f>(34000000+150000)+50000+8175000</f>
        <v>42375000</v>
      </c>
      <c r="L192" s="425"/>
      <c r="M192" s="425"/>
      <c r="N192" s="425"/>
      <c r="O192" s="422">
        <f t="shared" ref="O192:O203" si="148">K192</f>
        <v>42375000</v>
      </c>
      <c r="P192" s="310">
        <f t="shared" si="147"/>
        <v>174146081</v>
      </c>
      <c r="Q192" s="20"/>
      <c r="R192" s="46"/>
    </row>
    <row r="193" spans="1:18" ht="138.75" thickTop="1" thickBot="1" x14ac:dyDescent="0.25">
      <c r="A193" s="101" t="s">
        <v>1720</v>
      </c>
      <c r="B193" s="101" t="s">
        <v>1719</v>
      </c>
      <c r="C193" s="101" t="s">
        <v>184</v>
      </c>
      <c r="D193" s="600" t="s">
        <v>1718</v>
      </c>
      <c r="E193" s="310">
        <f t="shared" si="113"/>
        <v>0</v>
      </c>
      <c r="F193" s="425"/>
      <c r="G193" s="425"/>
      <c r="H193" s="425"/>
      <c r="I193" s="425"/>
      <c r="J193" s="310">
        <f t="shared" si="146"/>
        <v>7780090</v>
      </c>
      <c r="K193" s="425">
        <v>7780090</v>
      </c>
      <c r="L193" s="425"/>
      <c r="M193" s="425"/>
      <c r="N193" s="425"/>
      <c r="O193" s="422">
        <f t="shared" si="148"/>
        <v>7780090</v>
      </c>
      <c r="P193" s="310">
        <f t="shared" si="147"/>
        <v>7780090</v>
      </c>
      <c r="Q193" s="20"/>
      <c r="R193" s="46"/>
    </row>
    <row r="194" spans="1:18" ht="66.75" customHeight="1" thickTop="1" thickBot="1" x14ac:dyDescent="0.25">
      <c r="A194" s="101" t="s">
        <v>1592</v>
      </c>
      <c r="B194" s="101" t="s">
        <v>1593</v>
      </c>
      <c r="C194" s="101" t="s">
        <v>190</v>
      </c>
      <c r="D194" s="101" t="s">
        <v>1594</v>
      </c>
      <c r="E194" s="310">
        <f t="shared" si="113"/>
        <v>0</v>
      </c>
      <c r="F194" s="425"/>
      <c r="G194" s="425"/>
      <c r="H194" s="425"/>
      <c r="I194" s="425"/>
      <c r="J194" s="310">
        <f>L194+O194</f>
        <v>9400000</v>
      </c>
      <c r="K194" s="425">
        <f>(((10000000+3000000)-1500000)+1400000)-3500000</f>
        <v>9400000</v>
      </c>
      <c r="L194" s="425"/>
      <c r="M194" s="425"/>
      <c r="N194" s="425"/>
      <c r="O194" s="422">
        <f>K194</f>
        <v>9400000</v>
      </c>
      <c r="P194" s="310">
        <f>E194+J194</f>
        <v>9400000</v>
      </c>
      <c r="Q194" s="20"/>
      <c r="R194" s="46"/>
    </row>
    <row r="195" spans="1:18" ht="47.25" thickTop="1" thickBot="1" x14ac:dyDescent="0.25">
      <c r="A195" s="298" t="s">
        <v>728</v>
      </c>
      <c r="B195" s="298" t="s">
        <v>729</v>
      </c>
      <c r="C195" s="298"/>
      <c r="D195" s="597" t="s">
        <v>730</v>
      </c>
      <c r="E195" s="310">
        <f>SUM(E196)</f>
        <v>0</v>
      </c>
      <c r="F195" s="310">
        <f t="shared" ref="F195:P195" si="149">SUM(F196)</f>
        <v>0</v>
      </c>
      <c r="G195" s="310">
        <f t="shared" si="149"/>
        <v>0</v>
      </c>
      <c r="H195" s="310">
        <f t="shared" si="149"/>
        <v>0</v>
      </c>
      <c r="I195" s="310">
        <f t="shared" si="149"/>
        <v>0</v>
      </c>
      <c r="J195" s="310">
        <f>SUM(J196)</f>
        <v>25000000</v>
      </c>
      <c r="K195" s="310">
        <f t="shared" si="149"/>
        <v>25000000</v>
      </c>
      <c r="L195" s="310">
        <f t="shared" si="149"/>
        <v>0</v>
      </c>
      <c r="M195" s="310">
        <f t="shared" si="149"/>
        <v>0</v>
      </c>
      <c r="N195" s="310">
        <f t="shared" si="149"/>
        <v>0</v>
      </c>
      <c r="O195" s="310">
        <f t="shared" si="149"/>
        <v>25000000</v>
      </c>
      <c r="P195" s="310">
        <f t="shared" si="149"/>
        <v>25000000</v>
      </c>
      <c r="Q195" s="20"/>
      <c r="R195" s="46"/>
    </row>
    <row r="196" spans="1:18" s="33" customFormat="1" ht="48" thickTop="1" thickBot="1" x14ac:dyDescent="0.25">
      <c r="A196" s="598" t="s">
        <v>731</v>
      </c>
      <c r="B196" s="598" t="s">
        <v>732</v>
      </c>
      <c r="C196" s="598"/>
      <c r="D196" s="638" t="s">
        <v>733</v>
      </c>
      <c r="E196" s="599">
        <f>SUM(E197:E198)</f>
        <v>0</v>
      </c>
      <c r="F196" s="599">
        <f>SUM(F197:F198)</f>
        <v>0</v>
      </c>
      <c r="G196" s="599">
        <f>SUM(G197:G198)</f>
        <v>0</v>
      </c>
      <c r="H196" s="599">
        <f>SUM(H197:H198)</f>
        <v>0</v>
      </c>
      <c r="I196" s="599">
        <f>SUM(I197:I198)</f>
        <v>0</v>
      </c>
      <c r="J196" s="599">
        <f t="shared" ref="J196:O196" si="150">SUM(J197:J198)</f>
        <v>25000000</v>
      </c>
      <c r="K196" s="599">
        <f t="shared" si="150"/>
        <v>25000000</v>
      </c>
      <c r="L196" s="599">
        <f t="shared" si="150"/>
        <v>0</v>
      </c>
      <c r="M196" s="599">
        <f t="shared" si="150"/>
        <v>0</v>
      </c>
      <c r="N196" s="599">
        <f t="shared" si="150"/>
        <v>0</v>
      </c>
      <c r="O196" s="599">
        <f t="shared" si="150"/>
        <v>25000000</v>
      </c>
      <c r="P196" s="599">
        <f>SUM(P197:P198)</f>
        <v>25000000</v>
      </c>
      <c r="Q196" s="36"/>
      <c r="R196" s="52"/>
    </row>
    <row r="197" spans="1:18" ht="93" thickTop="1" thickBot="1" x14ac:dyDescent="0.25">
      <c r="A197" s="101" t="s">
        <v>363</v>
      </c>
      <c r="B197" s="101" t="s">
        <v>361</v>
      </c>
      <c r="C197" s="101" t="s">
        <v>337</v>
      </c>
      <c r="D197" s="600" t="s">
        <v>362</v>
      </c>
      <c r="E197" s="310">
        <f t="shared" si="113"/>
        <v>0</v>
      </c>
      <c r="F197" s="425"/>
      <c r="G197" s="425"/>
      <c r="H197" s="425"/>
      <c r="I197" s="425"/>
      <c r="J197" s="310">
        <f t="shared" si="146"/>
        <v>25000000</v>
      </c>
      <c r="K197" s="425">
        <v>25000000</v>
      </c>
      <c r="L197" s="425"/>
      <c r="M197" s="425"/>
      <c r="N197" s="425"/>
      <c r="O197" s="422">
        <f t="shared" si="148"/>
        <v>25000000</v>
      </c>
      <c r="P197" s="310">
        <f t="shared" si="147"/>
        <v>25000000</v>
      </c>
      <c r="Q197" s="20"/>
      <c r="R197" s="46"/>
    </row>
    <row r="198" spans="1:18" ht="197.45" hidden="1" customHeight="1" thickTop="1" thickBot="1" x14ac:dyDescent="0.25">
      <c r="A198" s="126" t="s">
        <v>1039</v>
      </c>
      <c r="B198" s="126" t="s">
        <v>1040</v>
      </c>
      <c r="C198" s="126" t="s">
        <v>337</v>
      </c>
      <c r="D198" s="369" t="s">
        <v>1041</v>
      </c>
      <c r="E198" s="125">
        <f t="shared" si="113"/>
        <v>0</v>
      </c>
      <c r="F198" s="132"/>
      <c r="G198" s="132"/>
      <c r="H198" s="132"/>
      <c r="I198" s="132"/>
      <c r="J198" s="125">
        <f t="shared" si="146"/>
        <v>0</v>
      </c>
      <c r="K198" s="132"/>
      <c r="L198" s="132"/>
      <c r="M198" s="132"/>
      <c r="N198" s="132"/>
      <c r="O198" s="130">
        <f t="shared" si="148"/>
        <v>0</v>
      </c>
      <c r="P198" s="125">
        <f t="shared" si="147"/>
        <v>0</v>
      </c>
      <c r="Q198" s="20"/>
      <c r="R198" s="46"/>
    </row>
    <row r="199" spans="1:18" ht="47.25" hidden="1" thickTop="1" thickBot="1" x14ac:dyDescent="0.25">
      <c r="A199" s="123" t="s">
        <v>737</v>
      </c>
      <c r="B199" s="123" t="s">
        <v>735</v>
      </c>
      <c r="C199" s="123"/>
      <c r="D199" s="123" t="s">
        <v>736</v>
      </c>
      <c r="E199" s="125">
        <f>E200</f>
        <v>0</v>
      </c>
      <c r="F199" s="125">
        <f t="shared" ref="F199:P199" si="151">F200</f>
        <v>0</v>
      </c>
      <c r="G199" s="125">
        <f t="shared" si="151"/>
        <v>0</v>
      </c>
      <c r="H199" s="125">
        <f t="shared" si="151"/>
        <v>0</v>
      </c>
      <c r="I199" s="125">
        <f t="shared" si="151"/>
        <v>0</v>
      </c>
      <c r="J199" s="125">
        <f t="shared" si="151"/>
        <v>0</v>
      </c>
      <c r="K199" s="125">
        <f t="shared" si="151"/>
        <v>0</v>
      </c>
      <c r="L199" s="125">
        <f t="shared" si="151"/>
        <v>0</v>
      </c>
      <c r="M199" s="125">
        <f t="shared" si="151"/>
        <v>0</v>
      </c>
      <c r="N199" s="125">
        <f t="shared" si="151"/>
        <v>0</v>
      </c>
      <c r="O199" s="125">
        <f t="shared" si="151"/>
        <v>0</v>
      </c>
      <c r="P199" s="125">
        <f t="shared" si="151"/>
        <v>0</v>
      </c>
      <c r="Q199" s="20"/>
      <c r="R199" s="46"/>
    </row>
    <row r="200" spans="1:18" ht="47.25" hidden="1" thickTop="1" thickBot="1" x14ac:dyDescent="0.25">
      <c r="A200" s="134" t="s">
        <v>739</v>
      </c>
      <c r="B200" s="134" t="s">
        <v>679</v>
      </c>
      <c r="C200" s="134"/>
      <c r="D200" s="134" t="s">
        <v>677</v>
      </c>
      <c r="E200" s="135">
        <f>E202+E201</f>
        <v>0</v>
      </c>
      <c r="F200" s="135">
        <f t="shared" ref="F200:I200" si="152">F202+F201</f>
        <v>0</v>
      </c>
      <c r="G200" s="135">
        <f t="shared" si="152"/>
        <v>0</v>
      </c>
      <c r="H200" s="135">
        <f t="shared" si="152"/>
        <v>0</v>
      </c>
      <c r="I200" s="135">
        <f t="shared" si="152"/>
        <v>0</v>
      </c>
      <c r="J200" s="135">
        <f>J202+J201</f>
        <v>0</v>
      </c>
      <c r="K200" s="135">
        <f t="shared" ref="K200:O200" si="153">K202+K201</f>
        <v>0</v>
      </c>
      <c r="L200" s="135">
        <f t="shared" si="153"/>
        <v>0</v>
      </c>
      <c r="M200" s="135">
        <f t="shared" si="153"/>
        <v>0</v>
      </c>
      <c r="N200" s="135">
        <f t="shared" si="153"/>
        <v>0</v>
      </c>
      <c r="O200" s="135">
        <f t="shared" si="153"/>
        <v>0</v>
      </c>
      <c r="P200" s="135">
        <f>P202+P201</f>
        <v>0</v>
      </c>
      <c r="Q200" s="20"/>
      <c r="R200" s="46"/>
    </row>
    <row r="201" spans="1:18" ht="48" hidden="1" thickTop="1" thickBot="1" x14ac:dyDescent="0.25">
      <c r="A201" s="126" t="s">
        <v>1260</v>
      </c>
      <c r="B201" s="126" t="s">
        <v>211</v>
      </c>
      <c r="C201" s="126" t="s">
        <v>212</v>
      </c>
      <c r="D201" s="126" t="s">
        <v>41</v>
      </c>
      <c r="E201" s="125">
        <f t="shared" ref="E201" si="154">F201</f>
        <v>0</v>
      </c>
      <c r="F201" s="132">
        <v>0</v>
      </c>
      <c r="G201" s="132"/>
      <c r="H201" s="132"/>
      <c r="I201" s="132"/>
      <c r="J201" s="125">
        <f t="shared" ref="J201" si="155">L201+O201</f>
        <v>0</v>
      </c>
      <c r="K201" s="132"/>
      <c r="L201" s="132"/>
      <c r="M201" s="132"/>
      <c r="N201" s="132"/>
      <c r="O201" s="130">
        <f t="shared" ref="O201" si="156">K201</f>
        <v>0</v>
      </c>
      <c r="P201" s="125">
        <f t="shared" ref="P201" si="157">E201+J201</f>
        <v>0</v>
      </c>
      <c r="Q201" s="20"/>
      <c r="R201" s="46"/>
    </row>
    <row r="202" spans="1:18" ht="48" hidden="1" thickTop="1" thickBot="1" x14ac:dyDescent="0.25">
      <c r="A202" s="138" t="s">
        <v>738</v>
      </c>
      <c r="B202" s="138" t="s">
        <v>682</v>
      </c>
      <c r="C202" s="138"/>
      <c r="D202" s="151" t="s">
        <v>680</v>
      </c>
      <c r="E202" s="139">
        <f>E203</f>
        <v>0</v>
      </c>
      <c r="F202" s="139">
        <f t="shared" ref="F202:P202" si="158">F203</f>
        <v>0</v>
      </c>
      <c r="G202" s="139">
        <f t="shared" si="158"/>
        <v>0</v>
      </c>
      <c r="H202" s="139">
        <f t="shared" si="158"/>
        <v>0</v>
      </c>
      <c r="I202" s="139">
        <f t="shared" si="158"/>
        <v>0</v>
      </c>
      <c r="J202" s="139">
        <f t="shared" si="158"/>
        <v>0</v>
      </c>
      <c r="K202" s="139">
        <f t="shared" si="158"/>
        <v>0</v>
      </c>
      <c r="L202" s="139">
        <f t="shared" si="158"/>
        <v>0</v>
      </c>
      <c r="M202" s="139">
        <f t="shared" si="158"/>
        <v>0</v>
      </c>
      <c r="N202" s="139">
        <f t="shared" si="158"/>
        <v>0</v>
      </c>
      <c r="O202" s="139">
        <f t="shared" si="158"/>
        <v>0</v>
      </c>
      <c r="P202" s="139">
        <f t="shared" si="158"/>
        <v>0</v>
      </c>
      <c r="Q202" s="20"/>
      <c r="R202" s="46"/>
    </row>
    <row r="203" spans="1:18" ht="184.5" hidden="1" thickTop="1" thickBot="1" x14ac:dyDescent="0.7">
      <c r="A203" s="770" t="s">
        <v>418</v>
      </c>
      <c r="B203" s="770" t="s">
        <v>335</v>
      </c>
      <c r="C203" s="770" t="s">
        <v>169</v>
      </c>
      <c r="D203" s="152" t="s">
        <v>435</v>
      </c>
      <c r="E203" s="765">
        <f t="shared" si="113"/>
        <v>0</v>
      </c>
      <c r="F203" s="755"/>
      <c r="G203" s="755"/>
      <c r="H203" s="755"/>
      <c r="I203" s="755"/>
      <c r="J203" s="765">
        <f t="shared" si="146"/>
        <v>0</v>
      </c>
      <c r="K203" s="755"/>
      <c r="L203" s="755"/>
      <c r="M203" s="755"/>
      <c r="N203" s="755"/>
      <c r="O203" s="807">
        <f t="shared" si="148"/>
        <v>0</v>
      </c>
      <c r="P203" s="805">
        <f t="shared" si="147"/>
        <v>0</v>
      </c>
      <c r="Q203" s="20"/>
      <c r="R203" s="50"/>
    </row>
    <row r="204" spans="1:18" ht="93" hidden="1" thickTop="1" thickBot="1" x14ac:dyDescent="0.25">
      <c r="A204" s="766"/>
      <c r="B204" s="771"/>
      <c r="C204" s="766"/>
      <c r="D204" s="153" t="s">
        <v>436</v>
      </c>
      <c r="E204" s="766"/>
      <c r="F204" s="756"/>
      <c r="G204" s="756"/>
      <c r="H204" s="756"/>
      <c r="I204" s="756"/>
      <c r="J204" s="766"/>
      <c r="K204" s="766"/>
      <c r="L204" s="756"/>
      <c r="M204" s="756"/>
      <c r="N204" s="756"/>
      <c r="O204" s="808"/>
      <c r="P204" s="809"/>
      <c r="Q204" s="20"/>
      <c r="R204" s="50"/>
    </row>
    <row r="205" spans="1:18" ht="120" customHeight="1" thickTop="1" thickBot="1" x14ac:dyDescent="0.25">
      <c r="A205" s="624">
        <v>1000000</v>
      </c>
      <c r="B205" s="624"/>
      <c r="C205" s="624"/>
      <c r="D205" s="625" t="s">
        <v>24</v>
      </c>
      <c r="E205" s="626">
        <f>E206</f>
        <v>175764844</v>
      </c>
      <c r="F205" s="627">
        <f t="shared" ref="F205:G205" si="159">F206</f>
        <v>175764844</v>
      </c>
      <c r="G205" s="627">
        <f t="shared" si="159"/>
        <v>126664409</v>
      </c>
      <c r="H205" s="627">
        <f>H206</f>
        <v>8706450</v>
      </c>
      <c r="I205" s="627">
        <f>I206</f>
        <v>0</v>
      </c>
      <c r="J205" s="626">
        <f>J206</f>
        <v>13219166</v>
      </c>
      <c r="K205" s="627">
        <f>K206</f>
        <v>867366</v>
      </c>
      <c r="L205" s="627">
        <f>L206</f>
        <v>11983500</v>
      </c>
      <c r="M205" s="627">
        <f t="shared" ref="M205" si="160">M206</f>
        <v>8781040</v>
      </c>
      <c r="N205" s="627">
        <f>N206</f>
        <v>330880</v>
      </c>
      <c r="O205" s="626">
        <f>O206</f>
        <v>1235666</v>
      </c>
      <c r="P205" s="627">
        <f t="shared" ref="P205" si="161">P206</f>
        <v>188984010</v>
      </c>
      <c r="Q205" s="20"/>
    </row>
    <row r="206" spans="1:18" ht="120" customHeight="1" thickTop="1" thickBot="1" x14ac:dyDescent="0.25">
      <c r="A206" s="588">
        <v>1010000</v>
      </c>
      <c r="B206" s="588"/>
      <c r="C206" s="588"/>
      <c r="D206" s="589" t="s">
        <v>39</v>
      </c>
      <c r="E206" s="590">
        <f>E207+E209+E223+E217</f>
        <v>175764844</v>
      </c>
      <c r="F206" s="590">
        <f>F207+F209+F223+F217</f>
        <v>175764844</v>
      </c>
      <c r="G206" s="590">
        <f>G207+G209+G223+G217</f>
        <v>126664409</v>
      </c>
      <c r="H206" s="590">
        <f>H207+H209+H223+H217</f>
        <v>8706450</v>
      </c>
      <c r="I206" s="590">
        <f>I207+I209+I223+I217</f>
        <v>0</v>
      </c>
      <c r="J206" s="590">
        <f t="shared" ref="J206:J216" si="162">L206+O206</f>
        <v>13219166</v>
      </c>
      <c r="K206" s="590">
        <f>K207+K209+K223+K217</f>
        <v>867366</v>
      </c>
      <c r="L206" s="590">
        <f>L207+L209+L223+L217</f>
        <v>11983500</v>
      </c>
      <c r="M206" s="590">
        <f>M207+M209+M223+M217</f>
        <v>8781040</v>
      </c>
      <c r="N206" s="590">
        <f>N207+N209+N223+N217</f>
        <v>330880</v>
      </c>
      <c r="O206" s="590">
        <f>O207+O209+O223+O217</f>
        <v>1235666</v>
      </c>
      <c r="P206" s="590">
        <f t="shared" ref="P206:P216" si="163">E206+J206</f>
        <v>188984010</v>
      </c>
      <c r="Q206" s="452" t="b">
        <f>P206=P208+P210+P211+P212+P215+P216+P220</f>
        <v>1</v>
      </c>
      <c r="R206" s="46"/>
    </row>
    <row r="207" spans="1:18" ht="63" customHeight="1" thickTop="1" thickBot="1" x14ac:dyDescent="0.25">
      <c r="A207" s="298" t="s">
        <v>740</v>
      </c>
      <c r="B207" s="298" t="s">
        <v>695</v>
      </c>
      <c r="C207" s="298"/>
      <c r="D207" s="298" t="s">
        <v>696</v>
      </c>
      <c r="E207" s="310">
        <f>E208</f>
        <v>94085574</v>
      </c>
      <c r="F207" s="310">
        <f t="shared" ref="F207:P207" si="164">F208</f>
        <v>94085574</v>
      </c>
      <c r="G207" s="310">
        <f t="shared" si="164"/>
        <v>72147480</v>
      </c>
      <c r="H207" s="310">
        <f t="shared" si="164"/>
        <v>4813455</v>
      </c>
      <c r="I207" s="310">
        <f t="shared" si="164"/>
        <v>0</v>
      </c>
      <c r="J207" s="310">
        <f t="shared" si="164"/>
        <v>11189135</v>
      </c>
      <c r="K207" s="310">
        <f t="shared" si="164"/>
        <v>80175</v>
      </c>
      <c r="L207" s="310">
        <f t="shared" si="164"/>
        <v>10949260</v>
      </c>
      <c r="M207" s="310">
        <f t="shared" si="164"/>
        <v>8313040</v>
      </c>
      <c r="N207" s="310">
        <f t="shared" si="164"/>
        <v>261910</v>
      </c>
      <c r="O207" s="310">
        <f t="shared" si="164"/>
        <v>239875</v>
      </c>
      <c r="P207" s="310">
        <f t="shared" si="164"/>
        <v>105274709</v>
      </c>
      <c r="Q207" s="47"/>
      <c r="R207" s="46"/>
    </row>
    <row r="208" spans="1:18" ht="66.75" customHeight="1" thickTop="1" thickBot="1" x14ac:dyDescent="0.25">
      <c r="A208" s="101" t="s">
        <v>627</v>
      </c>
      <c r="B208" s="101" t="s">
        <v>628</v>
      </c>
      <c r="C208" s="101" t="s">
        <v>180</v>
      </c>
      <c r="D208" s="101" t="s">
        <v>1083</v>
      </c>
      <c r="E208" s="310">
        <f>F208</f>
        <v>94085574</v>
      </c>
      <c r="F208" s="425">
        <f>((93548990)+59500)+557259-80175</f>
        <v>94085574</v>
      </c>
      <c r="G208" s="425">
        <f>(71756430)+391050</f>
        <v>72147480</v>
      </c>
      <c r="H208" s="425">
        <f>3957440+51430+621275+130700+52610</f>
        <v>4813455</v>
      </c>
      <c r="I208" s="425"/>
      <c r="J208" s="310">
        <f t="shared" si="162"/>
        <v>11189135</v>
      </c>
      <c r="K208" s="425">
        <f>(0)+80175</f>
        <v>80175</v>
      </c>
      <c r="L208" s="425">
        <v>10949260</v>
      </c>
      <c r="M208" s="425">
        <v>8313040</v>
      </c>
      <c r="N208" s="425">
        <v>261910</v>
      </c>
      <c r="O208" s="422">
        <f>(K208+159700)</f>
        <v>239875</v>
      </c>
      <c r="P208" s="310">
        <f t="shared" si="163"/>
        <v>105274709</v>
      </c>
      <c r="Q208" s="20"/>
      <c r="R208" s="46"/>
    </row>
    <row r="209" spans="1:18" s="24" customFormat="1" ht="63" customHeight="1" thickTop="1" thickBot="1" x14ac:dyDescent="0.25">
      <c r="A209" s="298" t="s">
        <v>741</v>
      </c>
      <c r="B209" s="298" t="s">
        <v>742</v>
      </c>
      <c r="C209" s="298"/>
      <c r="D209" s="298" t="s">
        <v>743</v>
      </c>
      <c r="E209" s="310">
        <f t="shared" ref="E209:P209" si="165">SUM(E210:E216)-E214</f>
        <v>80365480</v>
      </c>
      <c r="F209" s="310">
        <f t="shared" si="165"/>
        <v>80365480</v>
      </c>
      <c r="G209" s="310">
        <f t="shared" si="165"/>
        <v>54516929</v>
      </c>
      <c r="H209" s="310">
        <f t="shared" si="165"/>
        <v>3892995</v>
      </c>
      <c r="I209" s="310">
        <f t="shared" si="165"/>
        <v>0</v>
      </c>
      <c r="J209" s="310">
        <f t="shared" si="165"/>
        <v>2030031</v>
      </c>
      <c r="K209" s="310">
        <f t="shared" si="165"/>
        <v>787191</v>
      </c>
      <c r="L209" s="310">
        <f t="shared" si="165"/>
        <v>1034240</v>
      </c>
      <c r="M209" s="310">
        <f t="shared" si="165"/>
        <v>468000</v>
      </c>
      <c r="N209" s="310">
        <f t="shared" si="165"/>
        <v>68970</v>
      </c>
      <c r="O209" s="310">
        <f t="shared" si="165"/>
        <v>995791</v>
      </c>
      <c r="P209" s="310">
        <f t="shared" si="165"/>
        <v>82395511</v>
      </c>
      <c r="Q209" s="25"/>
      <c r="R209" s="50"/>
    </row>
    <row r="210" spans="1:18" ht="66.75" customHeight="1" thickTop="1" thickBot="1" x14ac:dyDescent="0.25">
      <c r="A210" s="101" t="s">
        <v>171</v>
      </c>
      <c r="B210" s="101" t="s">
        <v>172</v>
      </c>
      <c r="C210" s="101" t="s">
        <v>173</v>
      </c>
      <c r="D210" s="101" t="s">
        <v>174</v>
      </c>
      <c r="E210" s="310">
        <f t="shared" ref="E210:E213" si="166">F210</f>
        <v>19613886</v>
      </c>
      <c r="F210" s="425">
        <f>((18367742)+40000)+957944+248200</f>
        <v>19613886</v>
      </c>
      <c r="G210" s="425">
        <f>(13222210)+785200</f>
        <v>14007410</v>
      </c>
      <c r="H210" s="425">
        <f>936420+15590+217910+30390+23720</f>
        <v>1224030</v>
      </c>
      <c r="I210" s="425"/>
      <c r="J210" s="310">
        <f t="shared" si="162"/>
        <v>811800</v>
      </c>
      <c r="K210" s="425">
        <f>(0)+500000+101800</f>
        <v>601800</v>
      </c>
      <c r="L210" s="425">
        <v>165000</v>
      </c>
      <c r="M210" s="425">
        <v>40000</v>
      </c>
      <c r="N210" s="425">
        <v>23300</v>
      </c>
      <c r="O210" s="422">
        <f>K210+45000</f>
        <v>646800</v>
      </c>
      <c r="P210" s="310">
        <f t="shared" si="163"/>
        <v>20425686</v>
      </c>
      <c r="Q210" s="20"/>
      <c r="R210" s="46"/>
    </row>
    <row r="211" spans="1:18" ht="66.75" customHeight="1" thickTop="1" thickBot="1" x14ac:dyDescent="0.25">
      <c r="A211" s="101" t="s">
        <v>175</v>
      </c>
      <c r="B211" s="101" t="s">
        <v>176</v>
      </c>
      <c r="C211" s="101" t="s">
        <v>173</v>
      </c>
      <c r="D211" s="101" t="s">
        <v>458</v>
      </c>
      <c r="E211" s="310">
        <f t="shared" si="166"/>
        <v>2965362</v>
      </c>
      <c r="F211" s="425">
        <f>(2851170)+114192</f>
        <v>2965362</v>
      </c>
      <c r="G211" s="425">
        <f>(1844800)+93600</f>
        <v>1938400</v>
      </c>
      <c r="H211" s="425">
        <f>350640+7600+160900+3990</f>
        <v>523130</v>
      </c>
      <c r="I211" s="425"/>
      <c r="J211" s="310">
        <f t="shared" si="162"/>
        <v>125600</v>
      </c>
      <c r="K211" s="425"/>
      <c r="L211" s="425">
        <v>125600</v>
      </c>
      <c r="M211" s="425">
        <v>22100</v>
      </c>
      <c r="N211" s="425">
        <v>5700</v>
      </c>
      <c r="O211" s="422">
        <f t="shared" ref="O211:O216" si="167">K211</f>
        <v>0</v>
      </c>
      <c r="P211" s="310">
        <f t="shared" si="163"/>
        <v>3090962</v>
      </c>
      <c r="Q211" s="20"/>
      <c r="R211" s="46"/>
    </row>
    <row r="212" spans="1:18" ht="118.5" customHeight="1" thickTop="1" thickBot="1" x14ac:dyDescent="0.25">
      <c r="A212" s="101" t="s">
        <v>177</v>
      </c>
      <c r="B212" s="101" t="s">
        <v>170</v>
      </c>
      <c r="C212" s="101" t="s">
        <v>178</v>
      </c>
      <c r="D212" s="101" t="s">
        <v>179</v>
      </c>
      <c r="E212" s="310">
        <f t="shared" si="166"/>
        <v>23084415</v>
      </c>
      <c r="F212" s="425">
        <f>((21605273)+390480)+1088662</f>
        <v>23084415</v>
      </c>
      <c r="G212" s="425">
        <f>(15142100)+691600</f>
        <v>15833700</v>
      </c>
      <c r="H212" s="425">
        <f>1001090+17600+901975+92400+45410</f>
        <v>2058475</v>
      </c>
      <c r="I212" s="425"/>
      <c r="J212" s="310">
        <f t="shared" si="162"/>
        <v>723240</v>
      </c>
      <c r="K212" s="425"/>
      <c r="L212" s="425">
        <v>643640</v>
      </c>
      <c r="M212" s="425">
        <v>395000</v>
      </c>
      <c r="N212" s="425">
        <v>39970</v>
      </c>
      <c r="O212" s="422">
        <f>(K212+79600)</f>
        <v>79600</v>
      </c>
      <c r="P212" s="310">
        <f t="shared" si="163"/>
        <v>23807655</v>
      </c>
      <c r="Q212" s="20"/>
      <c r="R212" s="46"/>
    </row>
    <row r="213" spans="1:18" ht="48" hidden="1" thickTop="1" thickBot="1" x14ac:dyDescent="0.25">
      <c r="A213" s="126" t="s">
        <v>1153</v>
      </c>
      <c r="B213" s="126" t="s">
        <v>1154</v>
      </c>
      <c r="C213" s="126" t="s">
        <v>1156</v>
      </c>
      <c r="D213" s="126" t="s">
        <v>1155</v>
      </c>
      <c r="E213" s="125">
        <f t="shared" si="166"/>
        <v>0</v>
      </c>
      <c r="F213" s="132"/>
      <c r="G213" s="132"/>
      <c r="H213" s="132"/>
      <c r="I213" s="132"/>
      <c r="J213" s="125">
        <f t="shared" si="162"/>
        <v>0</v>
      </c>
      <c r="K213" s="132"/>
      <c r="L213" s="132"/>
      <c r="M213" s="132"/>
      <c r="N213" s="132"/>
      <c r="O213" s="130">
        <f>(K213)</f>
        <v>0</v>
      </c>
      <c r="P213" s="125">
        <f t="shared" si="163"/>
        <v>0</v>
      </c>
      <c r="Q213" s="20"/>
      <c r="R213" s="46"/>
    </row>
    <row r="214" spans="1:18" ht="63.75" customHeight="1" thickTop="1" thickBot="1" x14ac:dyDescent="0.25">
      <c r="A214" s="598" t="s">
        <v>744</v>
      </c>
      <c r="B214" s="598" t="s">
        <v>745</v>
      </c>
      <c r="C214" s="598"/>
      <c r="D214" s="598" t="s">
        <v>746</v>
      </c>
      <c r="E214" s="599">
        <f>SUM(E215:E216)</f>
        <v>34701817</v>
      </c>
      <c r="F214" s="599">
        <f t="shared" ref="F214:P214" si="168">SUM(F215:F216)</f>
        <v>34701817</v>
      </c>
      <c r="G214" s="599">
        <f t="shared" si="168"/>
        <v>22737419</v>
      </c>
      <c r="H214" s="599">
        <f t="shared" si="168"/>
        <v>87360</v>
      </c>
      <c r="I214" s="599">
        <f t="shared" si="168"/>
        <v>0</v>
      </c>
      <c r="J214" s="599">
        <f t="shared" si="168"/>
        <v>369391</v>
      </c>
      <c r="K214" s="599">
        <f t="shared" si="168"/>
        <v>185391</v>
      </c>
      <c r="L214" s="599">
        <f t="shared" si="168"/>
        <v>100000</v>
      </c>
      <c r="M214" s="599">
        <f t="shared" si="168"/>
        <v>10900</v>
      </c>
      <c r="N214" s="599">
        <f t="shared" si="168"/>
        <v>0</v>
      </c>
      <c r="O214" s="599">
        <f t="shared" si="168"/>
        <v>269391</v>
      </c>
      <c r="P214" s="599">
        <f t="shared" si="168"/>
        <v>35071208</v>
      </c>
      <c r="Q214" s="20"/>
      <c r="R214" s="46"/>
    </row>
    <row r="215" spans="1:18" ht="66.75" customHeight="1" thickTop="1" thickBot="1" x14ac:dyDescent="0.25">
      <c r="A215" s="101" t="s">
        <v>330</v>
      </c>
      <c r="B215" s="101" t="s">
        <v>331</v>
      </c>
      <c r="C215" s="101" t="s">
        <v>181</v>
      </c>
      <c r="D215" s="101" t="s">
        <v>459</v>
      </c>
      <c r="E215" s="310">
        <f>F215</f>
        <v>29929817</v>
      </c>
      <c r="F215" s="425">
        <f>(28822789)+1107028</f>
        <v>29929817</v>
      </c>
      <c r="G215" s="425">
        <f>(21830019)+907400</f>
        <v>22737419</v>
      </c>
      <c r="H215" s="425">
        <f>78870+8250+240</f>
        <v>87360</v>
      </c>
      <c r="I215" s="425"/>
      <c r="J215" s="310">
        <f t="shared" si="162"/>
        <v>184000</v>
      </c>
      <c r="K215" s="425"/>
      <c r="L215" s="425">
        <v>100000</v>
      </c>
      <c r="M215" s="425">
        <v>10900</v>
      </c>
      <c r="N215" s="425"/>
      <c r="O215" s="422">
        <f>(K215+84000)</f>
        <v>84000</v>
      </c>
      <c r="P215" s="310">
        <f t="shared" si="163"/>
        <v>30113817</v>
      </c>
      <c r="Q215" s="20"/>
      <c r="R215" s="46"/>
    </row>
    <row r="216" spans="1:18" ht="72.75" customHeight="1" thickTop="1" thickBot="1" x14ac:dyDescent="0.25">
      <c r="A216" s="101" t="s">
        <v>332</v>
      </c>
      <c r="B216" s="101" t="s">
        <v>333</v>
      </c>
      <c r="C216" s="101" t="s">
        <v>181</v>
      </c>
      <c r="D216" s="101" t="s">
        <v>460</v>
      </c>
      <c r="E216" s="310">
        <f>F216</f>
        <v>4772000</v>
      </c>
      <c r="F216" s="425">
        <f>4903591-131591</f>
        <v>4772000</v>
      </c>
      <c r="G216" s="425"/>
      <c r="H216" s="425"/>
      <c r="I216" s="425"/>
      <c r="J216" s="310">
        <f t="shared" si="162"/>
        <v>185391</v>
      </c>
      <c r="K216" s="425">
        <f>(131591)+53800</f>
        <v>185391</v>
      </c>
      <c r="L216" s="425"/>
      <c r="M216" s="425"/>
      <c r="N216" s="425"/>
      <c r="O216" s="422">
        <f t="shared" si="167"/>
        <v>185391</v>
      </c>
      <c r="P216" s="310">
        <f t="shared" si="163"/>
        <v>4957391</v>
      </c>
      <c r="Q216" s="20"/>
      <c r="R216" s="50"/>
    </row>
    <row r="217" spans="1:18" ht="69" customHeight="1" thickTop="1" thickBot="1" x14ac:dyDescent="0.25">
      <c r="A217" s="298" t="s">
        <v>897</v>
      </c>
      <c r="B217" s="298" t="s">
        <v>735</v>
      </c>
      <c r="C217" s="298"/>
      <c r="D217" s="298" t="s">
        <v>736</v>
      </c>
      <c r="E217" s="310">
        <f>SUM(E218)</f>
        <v>1313790</v>
      </c>
      <c r="F217" s="310">
        <f t="shared" ref="F217:P217" si="169">SUM(F218)</f>
        <v>1313790</v>
      </c>
      <c r="G217" s="310">
        <f t="shared" si="169"/>
        <v>0</v>
      </c>
      <c r="H217" s="310">
        <f t="shared" si="169"/>
        <v>0</v>
      </c>
      <c r="I217" s="310">
        <f t="shared" si="169"/>
        <v>0</v>
      </c>
      <c r="J217" s="310">
        <f t="shared" si="169"/>
        <v>0</v>
      </c>
      <c r="K217" s="310">
        <f t="shared" si="169"/>
        <v>0</v>
      </c>
      <c r="L217" s="310">
        <f t="shared" si="169"/>
        <v>0</v>
      </c>
      <c r="M217" s="310">
        <f t="shared" si="169"/>
        <v>0</v>
      </c>
      <c r="N217" s="310">
        <f t="shared" si="169"/>
        <v>0</v>
      </c>
      <c r="O217" s="310">
        <f t="shared" si="169"/>
        <v>0</v>
      </c>
      <c r="P217" s="310">
        <f t="shared" si="169"/>
        <v>1313790</v>
      </c>
      <c r="Q217" s="20"/>
      <c r="R217" s="50"/>
    </row>
    <row r="218" spans="1:18" ht="69" customHeight="1" thickTop="1" thickBot="1" x14ac:dyDescent="0.25">
      <c r="A218" s="593" t="s">
        <v>898</v>
      </c>
      <c r="B218" s="593" t="s">
        <v>679</v>
      </c>
      <c r="C218" s="593"/>
      <c r="D218" s="593" t="s">
        <v>677</v>
      </c>
      <c r="E218" s="595">
        <f>E219+E222+E221</f>
        <v>1313790</v>
      </c>
      <c r="F218" s="595">
        <f t="shared" ref="F218:P218" si="170">F219+F222+F221</f>
        <v>1313790</v>
      </c>
      <c r="G218" s="595">
        <f t="shared" si="170"/>
        <v>0</v>
      </c>
      <c r="H218" s="595">
        <f t="shared" si="170"/>
        <v>0</v>
      </c>
      <c r="I218" s="595">
        <f t="shared" si="170"/>
        <v>0</v>
      </c>
      <c r="J218" s="595">
        <f t="shared" si="170"/>
        <v>0</v>
      </c>
      <c r="K218" s="595">
        <f t="shared" si="170"/>
        <v>0</v>
      </c>
      <c r="L218" s="595">
        <f t="shared" si="170"/>
        <v>0</v>
      </c>
      <c r="M218" s="595">
        <f t="shared" si="170"/>
        <v>0</v>
      </c>
      <c r="N218" s="595">
        <f t="shared" si="170"/>
        <v>0</v>
      </c>
      <c r="O218" s="595">
        <f t="shared" si="170"/>
        <v>0</v>
      </c>
      <c r="P218" s="595">
        <f t="shared" si="170"/>
        <v>1313790</v>
      </c>
      <c r="Q218" s="20"/>
      <c r="R218" s="50"/>
    </row>
    <row r="219" spans="1:18" ht="66.75" customHeight="1" thickTop="1" thickBot="1" x14ac:dyDescent="0.25">
      <c r="A219" s="598" t="s">
        <v>1000</v>
      </c>
      <c r="B219" s="598" t="s">
        <v>1001</v>
      </c>
      <c r="C219" s="598"/>
      <c r="D219" s="598" t="s">
        <v>999</v>
      </c>
      <c r="E219" s="599">
        <f>E220</f>
        <v>1313790</v>
      </c>
      <c r="F219" s="599">
        <f t="shared" ref="F219:P219" si="171">F220</f>
        <v>1313790</v>
      </c>
      <c r="G219" s="599">
        <f t="shared" si="171"/>
        <v>0</v>
      </c>
      <c r="H219" s="599">
        <f t="shared" si="171"/>
        <v>0</v>
      </c>
      <c r="I219" s="599">
        <f t="shared" si="171"/>
        <v>0</v>
      </c>
      <c r="J219" s="599">
        <f t="shared" si="171"/>
        <v>0</v>
      </c>
      <c r="K219" s="599">
        <f t="shared" si="171"/>
        <v>0</v>
      </c>
      <c r="L219" s="599">
        <f t="shared" si="171"/>
        <v>0</v>
      </c>
      <c r="M219" s="599">
        <f t="shared" si="171"/>
        <v>0</v>
      </c>
      <c r="N219" s="599">
        <f t="shared" si="171"/>
        <v>0</v>
      </c>
      <c r="O219" s="599">
        <f t="shared" si="171"/>
        <v>0</v>
      </c>
      <c r="P219" s="599">
        <f t="shared" si="171"/>
        <v>1313790</v>
      </c>
      <c r="Q219" s="20"/>
      <c r="R219" s="50"/>
    </row>
    <row r="220" spans="1:18" ht="76.7" customHeight="1" thickTop="1" thickBot="1" x14ac:dyDescent="0.25">
      <c r="A220" s="101" t="s">
        <v>1003</v>
      </c>
      <c r="B220" s="101" t="s">
        <v>1004</v>
      </c>
      <c r="C220" s="101" t="s">
        <v>212</v>
      </c>
      <c r="D220" s="101" t="s">
        <v>1002</v>
      </c>
      <c r="E220" s="310">
        <f>F220</f>
        <v>1313790</v>
      </c>
      <c r="F220" s="425">
        <f>(1026850)+286940</f>
        <v>1313790</v>
      </c>
      <c r="G220" s="425"/>
      <c r="H220" s="425"/>
      <c r="I220" s="425"/>
      <c r="J220" s="310">
        <f>L220+O220</f>
        <v>0</v>
      </c>
      <c r="K220" s="425"/>
      <c r="L220" s="425"/>
      <c r="M220" s="425"/>
      <c r="N220" s="425"/>
      <c r="O220" s="422">
        <f>K220</f>
        <v>0</v>
      </c>
      <c r="P220" s="310">
        <f>E220+J220</f>
        <v>1313790</v>
      </c>
      <c r="Q220" s="20"/>
      <c r="R220" s="50"/>
    </row>
    <row r="221" spans="1:18" ht="48" hidden="1" thickTop="1" thickBot="1" x14ac:dyDescent="0.25">
      <c r="A221" s="126" t="s">
        <v>1222</v>
      </c>
      <c r="B221" s="126" t="s">
        <v>211</v>
      </c>
      <c r="C221" s="126" t="s">
        <v>212</v>
      </c>
      <c r="D221" s="126" t="s">
        <v>41</v>
      </c>
      <c r="E221" s="125">
        <f t="shared" ref="E221:E222" si="172">F221</f>
        <v>0</v>
      </c>
      <c r="F221" s="132"/>
      <c r="G221" s="132"/>
      <c r="H221" s="132"/>
      <c r="I221" s="132"/>
      <c r="J221" s="125">
        <f>L221+O221</f>
        <v>0</v>
      </c>
      <c r="K221" s="132"/>
      <c r="L221" s="132"/>
      <c r="M221" s="132"/>
      <c r="N221" s="132"/>
      <c r="O221" s="130">
        <f>K221</f>
        <v>0</v>
      </c>
      <c r="P221" s="125">
        <f>E221+J221</f>
        <v>0</v>
      </c>
      <c r="Q221" s="20"/>
      <c r="R221" s="50"/>
    </row>
    <row r="222" spans="1:18" ht="48" hidden="1" thickTop="1" thickBot="1" x14ac:dyDescent="0.25">
      <c r="A222" s="126" t="s">
        <v>899</v>
      </c>
      <c r="B222" s="126" t="s">
        <v>196</v>
      </c>
      <c r="C222" s="126" t="s">
        <v>169</v>
      </c>
      <c r="D222" s="126" t="s">
        <v>34</v>
      </c>
      <c r="E222" s="125">
        <f t="shared" si="172"/>
        <v>0</v>
      </c>
      <c r="F222" s="132"/>
      <c r="G222" s="132"/>
      <c r="H222" s="132"/>
      <c r="I222" s="132"/>
      <c r="J222" s="125">
        <f t="shared" ref="J222" si="173">L222+O222</f>
        <v>0</v>
      </c>
      <c r="K222" s="132"/>
      <c r="L222" s="132"/>
      <c r="M222" s="132"/>
      <c r="N222" s="132"/>
      <c r="O222" s="130">
        <f t="shared" ref="O222" si="174">K222</f>
        <v>0</v>
      </c>
      <c r="P222" s="125">
        <f t="shared" ref="P222" si="175">E222+J222</f>
        <v>0</v>
      </c>
      <c r="Q222" s="20"/>
      <c r="R222" s="46"/>
    </row>
    <row r="223" spans="1:18" ht="47.25" hidden="1" thickTop="1" thickBot="1" x14ac:dyDescent="0.25">
      <c r="A223" s="144" t="s">
        <v>747</v>
      </c>
      <c r="B223" s="144" t="s">
        <v>689</v>
      </c>
      <c r="C223" s="144"/>
      <c r="D223" s="144" t="s">
        <v>690</v>
      </c>
      <c r="E223" s="42">
        <f>E224</f>
        <v>0</v>
      </c>
      <c r="F223" s="42">
        <f t="shared" ref="F223:P224" si="176">F224</f>
        <v>0</v>
      </c>
      <c r="G223" s="42">
        <f t="shared" si="176"/>
        <v>0</v>
      </c>
      <c r="H223" s="42">
        <f t="shared" si="176"/>
        <v>0</v>
      </c>
      <c r="I223" s="42">
        <f t="shared" si="176"/>
        <v>0</v>
      </c>
      <c r="J223" s="42">
        <f t="shared" si="176"/>
        <v>0</v>
      </c>
      <c r="K223" s="42">
        <f t="shared" si="176"/>
        <v>0</v>
      </c>
      <c r="L223" s="42">
        <f t="shared" si="176"/>
        <v>0</v>
      </c>
      <c r="M223" s="42">
        <f t="shared" si="176"/>
        <v>0</v>
      </c>
      <c r="N223" s="42">
        <f t="shared" si="176"/>
        <v>0</v>
      </c>
      <c r="O223" s="42">
        <f t="shared" si="176"/>
        <v>0</v>
      </c>
      <c r="P223" s="42">
        <f t="shared" si="176"/>
        <v>0</v>
      </c>
      <c r="Q223" s="20"/>
      <c r="R223" s="50"/>
    </row>
    <row r="224" spans="1:18" ht="91.5" hidden="1" thickTop="1" thickBot="1" x14ac:dyDescent="0.25">
      <c r="A224" s="145" t="s">
        <v>748</v>
      </c>
      <c r="B224" s="145" t="s">
        <v>692</v>
      </c>
      <c r="C224" s="145"/>
      <c r="D224" s="145" t="s">
        <v>693</v>
      </c>
      <c r="E224" s="146">
        <f>E225</f>
        <v>0</v>
      </c>
      <c r="F224" s="146">
        <f t="shared" si="176"/>
        <v>0</v>
      </c>
      <c r="G224" s="146">
        <f t="shared" si="176"/>
        <v>0</v>
      </c>
      <c r="H224" s="146">
        <f t="shared" si="176"/>
        <v>0</v>
      </c>
      <c r="I224" s="146">
        <f t="shared" si="176"/>
        <v>0</v>
      </c>
      <c r="J224" s="146">
        <f t="shared" si="176"/>
        <v>0</v>
      </c>
      <c r="K224" s="146">
        <f t="shared" si="176"/>
        <v>0</v>
      </c>
      <c r="L224" s="146">
        <f t="shared" si="176"/>
        <v>0</v>
      </c>
      <c r="M224" s="146">
        <f t="shared" si="176"/>
        <v>0</v>
      </c>
      <c r="N224" s="146">
        <f t="shared" si="176"/>
        <v>0</v>
      </c>
      <c r="O224" s="146">
        <f t="shared" si="176"/>
        <v>0</v>
      </c>
      <c r="P224" s="146">
        <f t="shared" si="176"/>
        <v>0</v>
      </c>
      <c r="Q224" s="20"/>
      <c r="R224" s="50"/>
    </row>
    <row r="225" spans="1:18" ht="48" hidden="1" thickTop="1" thickBot="1" x14ac:dyDescent="0.25">
      <c r="A225" s="41" t="s">
        <v>578</v>
      </c>
      <c r="B225" s="41" t="s">
        <v>359</v>
      </c>
      <c r="C225" s="41" t="s">
        <v>43</v>
      </c>
      <c r="D225" s="41" t="s">
        <v>360</v>
      </c>
      <c r="E225" s="42">
        <f t="shared" ref="E225" si="177">F225</f>
        <v>0</v>
      </c>
      <c r="F225" s="43">
        <v>0</v>
      </c>
      <c r="G225" s="43"/>
      <c r="H225" s="43"/>
      <c r="I225" s="43"/>
      <c r="J225" s="42">
        <f>L225+O225</f>
        <v>0</v>
      </c>
      <c r="K225" s="43"/>
      <c r="L225" s="43"/>
      <c r="M225" s="43"/>
      <c r="N225" s="43"/>
      <c r="O225" s="44">
        <f>K225</f>
        <v>0</v>
      </c>
      <c r="P225" s="42">
        <f>E225+J225</f>
        <v>0</v>
      </c>
      <c r="Q225" s="20"/>
      <c r="R225" s="50"/>
    </row>
    <row r="226" spans="1:18" ht="120" customHeight="1" thickTop="1" thickBot="1" x14ac:dyDescent="0.25">
      <c r="A226" s="624" t="s">
        <v>22</v>
      </c>
      <c r="B226" s="624"/>
      <c r="C226" s="624"/>
      <c r="D226" s="625" t="s">
        <v>23</v>
      </c>
      <c r="E226" s="626">
        <f>E227</f>
        <v>142304263</v>
      </c>
      <c r="F226" s="627">
        <f t="shared" ref="F226:G226" si="178">F227</f>
        <v>142304263</v>
      </c>
      <c r="G226" s="627">
        <f t="shared" si="178"/>
        <v>55006067</v>
      </c>
      <c r="H226" s="627">
        <f>H227</f>
        <v>4639939</v>
      </c>
      <c r="I226" s="627">
        <f t="shared" ref="I226" si="179">I227</f>
        <v>0</v>
      </c>
      <c r="J226" s="626">
        <f>J227</f>
        <v>4138076</v>
      </c>
      <c r="K226" s="627">
        <f>K227</f>
        <v>1848361</v>
      </c>
      <c r="L226" s="627">
        <f>L227</f>
        <v>2263715</v>
      </c>
      <c r="M226" s="627">
        <f t="shared" ref="M226" si="180">M227</f>
        <v>891107</v>
      </c>
      <c r="N226" s="627">
        <f>N227</f>
        <v>527653</v>
      </c>
      <c r="O226" s="626">
        <f>O227</f>
        <v>1874361</v>
      </c>
      <c r="P226" s="627">
        <f t="shared" ref="P226" si="181">P227</f>
        <v>146442339</v>
      </c>
      <c r="Q226" s="20"/>
    </row>
    <row r="227" spans="1:18" ht="120" customHeight="1" thickTop="1" thickBot="1" x14ac:dyDescent="0.25">
      <c r="A227" s="588" t="s">
        <v>21</v>
      </c>
      <c r="B227" s="588"/>
      <c r="C227" s="588"/>
      <c r="D227" s="589" t="s">
        <v>35</v>
      </c>
      <c r="E227" s="590">
        <f>E228+E234+E250+E253+E260</f>
        <v>142304263</v>
      </c>
      <c r="F227" s="590">
        <f>F228+F234+F250+F253+F260</f>
        <v>142304263</v>
      </c>
      <c r="G227" s="590">
        <f>G228+G234+G250+G253+G260</f>
        <v>55006067</v>
      </c>
      <c r="H227" s="590">
        <f>H228+H234+H250+H253+H260</f>
        <v>4639939</v>
      </c>
      <c r="I227" s="590">
        <f>I228+I234+I250+I253+I260</f>
        <v>0</v>
      </c>
      <c r="J227" s="590">
        <f>L227+O227</f>
        <v>4138076</v>
      </c>
      <c r="K227" s="590">
        <f>K228+K234+K250+K253+K260</f>
        <v>1848361</v>
      </c>
      <c r="L227" s="590">
        <f>L228+L234+L250+L253+L260</f>
        <v>2263715</v>
      </c>
      <c r="M227" s="590">
        <f>M228+M234+M250+M253+M260</f>
        <v>891107</v>
      </c>
      <c r="N227" s="590">
        <f>N228+N234+N250+N253+N260</f>
        <v>527653</v>
      </c>
      <c r="O227" s="590">
        <f>O228+O234+O250+O253+O260</f>
        <v>1874361</v>
      </c>
      <c r="P227" s="590">
        <f>E227+J227</f>
        <v>146442339</v>
      </c>
      <c r="Q227" s="452" t="b">
        <f>P227=P232+P233+P236+P237+P239+P241+P242+P246+P247+P248+P244+P249</f>
        <v>1</v>
      </c>
      <c r="R227" s="46"/>
    </row>
    <row r="228" spans="1:18" ht="57" customHeight="1" thickTop="1" thickBot="1" x14ac:dyDescent="0.25">
      <c r="A228" s="298" t="s">
        <v>749</v>
      </c>
      <c r="B228" s="298" t="s">
        <v>698</v>
      </c>
      <c r="C228" s="298"/>
      <c r="D228" s="298" t="s">
        <v>699</v>
      </c>
      <c r="E228" s="639">
        <f>SUM(E229:E233)-E229-E231</f>
        <v>13885412.649999997</v>
      </c>
      <c r="F228" s="639">
        <f t="shared" ref="F228:P228" si="182">SUM(F229:F233)-F229-F231</f>
        <v>13885412.649999997</v>
      </c>
      <c r="G228" s="639">
        <f t="shared" si="182"/>
        <v>5600711</v>
      </c>
      <c r="H228" s="639">
        <f t="shared" si="182"/>
        <v>973296</v>
      </c>
      <c r="I228" s="639">
        <f t="shared" si="182"/>
        <v>0</v>
      </c>
      <c r="J228" s="639">
        <f t="shared" si="182"/>
        <v>675000</v>
      </c>
      <c r="K228" s="639">
        <f t="shared" si="182"/>
        <v>12000</v>
      </c>
      <c r="L228" s="639">
        <f t="shared" si="182"/>
        <v>637000</v>
      </c>
      <c r="M228" s="639">
        <f t="shared" si="182"/>
        <v>316400</v>
      </c>
      <c r="N228" s="639">
        <f t="shared" si="182"/>
        <v>194400</v>
      </c>
      <c r="O228" s="639">
        <f t="shared" si="182"/>
        <v>38000</v>
      </c>
      <c r="P228" s="639">
        <f t="shared" si="182"/>
        <v>14560412.649999997</v>
      </c>
      <c r="Q228" s="47"/>
      <c r="R228" s="46"/>
    </row>
    <row r="229" spans="1:18" s="33" customFormat="1" ht="48" hidden="1" thickTop="1" thickBot="1" x14ac:dyDescent="0.25">
      <c r="A229" s="598" t="s">
        <v>750</v>
      </c>
      <c r="B229" s="598" t="s">
        <v>751</v>
      </c>
      <c r="C229" s="598"/>
      <c r="D229" s="598" t="s">
        <v>752</v>
      </c>
      <c r="E229" s="640">
        <f>E230</f>
        <v>0</v>
      </c>
      <c r="F229" s="640">
        <f t="shared" ref="F229:P229" si="183">F230</f>
        <v>0</v>
      </c>
      <c r="G229" s="640">
        <f t="shared" si="183"/>
        <v>0</v>
      </c>
      <c r="H229" s="640">
        <f t="shared" si="183"/>
        <v>0</v>
      </c>
      <c r="I229" s="640">
        <f t="shared" si="183"/>
        <v>0</v>
      </c>
      <c r="J229" s="640">
        <f t="shared" si="183"/>
        <v>0</v>
      </c>
      <c r="K229" s="640">
        <f t="shared" si="183"/>
        <v>0</v>
      </c>
      <c r="L229" s="640">
        <f t="shared" si="183"/>
        <v>0</v>
      </c>
      <c r="M229" s="640">
        <f t="shared" si="183"/>
        <v>0</v>
      </c>
      <c r="N229" s="640">
        <f t="shared" si="183"/>
        <v>0</v>
      </c>
      <c r="O229" s="640">
        <f t="shared" si="183"/>
        <v>0</v>
      </c>
      <c r="P229" s="640">
        <f t="shared" si="183"/>
        <v>0</v>
      </c>
      <c r="Q229" s="154"/>
      <c r="R229" s="52"/>
    </row>
    <row r="230" spans="1:18" ht="48" hidden="1" thickTop="1" thickBot="1" x14ac:dyDescent="0.25">
      <c r="A230" s="101" t="s">
        <v>182</v>
      </c>
      <c r="B230" s="101" t="s">
        <v>183</v>
      </c>
      <c r="C230" s="101" t="s">
        <v>184</v>
      </c>
      <c r="D230" s="101" t="s">
        <v>629</v>
      </c>
      <c r="E230" s="299">
        <f t="shared" ref="E230:E247" si="184">F230</f>
        <v>0</v>
      </c>
      <c r="F230" s="308">
        <f>(6040461)-6040461</f>
        <v>0</v>
      </c>
      <c r="G230" s="308">
        <f>(4559615)-4559615</f>
        <v>0</v>
      </c>
      <c r="H230" s="308">
        <f>(96665+5295+31600+3840)-137400</f>
        <v>0</v>
      </c>
      <c r="I230" s="308"/>
      <c r="J230" s="310">
        <f t="shared" ref="J230:J259" si="185">L230+O230</f>
        <v>0</v>
      </c>
      <c r="K230" s="308"/>
      <c r="L230" s="421"/>
      <c r="M230" s="421"/>
      <c r="N230" s="421"/>
      <c r="O230" s="422">
        <f t="shared" ref="O230:O259" si="186">K230</f>
        <v>0</v>
      </c>
      <c r="P230" s="310">
        <f>+J230+E230</f>
        <v>0</v>
      </c>
      <c r="Q230" s="50"/>
      <c r="R230" s="50"/>
    </row>
    <row r="231" spans="1:18" s="33" customFormat="1" ht="114.75" customHeight="1" thickTop="1" thickBot="1" x14ac:dyDescent="0.25">
      <c r="A231" s="598" t="s">
        <v>753</v>
      </c>
      <c r="B231" s="598" t="s">
        <v>754</v>
      </c>
      <c r="C231" s="598"/>
      <c r="D231" s="598" t="s">
        <v>1452</v>
      </c>
      <c r="E231" s="610">
        <f>SUM(E232:E233)</f>
        <v>13885412.65</v>
      </c>
      <c r="F231" s="610">
        <f t="shared" ref="F231:P231" si="187">SUM(F232:F233)</f>
        <v>13885412.65</v>
      </c>
      <c r="G231" s="610">
        <f t="shared" si="187"/>
        <v>5600711</v>
      </c>
      <c r="H231" s="610">
        <f t="shared" si="187"/>
        <v>973296</v>
      </c>
      <c r="I231" s="610">
        <f t="shared" si="187"/>
        <v>0</v>
      </c>
      <c r="J231" s="610">
        <f t="shared" si="187"/>
        <v>675000</v>
      </c>
      <c r="K231" s="610">
        <f t="shared" si="187"/>
        <v>12000</v>
      </c>
      <c r="L231" s="610">
        <f>SUM(L232:L233)</f>
        <v>637000</v>
      </c>
      <c r="M231" s="610">
        <f t="shared" si="187"/>
        <v>316400</v>
      </c>
      <c r="N231" s="610">
        <f t="shared" si="187"/>
        <v>194400</v>
      </c>
      <c r="O231" s="610">
        <f t="shared" si="187"/>
        <v>38000</v>
      </c>
      <c r="P231" s="610">
        <f t="shared" si="187"/>
        <v>14560412.65</v>
      </c>
      <c r="Q231" s="51"/>
      <c r="R231" s="51"/>
    </row>
    <row r="232" spans="1:18" ht="124.5" customHeight="1" thickTop="1" thickBot="1" x14ac:dyDescent="0.25">
      <c r="A232" s="101" t="s">
        <v>188</v>
      </c>
      <c r="B232" s="101" t="s">
        <v>189</v>
      </c>
      <c r="C232" s="101" t="s">
        <v>184</v>
      </c>
      <c r="D232" s="101" t="s">
        <v>1619</v>
      </c>
      <c r="E232" s="299">
        <f t="shared" si="184"/>
        <v>6064270</v>
      </c>
      <c r="F232" s="308">
        <f>(6076270)-12000</f>
        <v>6064270</v>
      </c>
      <c r="G232" s="308">
        <v>3853926</v>
      </c>
      <c r="H232" s="308">
        <f>545789+6906+227520+2675</f>
        <v>782890</v>
      </c>
      <c r="I232" s="308"/>
      <c r="J232" s="310">
        <f t="shared" si="185"/>
        <v>668000</v>
      </c>
      <c r="K232" s="308">
        <f>(0)+12000</f>
        <v>12000</v>
      </c>
      <c r="L232" s="421">
        <f>(656000)-26000</f>
        <v>630000</v>
      </c>
      <c r="M232" s="421">
        <v>316400</v>
      </c>
      <c r="N232" s="421">
        <v>194400</v>
      </c>
      <c r="O232" s="422">
        <f>(K232+0)+26000</f>
        <v>38000</v>
      </c>
      <c r="P232" s="310">
        <f t="shared" ref="P232:P259" si="188">E232+J232</f>
        <v>6732270</v>
      </c>
      <c r="Q232" s="20"/>
      <c r="R232" s="46"/>
    </row>
    <row r="233" spans="1:18" ht="111.75" customHeight="1" thickTop="1" thickBot="1" x14ac:dyDescent="0.25">
      <c r="A233" s="101" t="s">
        <v>348</v>
      </c>
      <c r="B233" s="101" t="s">
        <v>349</v>
      </c>
      <c r="C233" s="101" t="s">
        <v>184</v>
      </c>
      <c r="D233" s="101" t="s">
        <v>1620</v>
      </c>
      <c r="E233" s="299">
        <f t="shared" si="184"/>
        <v>7821142.6500000004</v>
      </c>
      <c r="F233" s="308">
        <f>(7047897)+773245.65</f>
        <v>7821142.6500000004</v>
      </c>
      <c r="G233" s="308">
        <v>1746785</v>
      </c>
      <c r="H233" s="308">
        <f>100540+6560+80906+2400</f>
        <v>190406</v>
      </c>
      <c r="I233" s="308"/>
      <c r="J233" s="310">
        <f t="shared" si="185"/>
        <v>7000</v>
      </c>
      <c r="K233" s="308"/>
      <c r="L233" s="421">
        <v>7000</v>
      </c>
      <c r="M233" s="421"/>
      <c r="N233" s="421"/>
      <c r="O233" s="422">
        <f>K233+0</f>
        <v>0</v>
      </c>
      <c r="P233" s="310">
        <f t="shared" si="188"/>
        <v>7828142.6500000004</v>
      </c>
      <c r="Q233" s="20"/>
      <c r="R233" s="46"/>
    </row>
    <row r="234" spans="1:18" ht="78.75" customHeight="1" thickTop="1" thickBot="1" x14ac:dyDescent="0.25">
      <c r="A234" s="298" t="s">
        <v>755</v>
      </c>
      <c r="B234" s="298" t="s">
        <v>756</v>
      </c>
      <c r="C234" s="101"/>
      <c r="D234" s="298" t="s">
        <v>757</v>
      </c>
      <c r="E234" s="299">
        <f>SUM(E235:E249)-E235-E238-E240-E245-E243</f>
        <v>128418850.34999999</v>
      </c>
      <c r="F234" s="299">
        <f t="shared" ref="F234:G234" si="189">SUM(F235:F249)-F235-F238-F240-F245-F243</f>
        <v>128418850.34999999</v>
      </c>
      <c r="G234" s="299">
        <f t="shared" si="189"/>
        <v>49405356</v>
      </c>
      <c r="H234" s="299">
        <f>SUM(H235:H249)-H235-H238-H240-H245-H243</f>
        <v>3666643</v>
      </c>
      <c r="I234" s="299">
        <f t="shared" ref="I234:O234" si="190">SUM(I235:I249)-I235-I238-I240-I245-I243</f>
        <v>0</v>
      </c>
      <c r="J234" s="299">
        <f t="shared" si="190"/>
        <v>3463076</v>
      </c>
      <c r="K234" s="299">
        <f t="shared" si="190"/>
        <v>1836361</v>
      </c>
      <c r="L234" s="299">
        <f t="shared" si="190"/>
        <v>1626715</v>
      </c>
      <c r="M234" s="299">
        <f t="shared" si="190"/>
        <v>574707</v>
      </c>
      <c r="N234" s="299">
        <f t="shared" si="190"/>
        <v>333253</v>
      </c>
      <c r="O234" s="299">
        <f t="shared" si="190"/>
        <v>1836361</v>
      </c>
      <c r="P234" s="299">
        <f t="shared" ref="P234" si="191">SUM(P235:P248)-P235-P238-P240-P245-P243</f>
        <v>131550293.34999999</v>
      </c>
      <c r="Q234" s="20"/>
      <c r="R234" s="46"/>
    </row>
    <row r="235" spans="1:18" s="33" customFormat="1" ht="86.25" customHeight="1" thickTop="1" thickBot="1" x14ac:dyDescent="0.25">
      <c r="A235" s="598" t="s">
        <v>758</v>
      </c>
      <c r="B235" s="598" t="s">
        <v>759</v>
      </c>
      <c r="C235" s="598"/>
      <c r="D235" s="598" t="s">
        <v>760</v>
      </c>
      <c r="E235" s="610">
        <f>SUM(E236:E237)</f>
        <v>44414056</v>
      </c>
      <c r="F235" s="610">
        <f t="shared" ref="F235:P235" si="192">SUM(F236:F237)</f>
        <v>44414056</v>
      </c>
      <c r="G235" s="610">
        <f t="shared" si="192"/>
        <v>0</v>
      </c>
      <c r="H235" s="610">
        <f t="shared" si="192"/>
        <v>0</v>
      </c>
      <c r="I235" s="610">
        <f t="shared" si="192"/>
        <v>0</v>
      </c>
      <c r="J235" s="610">
        <f t="shared" si="192"/>
        <v>0</v>
      </c>
      <c r="K235" s="610">
        <f t="shared" si="192"/>
        <v>0</v>
      </c>
      <c r="L235" s="610">
        <f t="shared" si="192"/>
        <v>0</v>
      </c>
      <c r="M235" s="610">
        <f t="shared" si="192"/>
        <v>0</v>
      </c>
      <c r="N235" s="610">
        <f t="shared" si="192"/>
        <v>0</v>
      </c>
      <c r="O235" s="610">
        <f t="shared" si="192"/>
        <v>0</v>
      </c>
      <c r="P235" s="610">
        <f t="shared" si="192"/>
        <v>44414056</v>
      </c>
      <c r="Q235" s="36"/>
      <c r="R235" s="52"/>
    </row>
    <row r="236" spans="1:18" ht="93" thickTop="1" thickBot="1" x14ac:dyDescent="0.25">
      <c r="A236" s="101" t="s">
        <v>44</v>
      </c>
      <c r="B236" s="101" t="s">
        <v>185</v>
      </c>
      <c r="C236" s="101" t="s">
        <v>194</v>
      </c>
      <c r="D236" s="101" t="s">
        <v>45</v>
      </c>
      <c r="E236" s="299">
        <f t="shared" si="184"/>
        <v>39640800</v>
      </c>
      <c r="F236" s="308">
        <f>((39000000)+40800)+600000</f>
        <v>39640800</v>
      </c>
      <c r="G236" s="425"/>
      <c r="H236" s="425"/>
      <c r="I236" s="425"/>
      <c r="J236" s="310">
        <f t="shared" si="185"/>
        <v>0</v>
      </c>
      <c r="K236" s="425"/>
      <c r="L236" s="425"/>
      <c r="M236" s="425"/>
      <c r="N236" s="425"/>
      <c r="O236" s="422">
        <f t="shared" si="186"/>
        <v>0</v>
      </c>
      <c r="P236" s="310">
        <f t="shared" si="188"/>
        <v>39640800</v>
      </c>
      <c r="Q236" s="20"/>
      <c r="R236" s="46"/>
    </row>
    <row r="237" spans="1:18" ht="111.75" customHeight="1" thickTop="1" thickBot="1" x14ac:dyDescent="0.25">
      <c r="A237" s="101" t="s">
        <v>46</v>
      </c>
      <c r="B237" s="101" t="s">
        <v>186</v>
      </c>
      <c r="C237" s="101" t="s">
        <v>194</v>
      </c>
      <c r="D237" s="101" t="s">
        <v>4</v>
      </c>
      <c r="E237" s="299">
        <f t="shared" si="184"/>
        <v>4773256</v>
      </c>
      <c r="F237" s="308">
        <f>((4223256)+50000)+500000</f>
        <v>4773256</v>
      </c>
      <c r="G237" s="425"/>
      <c r="H237" s="425"/>
      <c r="I237" s="425"/>
      <c r="J237" s="310">
        <f t="shared" si="185"/>
        <v>0</v>
      </c>
      <c r="K237" s="425"/>
      <c r="L237" s="425"/>
      <c r="M237" s="425"/>
      <c r="N237" s="425"/>
      <c r="O237" s="422">
        <f t="shared" si="186"/>
        <v>0</v>
      </c>
      <c r="P237" s="310">
        <f t="shared" si="188"/>
        <v>4773256</v>
      </c>
      <c r="Q237" s="20"/>
      <c r="R237" s="46"/>
    </row>
    <row r="238" spans="1:18" s="33" customFormat="1" ht="121.7" customHeight="1" thickTop="1" thickBot="1" x14ac:dyDescent="0.25">
      <c r="A238" s="598" t="s">
        <v>761</v>
      </c>
      <c r="B238" s="598" t="s">
        <v>762</v>
      </c>
      <c r="C238" s="598"/>
      <c r="D238" s="598" t="s">
        <v>763</v>
      </c>
      <c r="E238" s="610">
        <f>E239</f>
        <v>28500</v>
      </c>
      <c r="F238" s="610">
        <f t="shared" ref="F238:P238" si="193">F239</f>
        <v>28500</v>
      </c>
      <c r="G238" s="610">
        <f t="shared" si="193"/>
        <v>0</v>
      </c>
      <c r="H238" s="610">
        <f t="shared" si="193"/>
        <v>0</v>
      </c>
      <c r="I238" s="610">
        <f t="shared" si="193"/>
        <v>0</v>
      </c>
      <c r="J238" s="610">
        <f t="shared" si="193"/>
        <v>0</v>
      </c>
      <c r="K238" s="610">
        <f t="shared" si="193"/>
        <v>0</v>
      </c>
      <c r="L238" s="610">
        <f t="shared" si="193"/>
        <v>0</v>
      </c>
      <c r="M238" s="610">
        <f t="shared" si="193"/>
        <v>0</v>
      </c>
      <c r="N238" s="610">
        <f t="shared" si="193"/>
        <v>0</v>
      </c>
      <c r="O238" s="610">
        <f t="shared" si="193"/>
        <v>0</v>
      </c>
      <c r="P238" s="610">
        <f t="shared" si="193"/>
        <v>28500</v>
      </c>
      <c r="Q238" s="36"/>
      <c r="R238" s="53"/>
    </row>
    <row r="239" spans="1:18" ht="114.75" customHeight="1" thickTop="1" thickBot="1" x14ac:dyDescent="0.25">
      <c r="A239" s="101" t="s">
        <v>47</v>
      </c>
      <c r="B239" s="101" t="s">
        <v>187</v>
      </c>
      <c r="C239" s="101" t="s">
        <v>194</v>
      </c>
      <c r="D239" s="101" t="s">
        <v>346</v>
      </c>
      <c r="E239" s="299">
        <f>F239</f>
        <v>28500</v>
      </c>
      <c r="F239" s="308">
        <v>28500</v>
      </c>
      <c r="G239" s="308"/>
      <c r="H239" s="308"/>
      <c r="I239" s="425"/>
      <c r="J239" s="310">
        <f t="shared" si="185"/>
        <v>0</v>
      </c>
      <c r="K239" s="425"/>
      <c r="L239" s="308"/>
      <c r="M239" s="308"/>
      <c r="N239" s="308"/>
      <c r="O239" s="422">
        <f t="shared" si="186"/>
        <v>0</v>
      </c>
      <c r="P239" s="310">
        <f t="shared" si="188"/>
        <v>28500</v>
      </c>
      <c r="Q239" s="20"/>
      <c r="R239" s="46"/>
    </row>
    <row r="240" spans="1:18" ht="79.5" customHeight="1" thickTop="1" thickBot="1" x14ac:dyDescent="0.25">
      <c r="A240" s="598" t="s">
        <v>764</v>
      </c>
      <c r="B240" s="598" t="s">
        <v>765</v>
      </c>
      <c r="C240" s="598"/>
      <c r="D240" s="598" t="s">
        <v>766</v>
      </c>
      <c r="E240" s="610">
        <f>SUM(E241:E242)</f>
        <v>75793774.349999994</v>
      </c>
      <c r="F240" s="610">
        <f t="shared" ref="F240:P240" si="194">SUM(F241:F242)</f>
        <v>75793774.349999994</v>
      </c>
      <c r="G240" s="610">
        <f t="shared" si="194"/>
        <v>47781535</v>
      </c>
      <c r="H240" s="610">
        <f t="shared" si="194"/>
        <v>3666643</v>
      </c>
      <c r="I240" s="610">
        <f t="shared" si="194"/>
        <v>0</v>
      </c>
      <c r="J240" s="610">
        <f t="shared" si="194"/>
        <v>2981284</v>
      </c>
      <c r="K240" s="610">
        <f t="shared" si="194"/>
        <v>1483728</v>
      </c>
      <c r="L240" s="610">
        <f t="shared" si="194"/>
        <v>1497556</v>
      </c>
      <c r="M240" s="610">
        <f t="shared" si="194"/>
        <v>574707</v>
      </c>
      <c r="N240" s="610">
        <f t="shared" si="194"/>
        <v>333253</v>
      </c>
      <c r="O240" s="610">
        <f t="shared" si="194"/>
        <v>1483728</v>
      </c>
      <c r="P240" s="610">
        <f t="shared" si="194"/>
        <v>78775058.349999994</v>
      </c>
      <c r="Q240" s="20"/>
      <c r="R240" s="46"/>
    </row>
    <row r="241" spans="1:18" ht="133.5" customHeight="1" thickTop="1" thickBot="1" x14ac:dyDescent="0.25">
      <c r="A241" s="101" t="s">
        <v>28</v>
      </c>
      <c r="B241" s="101" t="s">
        <v>191</v>
      </c>
      <c r="C241" s="101" t="s">
        <v>194</v>
      </c>
      <c r="D241" s="101" t="s">
        <v>1622</v>
      </c>
      <c r="E241" s="299">
        <f t="shared" si="184"/>
        <v>69876641</v>
      </c>
      <c r="F241" s="308">
        <f>((66836891)+45677+150000+9600+69760+1109575)+78660+1027136-450000+135258+564084+300000</f>
        <v>69876641</v>
      </c>
      <c r="G241" s="308">
        <f>(14527977+11809360+13664752+7227062)+90020+462364</f>
        <v>47781535</v>
      </c>
      <c r="H241" s="308">
        <f>606847+129600+600000+67934+488337+52697+289933+57199+7194+27222+21756+456102+290424+8040+276756+16712+207990+59200+2700</f>
        <v>3666643</v>
      </c>
      <c r="I241" s="308"/>
      <c r="J241" s="310">
        <f t="shared" si="185"/>
        <v>2981284</v>
      </c>
      <c r="K241" s="308">
        <f>((0)+140874+409600)+433254+50000+450000</f>
        <v>1483728</v>
      </c>
      <c r="L241" s="308">
        <f>1497556</f>
        <v>1497556</v>
      </c>
      <c r="M241" s="308">
        <v>574707</v>
      </c>
      <c r="N241" s="308">
        <v>333253</v>
      </c>
      <c r="O241" s="422">
        <f>(K241+0)</f>
        <v>1483728</v>
      </c>
      <c r="P241" s="310">
        <f t="shared" si="188"/>
        <v>72857925</v>
      </c>
      <c r="Q241" s="20"/>
      <c r="R241" s="46"/>
    </row>
    <row r="242" spans="1:18" ht="108.75" customHeight="1" thickTop="1" thickBot="1" x14ac:dyDescent="0.25">
      <c r="A242" s="101" t="s">
        <v>29</v>
      </c>
      <c r="B242" s="101" t="s">
        <v>192</v>
      </c>
      <c r="C242" s="101" t="s">
        <v>194</v>
      </c>
      <c r="D242" s="101" t="s">
        <v>49</v>
      </c>
      <c r="E242" s="299">
        <f t="shared" si="184"/>
        <v>5917133.3499999996</v>
      </c>
      <c r="F242" s="308">
        <f>(7323423)-1406289.65</f>
        <v>5917133.3499999996</v>
      </c>
      <c r="G242" s="308"/>
      <c r="H242" s="308"/>
      <c r="I242" s="308"/>
      <c r="J242" s="310">
        <f t="shared" si="185"/>
        <v>0</v>
      </c>
      <c r="K242" s="308">
        <v>0</v>
      </c>
      <c r="L242" s="308"/>
      <c r="M242" s="308"/>
      <c r="N242" s="308"/>
      <c r="O242" s="422">
        <f t="shared" si="186"/>
        <v>0</v>
      </c>
      <c r="P242" s="310">
        <f t="shared" si="188"/>
        <v>5917133.3499999996</v>
      </c>
      <c r="Q242" s="20"/>
      <c r="R242" s="46"/>
    </row>
    <row r="243" spans="1:18" ht="72.75" customHeight="1" thickTop="1" thickBot="1" x14ac:dyDescent="0.25">
      <c r="A243" s="641" t="s">
        <v>1317</v>
      </c>
      <c r="B243" s="598" t="s">
        <v>801</v>
      </c>
      <c r="C243" s="598"/>
      <c r="D243" s="598" t="s">
        <v>802</v>
      </c>
      <c r="E243" s="610">
        <f>E244</f>
        <v>210816</v>
      </c>
      <c r="F243" s="610">
        <f t="shared" ref="F243:P243" si="195">F244</f>
        <v>210816</v>
      </c>
      <c r="G243" s="610">
        <f t="shared" si="195"/>
        <v>172800</v>
      </c>
      <c r="H243" s="610">
        <f t="shared" si="195"/>
        <v>0</v>
      </c>
      <c r="I243" s="610">
        <f t="shared" si="195"/>
        <v>0</v>
      </c>
      <c r="J243" s="610">
        <f t="shared" si="195"/>
        <v>0</v>
      </c>
      <c r="K243" s="610">
        <f t="shared" si="195"/>
        <v>0</v>
      </c>
      <c r="L243" s="610">
        <f t="shared" si="195"/>
        <v>0</v>
      </c>
      <c r="M243" s="610">
        <f t="shared" si="195"/>
        <v>0</v>
      </c>
      <c r="N243" s="610">
        <f t="shared" si="195"/>
        <v>0</v>
      </c>
      <c r="O243" s="610">
        <f t="shared" si="195"/>
        <v>0</v>
      </c>
      <c r="P243" s="610">
        <f t="shared" si="195"/>
        <v>210816</v>
      </c>
      <c r="Q243" s="20"/>
      <c r="R243" s="46"/>
    </row>
    <row r="244" spans="1:18" ht="130.69999999999999" customHeight="1" thickTop="1" thickBot="1" x14ac:dyDescent="0.25">
      <c r="A244" s="101" t="s">
        <v>1318</v>
      </c>
      <c r="B244" s="101" t="s">
        <v>1319</v>
      </c>
      <c r="C244" s="101" t="s">
        <v>194</v>
      </c>
      <c r="D244" s="101" t="s">
        <v>1320</v>
      </c>
      <c r="E244" s="299">
        <f t="shared" ref="E244" si="196">F244</f>
        <v>210816</v>
      </c>
      <c r="F244" s="308">
        <f>(158112)+52704</f>
        <v>210816</v>
      </c>
      <c r="G244" s="308">
        <f>(129600)+43200</f>
        <v>172800</v>
      </c>
      <c r="H244" s="308"/>
      <c r="I244" s="308"/>
      <c r="J244" s="310">
        <f t="shared" ref="J244" si="197">L244+O244</f>
        <v>0</v>
      </c>
      <c r="K244" s="308">
        <v>0</v>
      </c>
      <c r="L244" s="308"/>
      <c r="M244" s="308"/>
      <c r="N244" s="308"/>
      <c r="O244" s="422">
        <f t="shared" ref="O244" si="198">K244</f>
        <v>0</v>
      </c>
      <c r="P244" s="310">
        <f t="shared" ref="P244" si="199">E244+J244</f>
        <v>210816</v>
      </c>
      <c r="Q244" s="20"/>
      <c r="R244" s="46"/>
    </row>
    <row r="245" spans="1:18" ht="82.5" customHeight="1" thickTop="1" thickBot="1" x14ac:dyDescent="0.25">
      <c r="A245" s="641" t="s">
        <v>767</v>
      </c>
      <c r="B245" s="598" t="s">
        <v>768</v>
      </c>
      <c r="C245" s="598"/>
      <c r="D245" s="598" t="s">
        <v>769</v>
      </c>
      <c r="E245" s="610">
        <f>SUM(E246:E248)</f>
        <v>7971704</v>
      </c>
      <c r="F245" s="610">
        <f t="shared" ref="F245:P245" si="200">SUM(F246:F248)</f>
        <v>7971704</v>
      </c>
      <c r="G245" s="610">
        <f t="shared" si="200"/>
        <v>1451021</v>
      </c>
      <c r="H245" s="610">
        <f t="shared" si="200"/>
        <v>0</v>
      </c>
      <c r="I245" s="610">
        <f t="shared" si="200"/>
        <v>0</v>
      </c>
      <c r="J245" s="610">
        <f t="shared" si="200"/>
        <v>150159</v>
      </c>
      <c r="K245" s="610">
        <f t="shared" si="200"/>
        <v>21000</v>
      </c>
      <c r="L245" s="610">
        <f t="shared" si="200"/>
        <v>129159</v>
      </c>
      <c r="M245" s="610">
        <f t="shared" si="200"/>
        <v>0</v>
      </c>
      <c r="N245" s="610">
        <f t="shared" si="200"/>
        <v>0</v>
      </c>
      <c r="O245" s="610">
        <f t="shared" si="200"/>
        <v>21000</v>
      </c>
      <c r="P245" s="610">
        <f t="shared" si="200"/>
        <v>8121863</v>
      </c>
      <c r="Q245" s="20"/>
      <c r="R245" s="46"/>
    </row>
    <row r="246" spans="1:18" ht="138.75" thickTop="1" thickBot="1" x14ac:dyDescent="0.25">
      <c r="A246" s="642" t="s">
        <v>30</v>
      </c>
      <c r="B246" s="642" t="s">
        <v>193</v>
      </c>
      <c r="C246" s="642" t="s">
        <v>194</v>
      </c>
      <c r="D246" s="101" t="s">
        <v>31</v>
      </c>
      <c r="E246" s="299">
        <f t="shared" si="184"/>
        <v>900164</v>
      </c>
      <c r="F246" s="308">
        <f>(850564)+49600</f>
        <v>900164</v>
      </c>
      <c r="G246" s="425"/>
      <c r="H246" s="425"/>
      <c r="I246" s="425"/>
      <c r="J246" s="310">
        <f t="shared" si="185"/>
        <v>0</v>
      </c>
      <c r="K246" s="425"/>
      <c r="L246" s="425"/>
      <c r="M246" s="425"/>
      <c r="N246" s="425"/>
      <c r="O246" s="422">
        <f t="shared" si="186"/>
        <v>0</v>
      </c>
      <c r="P246" s="310">
        <f t="shared" si="188"/>
        <v>900164</v>
      </c>
      <c r="Q246" s="20"/>
      <c r="R246" s="46"/>
    </row>
    <row r="247" spans="1:18" ht="111.75" customHeight="1" thickTop="1" thickBot="1" x14ac:dyDescent="0.25">
      <c r="A247" s="642" t="s">
        <v>507</v>
      </c>
      <c r="B247" s="642" t="s">
        <v>505</v>
      </c>
      <c r="C247" s="642" t="s">
        <v>194</v>
      </c>
      <c r="D247" s="101" t="s">
        <v>506</v>
      </c>
      <c r="E247" s="299">
        <f t="shared" si="184"/>
        <v>4892000</v>
      </c>
      <c r="F247" s="308">
        <v>4892000</v>
      </c>
      <c r="G247" s="425"/>
      <c r="H247" s="425"/>
      <c r="I247" s="425"/>
      <c r="J247" s="310">
        <f t="shared" si="185"/>
        <v>0</v>
      </c>
      <c r="K247" s="425"/>
      <c r="L247" s="425"/>
      <c r="M247" s="425"/>
      <c r="N247" s="425"/>
      <c r="O247" s="422">
        <f t="shared" si="186"/>
        <v>0</v>
      </c>
      <c r="P247" s="310">
        <f t="shared" si="188"/>
        <v>4892000</v>
      </c>
      <c r="Q247" s="20"/>
      <c r="R247" s="46"/>
    </row>
    <row r="248" spans="1:18" ht="48" thickTop="1" thickBot="1" x14ac:dyDescent="0.25">
      <c r="A248" s="642" t="s">
        <v>32</v>
      </c>
      <c r="B248" s="642" t="s">
        <v>195</v>
      </c>
      <c r="C248" s="642" t="s">
        <v>194</v>
      </c>
      <c r="D248" s="101" t="s">
        <v>33</v>
      </c>
      <c r="E248" s="299">
        <f>F248</f>
        <v>2179540</v>
      </c>
      <c r="F248" s="308">
        <v>2179540</v>
      </c>
      <c r="G248" s="425">
        <v>1451021</v>
      </c>
      <c r="H248" s="425"/>
      <c r="I248" s="425"/>
      <c r="J248" s="310">
        <f t="shared" si="185"/>
        <v>150159</v>
      </c>
      <c r="K248" s="425">
        <f>(0)+21000</f>
        <v>21000</v>
      </c>
      <c r="L248" s="425">
        <v>129159</v>
      </c>
      <c r="M248" s="425"/>
      <c r="N248" s="425"/>
      <c r="O248" s="422">
        <f>K248+0</f>
        <v>21000</v>
      </c>
      <c r="P248" s="310">
        <f t="shared" si="188"/>
        <v>2329699</v>
      </c>
      <c r="Q248" s="20"/>
      <c r="R248" s="46"/>
    </row>
    <row r="249" spans="1:18" ht="82.5" customHeight="1" thickTop="1" thickBot="1" x14ac:dyDescent="0.25">
      <c r="A249" s="642" t="s">
        <v>1713</v>
      </c>
      <c r="B249" s="642" t="s">
        <v>1714</v>
      </c>
      <c r="C249" s="642" t="s">
        <v>194</v>
      </c>
      <c r="D249" s="101" t="s">
        <v>1712</v>
      </c>
      <c r="E249" s="299">
        <f>F249</f>
        <v>0</v>
      </c>
      <c r="F249" s="308"/>
      <c r="G249" s="425"/>
      <c r="H249" s="425"/>
      <c r="I249" s="425"/>
      <c r="J249" s="310">
        <f t="shared" si="185"/>
        <v>331633</v>
      </c>
      <c r="K249" s="425">
        <v>331633</v>
      </c>
      <c r="L249" s="425"/>
      <c r="M249" s="425"/>
      <c r="N249" s="425"/>
      <c r="O249" s="422">
        <f>K249+0</f>
        <v>331633</v>
      </c>
      <c r="P249" s="310">
        <f t="shared" si="188"/>
        <v>331633</v>
      </c>
      <c r="Q249" s="20"/>
      <c r="R249" s="46"/>
    </row>
    <row r="250" spans="1:18" ht="47.25" hidden="1" thickTop="1" thickBot="1" x14ac:dyDescent="0.25">
      <c r="A250" s="123" t="s">
        <v>770</v>
      </c>
      <c r="B250" s="123" t="s">
        <v>729</v>
      </c>
      <c r="C250" s="123"/>
      <c r="D250" s="372" t="s">
        <v>730</v>
      </c>
      <c r="E250" s="150">
        <f>E251</f>
        <v>0</v>
      </c>
      <c r="F250" s="150">
        <f t="shared" ref="F250:P251" si="201">F251</f>
        <v>0</v>
      </c>
      <c r="G250" s="150">
        <f t="shared" si="201"/>
        <v>0</v>
      </c>
      <c r="H250" s="150">
        <f t="shared" si="201"/>
        <v>0</v>
      </c>
      <c r="I250" s="150">
        <f t="shared" si="201"/>
        <v>0</v>
      </c>
      <c r="J250" s="150">
        <f t="shared" si="201"/>
        <v>0</v>
      </c>
      <c r="K250" s="150">
        <f t="shared" si="201"/>
        <v>0</v>
      </c>
      <c r="L250" s="150">
        <f t="shared" si="201"/>
        <v>0</v>
      </c>
      <c r="M250" s="150">
        <f t="shared" si="201"/>
        <v>0</v>
      </c>
      <c r="N250" s="150">
        <f t="shared" si="201"/>
        <v>0</v>
      </c>
      <c r="O250" s="150">
        <f t="shared" si="201"/>
        <v>0</v>
      </c>
      <c r="P250" s="150">
        <f t="shared" si="201"/>
        <v>0</v>
      </c>
      <c r="Q250" s="20"/>
      <c r="R250" s="46"/>
    </row>
    <row r="251" spans="1:18" ht="48" hidden="1" thickTop="1" thickBot="1" x14ac:dyDescent="0.25">
      <c r="A251" s="373" t="s">
        <v>771</v>
      </c>
      <c r="B251" s="373" t="s">
        <v>732</v>
      </c>
      <c r="C251" s="373"/>
      <c r="D251" s="138" t="s">
        <v>733</v>
      </c>
      <c r="E251" s="155">
        <f>E252</f>
        <v>0</v>
      </c>
      <c r="F251" s="155">
        <f t="shared" si="201"/>
        <v>0</v>
      </c>
      <c r="G251" s="155">
        <f t="shared" si="201"/>
        <v>0</v>
      </c>
      <c r="H251" s="155">
        <f t="shared" si="201"/>
        <v>0</v>
      </c>
      <c r="I251" s="155">
        <f t="shared" si="201"/>
        <v>0</v>
      </c>
      <c r="J251" s="155">
        <f t="shared" si="201"/>
        <v>0</v>
      </c>
      <c r="K251" s="155">
        <f t="shared" si="201"/>
        <v>0</v>
      </c>
      <c r="L251" s="155">
        <f t="shared" si="201"/>
        <v>0</v>
      </c>
      <c r="M251" s="155">
        <f t="shared" si="201"/>
        <v>0</v>
      </c>
      <c r="N251" s="155">
        <f t="shared" si="201"/>
        <v>0</v>
      </c>
      <c r="O251" s="155">
        <f t="shared" si="201"/>
        <v>0</v>
      </c>
      <c r="P251" s="155">
        <f t="shared" si="201"/>
        <v>0</v>
      </c>
      <c r="Q251" s="20"/>
      <c r="R251" s="46"/>
    </row>
    <row r="252" spans="1:18" ht="138.75" hidden="1" thickTop="1" thickBot="1" x14ac:dyDescent="0.25">
      <c r="A252" s="374" t="s">
        <v>339</v>
      </c>
      <c r="B252" s="374" t="s">
        <v>338</v>
      </c>
      <c r="C252" s="374" t="s">
        <v>337</v>
      </c>
      <c r="D252" s="126" t="s">
        <v>630</v>
      </c>
      <c r="E252" s="150">
        <f>F252</f>
        <v>0</v>
      </c>
      <c r="F252" s="127"/>
      <c r="G252" s="132"/>
      <c r="H252" s="132"/>
      <c r="I252" s="132"/>
      <c r="J252" s="125">
        <f t="shared" si="185"/>
        <v>0</v>
      </c>
      <c r="K252" s="132"/>
      <c r="L252" s="132"/>
      <c r="M252" s="132"/>
      <c r="N252" s="132"/>
      <c r="O252" s="130">
        <f t="shared" si="186"/>
        <v>0</v>
      </c>
      <c r="P252" s="125">
        <f t="shared" si="188"/>
        <v>0</v>
      </c>
      <c r="Q252" s="20"/>
      <c r="R252" s="50"/>
    </row>
    <row r="253" spans="1:18" ht="47.25" hidden="1" thickTop="1" thickBot="1" x14ac:dyDescent="0.25">
      <c r="A253" s="123" t="s">
        <v>772</v>
      </c>
      <c r="B253" s="123" t="s">
        <v>735</v>
      </c>
      <c r="C253" s="123"/>
      <c r="D253" s="123" t="s">
        <v>736</v>
      </c>
      <c r="E253" s="150">
        <f>E257+E254</f>
        <v>0</v>
      </c>
      <c r="F253" s="150">
        <f t="shared" ref="F253:P253" si="202">F257+F254</f>
        <v>0</v>
      </c>
      <c r="G253" s="150">
        <f t="shared" si="202"/>
        <v>0</v>
      </c>
      <c r="H253" s="150">
        <f t="shared" si="202"/>
        <v>0</v>
      </c>
      <c r="I253" s="150">
        <f t="shared" si="202"/>
        <v>0</v>
      </c>
      <c r="J253" s="150">
        <f t="shared" si="202"/>
        <v>0</v>
      </c>
      <c r="K253" s="150">
        <f t="shared" si="202"/>
        <v>0</v>
      </c>
      <c r="L253" s="150">
        <f t="shared" si="202"/>
        <v>0</v>
      </c>
      <c r="M253" s="150">
        <f t="shared" si="202"/>
        <v>0</v>
      </c>
      <c r="N253" s="150">
        <f t="shared" si="202"/>
        <v>0</v>
      </c>
      <c r="O253" s="150">
        <f t="shared" si="202"/>
        <v>0</v>
      </c>
      <c r="P253" s="150">
        <f t="shared" si="202"/>
        <v>0</v>
      </c>
      <c r="Q253" s="20"/>
      <c r="R253" s="50"/>
    </row>
    <row r="254" spans="1:18" ht="47.25" hidden="1" thickTop="1" thickBot="1" x14ac:dyDescent="0.25">
      <c r="A254" s="134" t="s">
        <v>1062</v>
      </c>
      <c r="B254" s="134" t="s">
        <v>788</v>
      </c>
      <c r="C254" s="134"/>
      <c r="D254" s="134" t="s">
        <v>789</v>
      </c>
      <c r="E254" s="135">
        <f>E255</f>
        <v>0</v>
      </c>
      <c r="F254" s="135">
        <f t="shared" ref="F254:P255" si="203">F255</f>
        <v>0</v>
      </c>
      <c r="G254" s="135">
        <f t="shared" si="203"/>
        <v>0</v>
      </c>
      <c r="H254" s="135">
        <f t="shared" si="203"/>
        <v>0</v>
      </c>
      <c r="I254" s="135">
        <f t="shared" si="203"/>
        <v>0</v>
      </c>
      <c r="J254" s="135">
        <f t="shared" si="203"/>
        <v>0</v>
      </c>
      <c r="K254" s="135">
        <f t="shared" si="203"/>
        <v>0</v>
      </c>
      <c r="L254" s="135">
        <f t="shared" si="203"/>
        <v>0</v>
      </c>
      <c r="M254" s="135">
        <f t="shared" si="203"/>
        <v>0</v>
      </c>
      <c r="N254" s="135">
        <f t="shared" si="203"/>
        <v>0</v>
      </c>
      <c r="O254" s="135">
        <f t="shared" si="203"/>
        <v>0</v>
      </c>
      <c r="P254" s="135">
        <f t="shared" si="203"/>
        <v>0</v>
      </c>
      <c r="Q254" s="20"/>
      <c r="R254" s="50"/>
    </row>
    <row r="255" spans="1:18" ht="54" hidden="1" thickTop="1" thickBot="1" x14ac:dyDescent="0.25">
      <c r="A255" s="138" t="s">
        <v>1063</v>
      </c>
      <c r="B255" s="138" t="s">
        <v>805</v>
      </c>
      <c r="C255" s="138"/>
      <c r="D255" s="138" t="s">
        <v>1417</v>
      </c>
      <c r="E255" s="139">
        <f>E256</f>
        <v>0</v>
      </c>
      <c r="F255" s="139">
        <f t="shared" si="203"/>
        <v>0</v>
      </c>
      <c r="G255" s="139">
        <f t="shared" si="203"/>
        <v>0</v>
      </c>
      <c r="H255" s="139">
        <f t="shared" si="203"/>
        <v>0</v>
      </c>
      <c r="I255" s="139">
        <f t="shared" si="203"/>
        <v>0</v>
      </c>
      <c r="J255" s="139">
        <f t="shared" si="203"/>
        <v>0</v>
      </c>
      <c r="K255" s="139">
        <f t="shared" si="203"/>
        <v>0</v>
      </c>
      <c r="L255" s="139">
        <f t="shared" si="203"/>
        <v>0</v>
      </c>
      <c r="M255" s="139">
        <f t="shared" si="203"/>
        <v>0</v>
      </c>
      <c r="N255" s="139">
        <f t="shared" si="203"/>
        <v>0</v>
      </c>
      <c r="O255" s="139">
        <f t="shared" si="203"/>
        <v>0</v>
      </c>
      <c r="P255" s="139">
        <f t="shared" si="203"/>
        <v>0</v>
      </c>
      <c r="Q255" s="20"/>
      <c r="R255" s="50"/>
    </row>
    <row r="256" spans="1:18" ht="54" hidden="1" thickTop="1" thickBot="1" x14ac:dyDescent="0.25">
      <c r="A256" s="126" t="s">
        <v>1064</v>
      </c>
      <c r="B256" s="126" t="s">
        <v>311</v>
      </c>
      <c r="C256" s="126" t="s">
        <v>302</v>
      </c>
      <c r="D256" s="126" t="s">
        <v>1196</v>
      </c>
      <c r="E256" s="125">
        <f t="shared" ref="E256" si="204">F256</f>
        <v>0</v>
      </c>
      <c r="F256" s="132"/>
      <c r="G256" s="132"/>
      <c r="H256" s="132"/>
      <c r="I256" s="132"/>
      <c r="J256" s="125">
        <f t="shared" ref="J256" si="205">L256+O256</f>
        <v>0</v>
      </c>
      <c r="K256" s="132">
        <f>49500-49500</f>
        <v>0</v>
      </c>
      <c r="L256" s="132"/>
      <c r="M256" s="132"/>
      <c r="N256" s="132"/>
      <c r="O256" s="130">
        <f t="shared" ref="O256" si="206">K256</f>
        <v>0</v>
      </c>
      <c r="P256" s="125">
        <f>E256+J256</f>
        <v>0</v>
      </c>
      <c r="Q256" s="20"/>
      <c r="R256" s="50"/>
    </row>
    <row r="257" spans="1:18" ht="47.25" hidden="1" thickTop="1" thickBot="1" x14ac:dyDescent="0.25">
      <c r="A257" s="134" t="s">
        <v>773</v>
      </c>
      <c r="B257" s="134" t="s">
        <v>679</v>
      </c>
      <c r="C257" s="134"/>
      <c r="D257" s="134" t="s">
        <v>677</v>
      </c>
      <c r="E257" s="156">
        <f>E259+E258</f>
        <v>0</v>
      </c>
      <c r="F257" s="156">
        <f t="shared" ref="F257:H257" si="207">F259+F258</f>
        <v>0</v>
      </c>
      <c r="G257" s="156">
        <f t="shared" si="207"/>
        <v>0</v>
      </c>
      <c r="H257" s="156">
        <f t="shared" si="207"/>
        <v>0</v>
      </c>
      <c r="I257" s="156">
        <f>I259+I258</f>
        <v>0</v>
      </c>
      <c r="J257" s="156">
        <f>J259+J258</f>
        <v>0</v>
      </c>
      <c r="K257" s="156">
        <f>K259+K258</f>
        <v>0</v>
      </c>
      <c r="L257" s="156">
        <f t="shared" ref="L257:O257" si="208">L259+L258</f>
        <v>0</v>
      </c>
      <c r="M257" s="156">
        <f t="shared" si="208"/>
        <v>0</v>
      </c>
      <c r="N257" s="156">
        <f t="shared" si="208"/>
        <v>0</v>
      </c>
      <c r="O257" s="156">
        <f t="shared" si="208"/>
        <v>0</v>
      </c>
      <c r="P257" s="156">
        <f>P259+P258</f>
        <v>0</v>
      </c>
      <c r="Q257" s="20"/>
      <c r="R257" s="50"/>
    </row>
    <row r="258" spans="1:18" ht="48" hidden="1" thickTop="1" thickBot="1" x14ac:dyDescent="0.25">
      <c r="A258" s="374" t="s">
        <v>1281</v>
      </c>
      <c r="B258" s="374" t="s">
        <v>211</v>
      </c>
      <c r="C258" s="374"/>
      <c r="D258" s="126" t="s">
        <v>41</v>
      </c>
      <c r="E258" s="150">
        <f>F258</f>
        <v>0</v>
      </c>
      <c r="F258" s="127"/>
      <c r="G258" s="132"/>
      <c r="H258" s="132"/>
      <c r="I258" s="132"/>
      <c r="J258" s="125">
        <f t="shared" ref="J258" si="209">L258+O258</f>
        <v>0</v>
      </c>
      <c r="K258" s="132"/>
      <c r="L258" s="132"/>
      <c r="M258" s="132"/>
      <c r="N258" s="132"/>
      <c r="O258" s="130">
        <f t="shared" ref="O258" si="210">K258</f>
        <v>0</v>
      </c>
      <c r="P258" s="125">
        <f t="shared" ref="P258" si="211">E258+J258</f>
        <v>0</v>
      </c>
      <c r="Q258" s="20"/>
      <c r="R258" s="50"/>
    </row>
    <row r="259" spans="1:18" ht="48" hidden="1" thickTop="1" thickBot="1" x14ac:dyDescent="0.25">
      <c r="A259" s="126" t="s">
        <v>598</v>
      </c>
      <c r="B259" s="126" t="s">
        <v>196</v>
      </c>
      <c r="C259" s="126" t="s">
        <v>169</v>
      </c>
      <c r="D259" s="126" t="s">
        <v>34</v>
      </c>
      <c r="E259" s="125">
        <f t="shared" ref="E259" si="212">F259</f>
        <v>0</v>
      </c>
      <c r="F259" s="132"/>
      <c r="G259" s="132"/>
      <c r="H259" s="132"/>
      <c r="I259" s="132"/>
      <c r="J259" s="125">
        <f t="shared" si="185"/>
        <v>0</v>
      </c>
      <c r="K259" s="132"/>
      <c r="L259" s="132"/>
      <c r="M259" s="132"/>
      <c r="N259" s="132"/>
      <c r="O259" s="130">
        <f t="shared" si="186"/>
        <v>0</v>
      </c>
      <c r="P259" s="125">
        <f t="shared" si="188"/>
        <v>0</v>
      </c>
      <c r="Q259" s="20"/>
      <c r="R259" s="46"/>
    </row>
    <row r="260" spans="1:18" ht="47.25" hidden="1" thickTop="1" thickBot="1" x14ac:dyDescent="0.25">
      <c r="A260" s="123" t="s">
        <v>1070</v>
      </c>
      <c r="B260" s="123" t="s">
        <v>689</v>
      </c>
      <c r="C260" s="123"/>
      <c r="D260" s="123" t="s">
        <v>690</v>
      </c>
      <c r="E260" s="125">
        <f>E261</f>
        <v>0</v>
      </c>
      <c r="F260" s="125">
        <f t="shared" ref="F260:P261" si="213">F261</f>
        <v>0</v>
      </c>
      <c r="G260" s="125">
        <f t="shared" si="213"/>
        <v>0</v>
      </c>
      <c r="H260" s="125">
        <f t="shared" si="213"/>
        <v>0</v>
      </c>
      <c r="I260" s="125">
        <f t="shared" si="213"/>
        <v>0</v>
      </c>
      <c r="J260" s="125">
        <f t="shared" si="213"/>
        <v>0</v>
      </c>
      <c r="K260" s="125">
        <f t="shared" si="213"/>
        <v>0</v>
      </c>
      <c r="L260" s="125">
        <f t="shared" si="213"/>
        <v>0</v>
      </c>
      <c r="M260" s="125">
        <f t="shared" si="213"/>
        <v>0</v>
      </c>
      <c r="N260" s="125">
        <f t="shared" si="213"/>
        <v>0</v>
      </c>
      <c r="O260" s="125">
        <f t="shared" si="213"/>
        <v>0</v>
      </c>
      <c r="P260" s="125">
        <f t="shared" si="213"/>
        <v>0</v>
      </c>
      <c r="Q260" s="20"/>
      <c r="R260" s="46"/>
    </row>
    <row r="261" spans="1:18" ht="91.5" hidden="1" thickTop="1" thickBot="1" x14ac:dyDescent="0.25">
      <c r="A261" s="134" t="s">
        <v>1071</v>
      </c>
      <c r="B261" s="134" t="s">
        <v>692</v>
      </c>
      <c r="C261" s="134"/>
      <c r="D261" s="134" t="s">
        <v>693</v>
      </c>
      <c r="E261" s="135">
        <f>E262</f>
        <v>0</v>
      </c>
      <c r="F261" s="135">
        <f t="shared" si="213"/>
        <v>0</v>
      </c>
      <c r="G261" s="135">
        <f t="shared" si="213"/>
        <v>0</v>
      </c>
      <c r="H261" s="135">
        <f t="shared" si="213"/>
        <v>0</v>
      </c>
      <c r="I261" s="135">
        <f t="shared" si="213"/>
        <v>0</v>
      </c>
      <c r="J261" s="135">
        <f t="shared" si="213"/>
        <v>0</v>
      </c>
      <c r="K261" s="135">
        <f t="shared" si="213"/>
        <v>0</v>
      </c>
      <c r="L261" s="135">
        <f t="shared" si="213"/>
        <v>0</v>
      </c>
      <c r="M261" s="135">
        <f t="shared" si="213"/>
        <v>0</v>
      </c>
      <c r="N261" s="135">
        <f t="shared" si="213"/>
        <v>0</v>
      </c>
      <c r="O261" s="135">
        <f t="shared" si="213"/>
        <v>0</v>
      </c>
      <c r="P261" s="135">
        <f t="shared" si="213"/>
        <v>0</v>
      </c>
      <c r="Q261" s="20"/>
      <c r="R261" s="46"/>
    </row>
    <row r="262" spans="1:18" ht="48" hidden="1" thickTop="1" thickBot="1" x14ac:dyDescent="0.25">
      <c r="A262" s="126" t="s">
        <v>1072</v>
      </c>
      <c r="B262" s="126" t="s">
        <v>359</v>
      </c>
      <c r="C262" s="126" t="s">
        <v>43</v>
      </c>
      <c r="D262" s="126" t="s">
        <v>360</v>
      </c>
      <c r="E262" s="125">
        <f t="shared" ref="E262" si="214">F262</f>
        <v>0</v>
      </c>
      <c r="F262" s="132"/>
      <c r="G262" s="132"/>
      <c r="H262" s="132"/>
      <c r="I262" s="132"/>
      <c r="J262" s="125">
        <f>L262+O262</f>
        <v>0</v>
      </c>
      <c r="K262" s="132"/>
      <c r="L262" s="132"/>
      <c r="M262" s="132"/>
      <c r="N262" s="132"/>
      <c r="O262" s="130">
        <f>K262</f>
        <v>0</v>
      </c>
      <c r="P262" s="125">
        <f>E262+J262</f>
        <v>0</v>
      </c>
      <c r="Q262" s="20"/>
      <c r="R262" s="46"/>
    </row>
    <row r="263" spans="1:18" ht="120" customHeight="1" thickTop="1" thickBot="1" x14ac:dyDescent="0.25">
      <c r="A263" s="624" t="s">
        <v>157</v>
      </c>
      <c r="B263" s="624"/>
      <c r="C263" s="624"/>
      <c r="D263" s="625" t="s">
        <v>554</v>
      </c>
      <c r="E263" s="626">
        <f>E264</f>
        <v>42197434</v>
      </c>
      <c r="F263" s="627">
        <f t="shared" ref="F263:G263" si="215">F264</f>
        <v>42197434</v>
      </c>
      <c r="G263" s="627">
        <f t="shared" si="215"/>
        <v>7851426</v>
      </c>
      <c r="H263" s="627">
        <f>H264</f>
        <v>218448</v>
      </c>
      <c r="I263" s="627">
        <f t="shared" ref="I263" si="216">I264</f>
        <v>0</v>
      </c>
      <c r="J263" s="626">
        <f>J264</f>
        <v>51233566</v>
      </c>
      <c r="K263" s="627">
        <f>K264</f>
        <v>51233566</v>
      </c>
      <c r="L263" s="627">
        <f>L264</f>
        <v>0</v>
      </c>
      <c r="M263" s="627">
        <f t="shared" ref="M263" si="217">M264</f>
        <v>0</v>
      </c>
      <c r="N263" s="627">
        <f>N264</f>
        <v>0</v>
      </c>
      <c r="O263" s="626">
        <f>O264</f>
        <v>51233566</v>
      </c>
      <c r="P263" s="627">
        <f>P264</f>
        <v>93431000</v>
      </c>
      <c r="Q263" s="20"/>
      <c r="R263" s="50"/>
    </row>
    <row r="264" spans="1:18" ht="120" customHeight="1" thickTop="1" thickBot="1" x14ac:dyDescent="0.25">
      <c r="A264" s="588" t="s">
        <v>158</v>
      </c>
      <c r="B264" s="588"/>
      <c r="C264" s="588"/>
      <c r="D264" s="589" t="s">
        <v>555</v>
      </c>
      <c r="E264" s="590">
        <f>E265+E271+E281+E290+E269</f>
        <v>42197434</v>
      </c>
      <c r="F264" s="590">
        <f t="shared" ref="F264:I264" si="218">F265+F271+F281+F290+F269</f>
        <v>42197434</v>
      </c>
      <c r="G264" s="590">
        <f t="shared" si="218"/>
        <v>7851426</v>
      </c>
      <c r="H264" s="590">
        <f t="shared" si="218"/>
        <v>218448</v>
      </c>
      <c r="I264" s="590">
        <f t="shared" si="218"/>
        <v>0</v>
      </c>
      <c r="J264" s="590">
        <f>L264+O264</f>
        <v>51233566</v>
      </c>
      <c r="K264" s="590">
        <f>K265+K271+K281+K290+K269</f>
        <v>51233566</v>
      </c>
      <c r="L264" s="590">
        <f t="shared" ref="L264:N264" si="219">L265+L271+L281+L290+L269</f>
        <v>0</v>
      </c>
      <c r="M264" s="590">
        <f t="shared" si="219"/>
        <v>0</v>
      </c>
      <c r="N264" s="590">
        <f t="shared" si="219"/>
        <v>0</v>
      </c>
      <c r="O264" s="590">
        <f>O265+O271+O281+O290+O269</f>
        <v>51233566</v>
      </c>
      <c r="P264" s="590">
        <f>E264+J264</f>
        <v>93431000</v>
      </c>
      <c r="Q264" s="452" t="b">
        <f>P264=P266+P273+P275+P276+P278+P279+P280+P285+P286+P292+P283+P270+P277</f>
        <v>1</v>
      </c>
      <c r="R264" s="54"/>
    </row>
    <row r="265" spans="1:18" ht="69" customHeight="1" thickTop="1" thickBot="1" x14ac:dyDescent="0.25">
      <c r="A265" s="298" t="s">
        <v>774</v>
      </c>
      <c r="B265" s="298" t="s">
        <v>672</v>
      </c>
      <c r="C265" s="298"/>
      <c r="D265" s="298" t="s">
        <v>673</v>
      </c>
      <c r="E265" s="310">
        <f>SUM(E266:E268)</f>
        <v>10472152</v>
      </c>
      <c r="F265" s="310">
        <f t="shared" ref="F265:N265" si="220">SUM(F266:F268)</f>
        <v>10472152</v>
      </c>
      <c r="G265" s="310">
        <f t="shared" si="220"/>
        <v>7851426</v>
      </c>
      <c r="H265" s="310">
        <f t="shared" si="220"/>
        <v>218448</v>
      </c>
      <c r="I265" s="310">
        <f t="shared" si="220"/>
        <v>0</v>
      </c>
      <c r="J265" s="310">
        <f t="shared" si="220"/>
        <v>30000</v>
      </c>
      <c r="K265" s="310">
        <f t="shared" si="220"/>
        <v>30000</v>
      </c>
      <c r="L265" s="310">
        <f t="shared" si="220"/>
        <v>0</v>
      </c>
      <c r="M265" s="310">
        <f t="shared" si="220"/>
        <v>0</v>
      </c>
      <c r="N265" s="310">
        <f t="shared" si="220"/>
        <v>0</v>
      </c>
      <c r="O265" s="310">
        <f>SUM(O266:O268)</f>
        <v>30000</v>
      </c>
      <c r="P265" s="310">
        <f>SUM(P266:P268)</f>
        <v>10502152</v>
      </c>
      <c r="Q265" s="47"/>
      <c r="R265" s="54"/>
    </row>
    <row r="266" spans="1:18" ht="117.75" customHeight="1" thickTop="1" thickBot="1" x14ac:dyDescent="0.25">
      <c r="A266" s="101" t="s">
        <v>416</v>
      </c>
      <c r="B266" s="101" t="s">
        <v>235</v>
      </c>
      <c r="C266" s="101" t="s">
        <v>233</v>
      </c>
      <c r="D266" s="101" t="s">
        <v>234</v>
      </c>
      <c r="E266" s="299">
        <f>F266</f>
        <v>10472152</v>
      </c>
      <c r="F266" s="308">
        <f>(10457112)+15040</f>
        <v>10472152</v>
      </c>
      <c r="G266" s="308">
        <v>7851426</v>
      </c>
      <c r="H266" s="308">
        <v>218448</v>
      </c>
      <c r="I266" s="308"/>
      <c r="J266" s="310">
        <f t="shared" ref="J266:J288" si="221">L266+O266</f>
        <v>30000</v>
      </c>
      <c r="K266" s="308">
        <v>30000</v>
      </c>
      <c r="L266" s="421"/>
      <c r="M266" s="421"/>
      <c r="N266" s="421"/>
      <c r="O266" s="422">
        <f t="shared" ref="O266:O286" si="222">K266</f>
        <v>30000</v>
      </c>
      <c r="P266" s="310">
        <f t="shared" ref="P266:P277" si="223">+J266+E266</f>
        <v>10502152</v>
      </c>
      <c r="Q266" s="20"/>
      <c r="R266" s="54"/>
    </row>
    <row r="267" spans="1:18" ht="93" hidden="1" thickTop="1" thickBot="1" x14ac:dyDescent="0.25">
      <c r="A267" s="126" t="s">
        <v>618</v>
      </c>
      <c r="B267" s="126" t="s">
        <v>358</v>
      </c>
      <c r="C267" s="126" t="s">
        <v>616</v>
      </c>
      <c r="D267" s="126" t="s">
        <v>617</v>
      </c>
      <c r="E267" s="125">
        <f t="shared" ref="E267:E268" si="224">F267</f>
        <v>0</v>
      </c>
      <c r="F267" s="127">
        <v>0</v>
      </c>
      <c r="G267" s="127"/>
      <c r="H267" s="127"/>
      <c r="I267" s="127"/>
      <c r="J267" s="125">
        <f t="shared" si="221"/>
        <v>0</v>
      </c>
      <c r="K267" s="127"/>
      <c r="L267" s="128"/>
      <c r="M267" s="129"/>
      <c r="N267" s="129"/>
      <c r="O267" s="130">
        <f t="shared" si="222"/>
        <v>0</v>
      </c>
      <c r="P267" s="125">
        <f>+J267+E267</f>
        <v>0</v>
      </c>
      <c r="Q267" s="20"/>
      <c r="R267" s="54"/>
    </row>
    <row r="268" spans="1:18" ht="48" hidden="1" thickTop="1" thickBot="1" x14ac:dyDescent="0.25">
      <c r="A268" s="126" t="s">
        <v>1105</v>
      </c>
      <c r="B268" s="126" t="s">
        <v>43</v>
      </c>
      <c r="C268" s="126" t="s">
        <v>42</v>
      </c>
      <c r="D268" s="126" t="s">
        <v>246</v>
      </c>
      <c r="E268" s="125">
        <f t="shared" si="224"/>
        <v>0</v>
      </c>
      <c r="F268" s="127"/>
      <c r="G268" s="127"/>
      <c r="H268" s="127"/>
      <c r="I268" s="127"/>
      <c r="J268" s="125">
        <f t="shared" si="221"/>
        <v>0</v>
      </c>
      <c r="K268" s="127"/>
      <c r="L268" s="128"/>
      <c r="M268" s="129"/>
      <c r="N268" s="129"/>
      <c r="O268" s="130"/>
      <c r="P268" s="125">
        <f>+J268+E268</f>
        <v>0</v>
      </c>
      <c r="Q268" s="20"/>
      <c r="R268" s="54"/>
    </row>
    <row r="269" spans="1:18" ht="72" customHeight="1" thickTop="1" thickBot="1" x14ac:dyDescent="0.25">
      <c r="A269" s="298" t="s">
        <v>1708</v>
      </c>
      <c r="B269" s="298" t="s">
        <v>698</v>
      </c>
      <c r="C269" s="298"/>
      <c r="D269" s="298" t="s">
        <v>699</v>
      </c>
      <c r="E269" s="310">
        <f t="shared" ref="E269:P269" si="225">SUM(E270:E270)</f>
        <v>0</v>
      </c>
      <c r="F269" s="310">
        <f t="shared" si="225"/>
        <v>0</v>
      </c>
      <c r="G269" s="310">
        <f t="shared" si="225"/>
        <v>0</v>
      </c>
      <c r="H269" s="310">
        <f t="shared" si="225"/>
        <v>0</v>
      </c>
      <c r="I269" s="310">
        <f t="shared" si="225"/>
        <v>0</v>
      </c>
      <c r="J269" s="310">
        <f t="shared" si="225"/>
        <v>1000000</v>
      </c>
      <c r="K269" s="310">
        <f t="shared" si="225"/>
        <v>1000000</v>
      </c>
      <c r="L269" s="310">
        <f t="shared" si="225"/>
        <v>0</v>
      </c>
      <c r="M269" s="310">
        <f t="shared" si="225"/>
        <v>0</v>
      </c>
      <c r="N269" s="310">
        <f t="shared" si="225"/>
        <v>0</v>
      </c>
      <c r="O269" s="310">
        <f t="shared" si="225"/>
        <v>1000000</v>
      </c>
      <c r="P269" s="310">
        <f t="shared" si="225"/>
        <v>1000000</v>
      </c>
      <c r="Q269" s="20"/>
      <c r="R269" s="54"/>
    </row>
    <row r="270" spans="1:18" ht="140.25" customHeight="1" thickTop="1" thickBot="1" x14ac:dyDescent="0.25">
      <c r="A270" s="101" t="s">
        <v>1709</v>
      </c>
      <c r="B270" s="101" t="s">
        <v>1159</v>
      </c>
      <c r="C270" s="101" t="s">
        <v>205</v>
      </c>
      <c r="D270" s="600" t="s">
        <v>1160</v>
      </c>
      <c r="E270" s="310">
        <f t="shared" ref="E270" si="226">F270</f>
        <v>0</v>
      </c>
      <c r="F270" s="425"/>
      <c r="G270" s="425"/>
      <c r="H270" s="425"/>
      <c r="I270" s="425"/>
      <c r="J270" s="310">
        <f>L270+O270</f>
        <v>1000000</v>
      </c>
      <c r="K270" s="425">
        <v>1000000</v>
      </c>
      <c r="L270" s="425"/>
      <c r="M270" s="425"/>
      <c r="N270" s="425"/>
      <c r="O270" s="422">
        <f>K270</f>
        <v>1000000</v>
      </c>
      <c r="P270" s="310">
        <f>E270+J270</f>
        <v>1000000</v>
      </c>
      <c r="Q270" s="20"/>
      <c r="R270" s="54"/>
    </row>
    <row r="271" spans="1:18" ht="47.25" thickTop="1" thickBot="1" x14ac:dyDescent="0.25">
      <c r="A271" s="298" t="s">
        <v>775</v>
      </c>
      <c r="B271" s="298" t="s">
        <v>729</v>
      </c>
      <c r="C271" s="298"/>
      <c r="D271" s="597" t="s">
        <v>730</v>
      </c>
      <c r="E271" s="310">
        <f>SUM(E272:E280)-E272</f>
        <v>19662360</v>
      </c>
      <c r="F271" s="310">
        <f t="shared" ref="F271:P271" si="227">SUM(F272:F280)-F272</f>
        <v>19662360</v>
      </c>
      <c r="G271" s="310">
        <f t="shared" si="227"/>
        <v>0</v>
      </c>
      <c r="H271" s="310">
        <f t="shared" si="227"/>
        <v>0</v>
      </c>
      <c r="I271" s="310">
        <f t="shared" si="227"/>
        <v>0</v>
      </c>
      <c r="J271" s="310">
        <f t="shared" si="227"/>
        <v>20203566</v>
      </c>
      <c r="K271" s="310">
        <f t="shared" si="227"/>
        <v>20203566</v>
      </c>
      <c r="L271" s="310">
        <f t="shared" si="227"/>
        <v>0</v>
      </c>
      <c r="M271" s="310">
        <f t="shared" si="227"/>
        <v>0</v>
      </c>
      <c r="N271" s="310">
        <f t="shared" si="227"/>
        <v>0</v>
      </c>
      <c r="O271" s="310">
        <f t="shared" si="227"/>
        <v>20203566</v>
      </c>
      <c r="P271" s="310">
        <f t="shared" si="227"/>
        <v>39865926</v>
      </c>
      <c r="Q271" s="20"/>
      <c r="R271" s="54"/>
    </row>
    <row r="272" spans="1:18" s="33" customFormat="1" ht="93" thickTop="1" thickBot="1" x14ac:dyDescent="0.25">
      <c r="A272" s="598" t="s">
        <v>776</v>
      </c>
      <c r="B272" s="598" t="s">
        <v>777</v>
      </c>
      <c r="C272" s="598"/>
      <c r="D272" s="598" t="s">
        <v>778</v>
      </c>
      <c r="E272" s="599">
        <f>SUM(E273:E276)</f>
        <v>4173598</v>
      </c>
      <c r="F272" s="599">
        <f t="shared" ref="F272:P272" si="228">SUM(F273:F276)</f>
        <v>4173598</v>
      </c>
      <c r="G272" s="599">
        <f t="shared" si="228"/>
        <v>0</v>
      </c>
      <c r="H272" s="599">
        <f t="shared" si="228"/>
        <v>0</v>
      </c>
      <c r="I272" s="599">
        <f t="shared" si="228"/>
        <v>0</v>
      </c>
      <c r="J272" s="599">
        <f t="shared" si="228"/>
        <v>14316092</v>
      </c>
      <c r="K272" s="599">
        <f t="shared" si="228"/>
        <v>14316092</v>
      </c>
      <c r="L272" s="599">
        <f t="shared" si="228"/>
        <v>0</v>
      </c>
      <c r="M272" s="599">
        <f t="shared" si="228"/>
        <v>0</v>
      </c>
      <c r="N272" s="599">
        <f t="shared" si="228"/>
        <v>0</v>
      </c>
      <c r="O272" s="599">
        <f t="shared" si="228"/>
        <v>14316092</v>
      </c>
      <c r="P272" s="599">
        <f t="shared" si="228"/>
        <v>18489690</v>
      </c>
      <c r="Q272" s="36"/>
      <c r="R272" s="54"/>
    </row>
    <row r="273" spans="1:18" ht="88.5" customHeight="1" thickTop="1" thickBot="1" x14ac:dyDescent="0.25">
      <c r="A273" s="101" t="s">
        <v>278</v>
      </c>
      <c r="B273" s="101" t="s">
        <v>279</v>
      </c>
      <c r="C273" s="101" t="s">
        <v>337</v>
      </c>
      <c r="D273" s="101" t="s">
        <v>280</v>
      </c>
      <c r="E273" s="299">
        <f>F273</f>
        <v>4121998</v>
      </c>
      <c r="F273" s="308">
        <f>((1911200)+1430798)+780000</f>
        <v>4121998</v>
      </c>
      <c r="G273" s="308"/>
      <c r="H273" s="308"/>
      <c r="I273" s="308"/>
      <c r="J273" s="310">
        <f t="shared" si="221"/>
        <v>3932092</v>
      </c>
      <c r="K273" s="308">
        <f>((1500000)+1933570)+498522</f>
        <v>3932092</v>
      </c>
      <c r="L273" s="421"/>
      <c r="M273" s="421"/>
      <c r="N273" s="421"/>
      <c r="O273" s="422">
        <f t="shared" si="222"/>
        <v>3932092</v>
      </c>
      <c r="P273" s="310">
        <f t="shared" si="223"/>
        <v>8054090</v>
      </c>
      <c r="Q273" s="20"/>
      <c r="R273" s="54"/>
    </row>
    <row r="274" spans="1:18" ht="48" hidden="1" thickTop="1" thickBot="1" x14ac:dyDescent="0.25">
      <c r="A274" s="126" t="s">
        <v>1521</v>
      </c>
      <c r="B274" s="126" t="s">
        <v>284</v>
      </c>
      <c r="C274" s="126" t="s">
        <v>281</v>
      </c>
      <c r="D274" s="126" t="s">
        <v>285</v>
      </c>
      <c r="E274" s="150">
        <f>F274</f>
        <v>0</v>
      </c>
      <c r="F274" s="127"/>
      <c r="G274" s="127"/>
      <c r="H274" s="127"/>
      <c r="I274" s="127"/>
      <c r="J274" s="125">
        <f t="shared" si="221"/>
        <v>0</v>
      </c>
      <c r="K274" s="127"/>
      <c r="L274" s="128"/>
      <c r="M274" s="128"/>
      <c r="N274" s="128"/>
      <c r="O274" s="130">
        <f t="shared" si="222"/>
        <v>0</v>
      </c>
      <c r="P274" s="125">
        <f t="shared" si="223"/>
        <v>0</v>
      </c>
      <c r="Q274" s="20"/>
      <c r="R274" s="54"/>
    </row>
    <row r="275" spans="1:18" ht="82.5" customHeight="1" thickTop="1" thickBot="1" x14ac:dyDescent="0.25">
      <c r="A275" s="101" t="s">
        <v>299</v>
      </c>
      <c r="B275" s="101" t="s">
        <v>300</v>
      </c>
      <c r="C275" s="101" t="s">
        <v>281</v>
      </c>
      <c r="D275" s="101" t="s">
        <v>301</v>
      </c>
      <c r="E275" s="299">
        <f t="shared" ref="E275:E288" si="229">F275</f>
        <v>0</v>
      </c>
      <c r="F275" s="308"/>
      <c r="G275" s="308"/>
      <c r="H275" s="308"/>
      <c r="I275" s="308"/>
      <c r="J275" s="310">
        <f t="shared" si="221"/>
        <v>10384000</v>
      </c>
      <c r="K275" s="308">
        <f>((3384000)+4000000)+3000000</f>
        <v>10384000</v>
      </c>
      <c r="L275" s="421"/>
      <c r="M275" s="421"/>
      <c r="N275" s="421"/>
      <c r="O275" s="422">
        <f t="shared" si="222"/>
        <v>10384000</v>
      </c>
      <c r="P275" s="310">
        <f t="shared" si="223"/>
        <v>10384000</v>
      </c>
      <c r="Q275" s="20"/>
      <c r="R275" s="54"/>
    </row>
    <row r="276" spans="1:18" ht="93" thickTop="1" thickBot="1" x14ac:dyDescent="0.25">
      <c r="A276" s="101" t="s">
        <v>282</v>
      </c>
      <c r="B276" s="101" t="s">
        <v>283</v>
      </c>
      <c r="C276" s="101" t="s">
        <v>281</v>
      </c>
      <c r="D276" s="101" t="s">
        <v>461</v>
      </c>
      <c r="E276" s="299">
        <f t="shared" si="229"/>
        <v>51600</v>
      </c>
      <c r="F276" s="308">
        <v>51600</v>
      </c>
      <c r="G276" s="308"/>
      <c r="H276" s="308"/>
      <c r="I276" s="308"/>
      <c r="J276" s="310">
        <f t="shared" si="221"/>
        <v>0</v>
      </c>
      <c r="K276" s="308"/>
      <c r="L276" s="421"/>
      <c r="M276" s="421"/>
      <c r="N276" s="421"/>
      <c r="O276" s="422">
        <f t="shared" si="222"/>
        <v>0</v>
      </c>
      <c r="P276" s="310">
        <f t="shared" si="223"/>
        <v>51600</v>
      </c>
      <c r="Q276" s="20"/>
      <c r="R276" s="54"/>
    </row>
    <row r="277" spans="1:18" ht="117.75" customHeight="1" thickTop="1" thickBot="1" x14ac:dyDescent="0.25">
      <c r="A277" s="101" t="s">
        <v>909</v>
      </c>
      <c r="B277" s="101" t="s">
        <v>295</v>
      </c>
      <c r="C277" s="101" t="s">
        <v>281</v>
      </c>
      <c r="D277" s="101" t="s">
        <v>296</v>
      </c>
      <c r="E277" s="299">
        <f t="shared" si="229"/>
        <v>504000</v>
      </c>
      <c r="F277" s="308">
        <f>(0)+504000</f>
        <v>504000</v>
      </c>
      <c r="G277" s="308"/>
      <c r="H277" s="308"/>
      <c r="I277" s="308"/>
      <c r="J277" s="310">
        <f t="shared" si="221"/>
        <v>0</v>
      </c>
      <c r="K277" s="308"/>
      <c r="L277" s="421"/>
      <c r="M277" s="421"/>
      <c r="N277" s="421"/>
      <c r="O277" s="422">
        <f t="shared" si="222"/>
        <v>0</v>
      </c>
      <c r="P277" s="310">
        <f t="shared" si="223"/>
        <v>504000</v>
      </c>
      <c r="Q277" s="20"/>
      <c r="R277" s="54"/>
    </row>
    <row r="278" spans="1:18" ht="72.75" customHeight="1" thickTop="1" thickBot="1" x14ac:dyDescent="0.25">
      <c r="A278" s="101" t="s">
        <v>286</v>
      </c>
      <c r="B278" s="101" t="s">
        <v>287</v>
      </c>
      <c r="C278" s="101" t="s">
        <v>281</v>
      </c>
      <c r="D278" s="101" t="s">
        <v>288</v>
      </c>
      <c r="E278" s="299">
        <f t="shared" si="229"/>
        <v>13000000</v>
      </c>
      <c r="F278" s="308">
        <f>((5000000)+3000000)+5000000</f>
        <v>13000000</v>
      </c>
      <c r="G278" s="308"/>
      <c r="H278" s="308"/>
      <c r="I278" s="308"/>
      <c r="J278" s="310">
        <f t="shared" si="221"/>
        <v>2423285</v>
      </c>
      <c r="K278" s="425">
        <f>((0)+1000000)+1423285</f>
        <v>2423285</v>
      </c>
      <c r="L278" s="308"/>
      <c r="M278" s="308"/>
      <c r="N278" s="308"/>
      <c r="O278" s="422">
        <f t="shared" si="222"/>
        <v>2423285</v>
      </c>
      <c r="P278" s="310">
        <f t="shared" ref="P278:P280" si="230">E278+J278</f>
        <v>15423285</v>
      </c>
      <c r="Q278" s="20"/>
      <c r="R278" s="50"/>
    </row>
    <row r="279" spans="1:18" ht="72.75" customHeight="1" thickTop="1" thickBot="1" x14ac:dyDescent="0.25">
      <c r="A279" s="101" t="s">
        <v>1219</v>
      </c>
      <c r="B279" s="101" t="s">
        <v>1110</v>
      </c>
      <c r="C279" s="101" t="s">
        <v>1111</v>
      </c>
      <c r="D279" s="101" t="s">
        <v>1108</v>
      </c>
      <c r="E279" s="299">
        <f t="shared" si="229"/>
        <v>1984762</v>
      </c>
      <c r="F279" s="308">
        <f>(1545300)+439462</f>
        <v>1984762</v>
      </c>
      <c r="G279" s="308"/>
      <c r="H279" s="308"/>
      <c r="I279" s="308"/>
      <c r="J279" s="310">
        <f t="shared" si="221"/>
        <v>1500000</v>
      </c>
      <c r="K279" s="425">
        <f>(0)+1500000</f>
        <v>1500000</v>
      </c>
      <c r="L279" s="308"/>
      <c r="M279" s="308"/>
      <c r="N279" s="308"/>
      <c r="O279" s="422">
        <f t="shared" si="222"/>
        <v>1500000</v>
      </c>
      <c r="P279" s="310">
        <f t="shared" si="230"/>
        <v>3484762</v>
      </c>
      <c r="Q279" s="20"/>
      <c r="R279" s="50"/>
    </row>
    <row r="280" spans="1:18" ht="72.75" customHeight="1" thickTop="1" thickBot="1" x14ac:dyDescent="0.25">
      <c r="A280" s="101" t="s">
        <v>1559</v>
      </c>
      <c r="B280" s="101" t="s">
        <v>1560</v>
      </c>
      <c r="C280" s="101" t="s">
        <v>1111</v>
      </c>
      <c r="D280" s="101" t="s">
        <v>1561</v>
      </c>
      <c r="E280" s="299">
        <f t="shared" si="229"/>
        <v>0</v>
      </c>
      <c r="F280" s="308"/>
      <c r="G280" s="308"/>
      <c r="H280" s="308"/>
      <c r="I280" s="308"/>
      <c r="J280" s="310">
        <f t="shared" si="221"/>
        <v>1964189</v>
      </c>
      <c r="K280" s="425">
        <f>(1282028)+682161</f>
        <v>1964189</v>
      </c>
      <c r="L280" s="308"/>
      <c r="M280" s="308"/>
      <c r="N280" s="308"/>
      <c r="O280" s="422">
        <f t="shared" si="222"/>
        <v>1964189</v>
      </c>
      <c r="P280" s="310">
        <f t="shared" si="230"/>
        <v>1964189</v>
      </c>
      <c r="Q280" s="20"/>
      <c r="R280" s="50"/>
    </row>
    <row r="281" spans="1:18" ht="47.25" thickTop="1" thickBot="1" x14ac:dyDescent="0.25">
      <c r="A281" s="298" t="s">
        <v>779</v>
      </c>
      <c r="B281" s="298" t="s">
        <v>735</v>
      </c>
      <c r="C281" s="298"/>
      <c r="D281" s="298" t="s">
        <v>780</v>
      </c>
      <c r="E281" s="299">
        <f>E284+E282</f>
        <v>9794846</v>
      </c>
      <c r="F281" s="299">
        <f t="shared" ref="F281:P281" si="231">F284+F282</f>
        <v>9794846</v>
      </c>
      <c r="G281" s="299">
        <f t="shared" si="231"/>
        <v>0</v>
      </c>
      <c r="H281" s="299">
        <f t="shared" si="231"/>
        <v>0</v>
      </c>
      <c r="I281" s="299">
        <f t="shared" si="231"/>
        <v>0</v>
      </c>
      <c r="J281" s="299">
        <f t="shared" si="231"/>
        <v>30000000</v>
      </c>
      <c r="K281" s="299">
        <f t="shared" si="231"/>
        <v>30000000</v>
      </c>
      <c r="L281" s="299">
        <f t="shared" si="231"/>
        <v>0</v>
      </c>
      <c r="M281" s="299">
        <f t="shared" si="231"/>
        <v>0</v>
      </c>
      <c r="N281" s="299">
        <f t="shared" si="231"/>
        <v>0</v>
      </c>
      <c r="O281" s="299">
        <f t="shared" si="231"/>
        <v>30000000</v>
      </c>
      <c r="P281" s="299">
        <f t="shared" si="231"/>
        <v>39794846</v>
      </c>
      <c r="Q281" s="20"/>
      <c r="R281" s="50"/>
    </row>
    <row r="282" spans="1:18" ht="47.25" thickTop="1" thickBot="1" x14ac:dyDescent="0.25">
      <c r="A282" s="593" t="s">
        <v>1672</v>
      </c>
      <c r="B282" s="593" t="s">
        <v>824</v>
      </c>
      <c r="C282" s="593"/>
      <c r="D282" s="593" t="s">
        <v>825</v>
      </c>
      <c r="E282" s="595">
        <f>SUM(E283)</f>
        <v>30400</v>
      </c>
      <c r="F282" s="595">
        <f t="shared" ref="F282:P282" si="232">SUM(F283)</f>
        <v>30400</v>
      </c>
      <c r="G282" s="595">
        <f t="shared" si="232"/>
        <v>0</v>
      </c>
      <c r="H282" s="595">
        <f t="shared" si="232"/>
        <v>0</v>
      </c>
      <c r="I282" s="595">
        <f t="shared" si="232"/>
        <v>0</v>
      </c>
      <c r="J282" s="595">
        <f t="shared" si="232"/>
        <v>0</v>
      </c>
      <c r="K282" s="595">
        <f t="shared" si="232"/>
        <v>0</v>
      </c>
      <c r="L282" s="595">
        <f t="shared" si="232"/>
        <v>0</v>
      </c>
      <c r="M282" s="595">
        <f t="shared" si="232"/>
        <v>0</v>
      </c>
      <c r="N282" s="595">
        <f t="shared" si="232"/>
        <v>0</v>
      </c>
      <c r="O282" s="595">
        <f t="shared" si="232"/>
        <v>0</v>
      </c>
      <c r="P282" s="595">
        <f t="shared" si="232"/>
        <v>30400</v>
      </c>
      <c r="Q282" s="20"/>
      <c r="R282" s="50"/>
    </row>
    <row r="283" spans="1:18" ht="60.75" customHeight="1" thickTop="1" thickBot="1" x14ac:dyDescent="0.25">
      <c r="A283" s="101" t="s">
        <v>1673</v>
      </c>
      <c r="B283" s="101" t="s">
        <v>305</v>
      </c>
      <c r="C283" s="101" t="s">
        <v>306</v>
      </c>
      <c r="D283" s="101" t="s">
        <v>456</v>
      </c>
      <c r="E283" s="310">
        <f>F283</f>
        <v>30400</v>
      </c>
      <c r="F283" s="425">
        <v>30400</v>
      </c>
      <c r="G283" s="425"/>
      <c r="H283" s="425"/>
      <c r="I283" s="425"/>
      <c r="J283" s="310">
        <f>L283+O283</f>
        <v>0</v>
      </c>
      <c r="K283" s="425"/>
      <c r="L283" s="425"/>
      <c r="M283" s="425"/>
      <c r="N283" s="425"/>
      <c r="O283" s="422">
        <f>(K283)</f>
        <v>0</v>
      </c>
      <c r="P283" s="310">
        <f>E283+J283</f>
        <v>30400</v>
      </c>
      <c r="Q283" s="20"/>
      <c r="R283" s="50"/>
    </row>
    <row r="284" spans="1:18" ht="47.25" thickTop="1" thickBot="1" x14ac:dyDescent="0.25">
      <c r="A284" s="593" t="s">
        <v>781</v>
      </c>
      <c r="B284" s="593" t="s">
        <v>679</v>
      </c>
      <c r="C284" s="593"/>
      <c r="D284" s="593" t="s">
        <v>677</v>
      </c>
      <c r="E284" s="596">
        <f>E285+E287+E286</f>
        <v>9764446</v>
      </c>
      <c r="F284" s="596">
        <f t="shared" ref="F284:P284" si="233">F285+F287+F286</f>
        <v>9764446</v>
      </c>
      <c r="G284" s="596">
        <f t="shared" si="233"/>
        <v>0</v>
      </c>
      <c r="H284" s="596">
        <f t="shared" si="233"/>
        <v>0</v>
      </c>
      <c r="I284" s="596">
        <f t="shared" si="233"/>
        <v>0</v>
      </c>
      <c r="J284" s="596">
        <f>J285+J287+J286</f>
        <v>30000000</v>
      </c>
      <c r="K284" s="596">
        <f t="shared" si="233"/>
        <v>30000000</v>
      </c>
      <c r="L284" s="596">
        <f t="shared" si="233"/>
        <v>0</v>
      </c>
      <c r="M284" s="596">
        <f t="shared" si="233"/>
        <v>0</v>
      </c>
      <c r="N284" s="596">
        <f t="shared" si="233"/>
        <v>0</v>
      </c>
      <c r="O284" s="596">
        <f t="shared" si="233"/>
        <v>30000000</v>
      </c>
      <c r="P284" s="596">
        <f t="shared" si="233"/>
        <v>39764446</v>
      </c>
      <c r="Q284" s="20"/>
      <c r="R284" s="50"/>
    </row>
    <row r="285" spans="1:18" ht="82.5" customHeight="1" thickTop="1" thickBot="1" x14ac:dyDescent="0.25">
      <c r="A285" s="101" t="s">
        <v>294</v>
      </c>
      <c r="B285" s="101" t="s">
        <v>211</v>
      </c>
      <c r="C285" s="101" t="s">
        <v>212</v>
      </c>
      <c r="D285" s="101" t="s">
        <v>41</v>
      </c>
      <c r="E285" s="299">
        <f t="shared" si="229"/>
        <v>9764446</v>
      </c>
      <c r="F285" s="308">
        <f>((911400+600000)+2620384)+5632662</f>
        <v>9764446</v>
      </c>
      <c r="G285" s="308"/>
      <c r="H285" s="308"/>
      <c r="I285" s="308"/>
      <c r="J285" s="310">
        <f t="shared" si="221"/>
        <v>0</v>
      </c>
      <c r="K285" s="425"/>
      <c r="L285" s="308"/>
      <c r="M285" s="308"/>
      <c r="N285" s="308"/>
      <c r="O285" s="422">
        <f t="shared" si="222"/>
        <v>0</v>
      </c>
      <c r="P285" s="310">
        <f>E285+J285</f>
        <v>9764446</v>
      </c>
      <c r="Q285" s="20"/>
      <c r="R285" s="54"/>
    </row>
    <row r="286" spans="1:18" ht="72.75" customHeight="1" thickTop="1" thickBot="1" x14ac:dyDescent="0.25">
      <c r="A286" s="101" t="s">
        <v>900</v>
      </c>
      <c r="B286" s="101" t="s">
        <v>196</v>
      </c>
      <c r="C286" s="101" t="s">
        <v>169</v>
      </c>
      <c r="D286" s="101" t="s">
        <v>34</v>
      </c>
      <c r="E286" s="299">
        <f t="shared" si="229"/>
        <v>0</v>
      </c>
      <c r="F286" s="308"/>
      <c r="G286" s="308"/>
      <c r="H286" s="308"/>
      <c r="I286" s="308"/>
      <c r="J286" s="310">
        <f t="shared" si="221"/>
        <v>30000000</v>
      </c>
      <c r="K286" s="425">
        <f>(10000000)+20000000</f>
        <v>30000000</v>
      </c>
      <c r="L286" s="308"/>
      <c r="M286" s="308"/>
      <c r="N286" s="308"/>
      <c r="O286" s="422">
        <f t="shared" si="222"/>
        <v>30000000</v>
      </c>
      <c r="P286" s="310">
        <f>E286+J286</f>
        <v>30000000</v>
      </c>
      <c r="Q286" s="20"/>
      <c r="R286" s="54"/>
    </row>
    <row r="287" spans="1:18" ht="48" hidden="1" thickTop="1" thickBot="1" x14ac:dyDescent="0.25">
      <c r="A287" s="138" t="s">
        <v>782</v>
      </c>
      <c r="B287" s="138" t="s">
        <v>682</v>
      </c>
      <c r="C287" s="138"/>
      <c r="D287" s="138" t="s">
        <v>783</v>
      </c>
      <c r="E287" s="155">
        <f>E288</f>
        <v>0</v>
      </c>
      <c r="F287" s="155">
        <f t="shared" ref="F287:P287" si="234">F288</f>
        <v>0</v>
      </c>
      <c r="G287" s="155">
        <f t="shared" si="234"/>
        <v>0</v>
      </c>
      <c r="H287" s="155">
        <f t="shared" si="234"/>
        <v>0</v>
      </c>
      <c r="I287" s="155">
        <f t="shared" si="234"/>
        <v>0</v>
      </c>
      <c r="J287" s="155">
        <f t="shared" si="234"/>
        <v>0</v>
      </c>
      <c r="K287" s="155">
        <f t="shared" si="234"/>
        <v>0</v>
      </c>
      <c r="L287" s="155">
        <f t="shared" si="234"/>
        <v>0</v>
      </c>
      <c r="M287" s="155">
        <f t="shared" si="234"/>
        <v>0</v>
      </c>
      <c r="N287" s="155">
        <f t="shared" si="234"/>
        <v>0</v>
      </c>
      <c r="O287" s="155">
        <f t="shared" si="234"/>
        <v>0</v>
      </c>
      <c r="P287" s="155">
        <f t="shared" si="234"/>
        <v>0</v>
      </c>
      <c r="Q287" s="20"/>
      <c r="R287" s="50"/>
    </row>
    <row r="288" spans="1:18" ht="214.5" hidden="1" customHeight="1" thickTop="1" thickBot="1" x14ac:dyDescent="0.7">
      <c r="A288" s="770" t="s">
        <v>419</v>
      </c>
      <c r="B288" s="770" t="s">
        <v>335</v>
      </c>
      <c r="C288" s="770" t="s">
        <v>169</v>
      </c>
      <c r="D288" s="152" t="s">
        <v>435</v>
      </c>
      <c r="E288" s="765">
        <f t="shared" si="229"/>
        <v>0</v>
      </c>
      <c r="F288" s="755"/>
      <c r="G288" s="755"/>
      <c r="H288" s="755"/>
      <c r="I288" s="755"/>
      <c r="J288" s="765">
        <f t="shared" si="221"/>
        <v>0</v>
      </c>
      <c r="K288" s="755"/>
      <c r="L288" s="755">
        <v>0</v>
      </c>
      <c r="M288" s="755"/>
      <c r="N288" s="755"/>
      <c r="O288" s="807">
        <f>((K288+884000)-450000)-434000</f>
        <v>0</v>
      </c>
      <c r="P288" s="805">
        <f>E288+J288</f>
        <v>0</v>
      </c>
      <c r="Q288" s="20"/>
      <c r="R288" s="50"/>
    </row>
    <row r="289" spans="1:18" ht="93" hidden="1" thickTop="1" thickBot="1" x14ac:dyDescent="0.25">
      <c r="A289" s="770"/>
      <c r="B289" s="770"/>
      <c r="C289" s="770"/>
      <c r="D289" s="153" t="s">
        <v>436</v>
      </c>
      <c r="E289" s="765"/>
      <c r="F289" s="755"/>
      <c r="G289" s="755"/>
      <c r="H289" s="755"/>
      <c r="I289" s="755"/>
      <c r="J289" s="765"/>
      <c r="K289" s="755"/>
      <c r="L289" s="755"/>
      <c r="M289" s="755"/>
      <c r="N289" s="755"/>
      <c r="O289" s="807"/>
      <c r="P289" s="805"/>
      <c r="Q289" s="20"/>
      <c r="R289" s="50"/>
    </row>
    <row r="290" spans="1:18" ht="47.25" thickTop="1" thickBot="1" x14ac:dyDescent="0.25">
      <c r="A290" s="298" t="s">
        <v>1189</v>
      </c>
      <c r="B290" s="298" t="s">
        <v>684</v>
      </c>
      <c r="C290" s="298"/>
      <c r="D290" s="298" t="s">
        <v>685</v>
      </c>
      <c r="E290" s="310">
        <f>E293+E291</f>
        <v>2268076</v>
      </c>
      <c r="F290" s="310">
        <f t="shared" ref="F290:I290" si="235">F293+F291</f>
        <v>2268076</v>
      </c>
      <c r="G290" s="310">
        <f t="shared" si="235"/>
        <v>0</v>
      </c>
      <c r="H290" s="310">
        <f t="shared" si="235"/>
        <v>0</v>
      </c>
      <c r="I290" s="310">
        <f t="shared" si="235"/>
        <v>0</v>
      </c>
      <c r="J290" s="310">
        <f>J293+J291</f>
        <v>0</v>
      </c>
      <c r="K290" s="310">
        <f t="shared" ref="K290:N290" si="236">K293+K291</f>
        <v>0</v>
      </c>
      <c r="L290" s="310">
        <f t="shared" si="236"/>
        <v>0</v>
      </c>
      <c r="M290" s="310">
        <f t="shared" si="236"/>
        <v>0</v>
      </c>
      <c r="N290" s="310">
        <f t="shared" si="236"/>
        <v>0</v>
      </c>
      <c r="O290" s="310">
        <f>O293+O291</f>
        <v>0</v>
      </c>
      <c r="P290" s="310">
        <f>P293+P291</f>
        <v>2268076</v>
      </c>
      <c r="Q290" s="20"/>
      <c r="R290" s="50"/>
    </row>
    <row r="291" spans="1:18" ht="47.25" thickTop="1" thickBot="1" x14ac:dyDescent="0.25">
      <c r="A291" s="593" t="s">
        <v>1422</v>
      </c>
      <c r="B291" s="593" t="s">
        <v>797</v>
      </c>
      <c r="C291" s="593"/>
      <c r="D291" s="594" t="s">
        <v>1236</v>
      </c>
      <c r="E291" s="595">
        <f>SUM(E292:E294)</f>
        <v>2268076</v>
      </c>
      <c r="F291" s="595">
        <f t="shared" ref="F291:P291" si="237">SUM(F292:F294)</f>
        <v>2268076</v>
      </c>
      <c r="G291" s="595">
        <f t="shared" si="237"/>
        <v>0</v>
      </c>
      <c r="H291" s="595">
        <f t="shared" si="237"/>
        <v>0</v>
      </c>
      <c r="I291" s="595">
        <f t="shared" si="237"/>
        <v>0</v>
      </c>
      <c r="J291" s="595">
        <f t="shared" si="237"/>
        <v>0</v>
      </c>
      <c r="K291" s="595">
        <f t="shared" si="237"/>
        <v>0</v>
      </c>
      <c r="L291" s="595">
        <f t="shared" si="237"/>
        <v>0</v>
      </c>
      <c r="M291" s="595">
        <f t="shared" si="237"/>
        <v>0</v>
      </c>
      <c r="N291" s="595">
        <f t="shared" si="237"/>
        <v>0</v>
      </c>
      <c r="O291" s="595">
        <f t="shared" si="237"/>
        <v>0</v>
      </c>
      <c r="P291" s="595">
        <f t="shared" si="237"/>
        <v>2268076</v>
      </c>
      <c r="Q291" s="20"/>
      <c r="R291" s="50"/>
    </row>
    <row r="292" spans="1:18" ht="93" thickTop="1" thickBot="1" x14ac:dyDescent="0.25">
      <c r="A292" s="101" t="s">
        <v>1423</v>
      </c>
      <c r="B292" s="101" t="s">
        <v>511</v>
      </c>
      <c r="C292" s="101" t="s">
        <v>249</v>
      </c>
      <c r="D292" s="101" t="s">
        <v>512</v>
      </c>
      <c r="E292" s="299">
        <f>F292</f>
        <v>2268076</v>
      </c>
      <c r="F292" s="308">
        <f>(1968076)+300000</f>
        <v>2268076</v>
      </c>
      <c r="G292" s="308"/>
      <c r="H292" s="308"/>
      <c r="I292" s="308"/>
      <c r="J292" s="310">
        <f>L292+O292</f>
        <v>0</v>
      </c>
      <c r="K292" s="425"/>
      <c r="L292" s="308"/>
      <c r="M292" s="308"/>
      <c r="N292" s="308"/>
      <c r="O292" s="422">
        <f>K292</f>
        <v>0</v>
      </c>
      <c r="P292" s="310">
        <f>E292+J292</f>
        <v>2268076</v>
      </c>
      <c r="Q292" s="20"/>
      <c r="R292" s="50"/>
    </row>
    <row r="293" spans="1:18" ht="47.25" hidden="1" thickTop="1" thickBot="1" x14ac:dyDescent="0.25">
      <c r="A293" s="134" t="s">
        <v>1190</v>
      </c>
      <c r="B293" s="134" t="s">
        <v>1145</v>
      </c>
      <c r="C293" s="134"/>
      <c r="D293" s="134" t="s">
        <v>1143</v>
      </c>
      <c r="E293" s="135">
        <f t="shared" ref="E293:P293" si="238">SUM(E294:E294)</f>
        <v>0</v>
      </c>
      <c r="F293" s="135">
        <f t="shared" si="238"/>
        <v>0</v>
      </c>
      <c r="G293" s="135">
        <f t="shared" si="238"/>
        <v>0</v>
      </c>
      <c r="H293" s="135">
        <f t="shared" si="238"/>
        <v>0</v>
      </c>
      <c r="I293" s="135">
        <f t="shared" si="238"/>
        <v>0</v>
      </c>
      <c r="J293" s="135">
        <f t="shared" si="238"/>
        <v>0</v>
      </c>
      <c r="K293" s="135">
        <f t="shared" si="238"/>
        <v>0</v>
      </c>
      <c r="L293" s="135">
        <f t="shared" si="238"/>
        <v>0</v>
      </c>
      <c r="M293" s="135">
        <f t="shared" si="238"/>
        <v>0</v>
      </c>
      <c r="N293" s="135">
        <f t="shared" si="238"/>
        <v>0</v>
      </c>
      <c r="O293" s="135">
        <f t="shared" si="238"/>
        <v>0</v>
      </c>
      <c r="P293" s="135">
        <f t="shared" si="238"/>
        <v>0</v>
      </c>
      <c r="Q293" s="20"/>
      <c r="R293" s="50"/>
    </row>
    <row r="294" spans="1:18" ht="48" hidden="1" thickTop="1" thickBot="1" x14ac:dyDescent="0.25">
      <c r="A294" s="126" t="s">
        <v>1191</v>
      </c>
      <c r="B294" s="126" t="s">
        <v>1172</v>
      </c>
      <c r="C294" s="126" t="s">
        <v>1147</v>
      </c>
      <c r="D294" s="126" t="s">
        <v>1173</v>
      </c>
      <c r="E294" s="125">
        <f>F294</f>
        <v>0</v>
      </c>
      <c r="F294" s="132"/>
      <c r="G294" s="132"/>
      <c r="H294" s="132"/>
      <c r="I294" s="132"/>
      <c r="J294" s="125">
        <f>L294+O294</f>
        <v>0</v>
      </c>
      <c r="K294" s="132"/>
      <c r="L294" s="132"/>
      <c r="M294" s="132"/>
      <c r="N294" s="132"/>
      <c r="O294" s="130">
        <f>K294</f>
        <v>0</v>
      </c>
      <c r="P294" s="125">
        <f>E294+J294</f>
        <v>0</v>
      </c>
      <c r="Q294" s="20"/>
      <c r="R294" s="50"/>
    </row>
    <row r="295" spans="1:18" ht="120" customHeight="1" thickTop="1" thickBot="1" x14ac:dyDescent="0.25">
      <c r="A295" s="624" t="s">
        <v>533</v>
      </c>
      <c r="B295" s="624"/>
      <c r="C295" s="624"/>
      <c r="D295" s="625" t="s">
        <v>552</v>
      </c>
      <c r="E295" s="626">
        <f>E296</f>
        <v>433007245</v>
      </c>
      <c r="F295" s="627">
        <f t="shared" ref="F295:G295" si="239">F296</f>
        <v>433007245</v>
      </c>
      <c r="G295" s="627">
        <f t="shared" si="239"/>
        <v>10024869</v>
      </c>
      <c r="H295" s="627">
        <f>H296</f>
        <v>242862</v>
      </c>
      <c r="I295" s="627">
        <f t="shared" ref="I295" si="240">I296</f>
        <v>0</v>
      </c>
      <c r="J295" s="626">
        <f>J296</f>
        <v>42976017.399999999</v>
      </c>
      <c r="K295" s="627">
        <f>K296</f>
        <v>40275943</v>
      </c>
      <c r="L295" s="627">
        <f>L296</f>
        <v>200000</v>
      </c>
      <c r="M295" s="627">
        <f t="shared" ref="M295" si="241">M296</f>
        <v>0</v>
      </c>
      <c r="N295" s="627">
        <f>N296</f>
        <v>0</v>
      </c>
      <c r="O295" s="626">
        <f>O296</f>
        <v>42776017.399999999</v>
      </c>
      <c r="P295" s="627">
        <f>P296</f>
        <v>475983262.39999998</v>
      </c>
      <c r="Q295" s="20"/>
      <c r="R295" s="50"/>
    </row>
    <row r="296" spans="1:18" ht="120" customHeight="1" thickTop="1" thickBot="1" x14ac:dyDescent="0.25">
      <c r="A296" s="588" t="s">
        <v>534</v>
      </c>
      <c r="B296" s="588"/>
      <c r="C296" s="588"/>
      <c r="D296" s="589" t="s">
        <v>553</v>
      </c>
      <c r="E296" s="590">
        <f>E297+E301+E310+E321+E326</f>
        <v>433007245</v>
      </c>
      <c r="F296" s="590">
        <f>F297+F301+F310+F321+F326</f>
        <v>433007245</v>
      </c>
      <c r="G296" s="590">
        <f>G297+G301+G310+G321+G326</f>
        <v>10024869</v>
      </c>
      <c r="H296" s="590">
        <f>H297+H301+H310+H321+H326</f>
        <v>242862</v>
      </c>
      <c r="I296" s="590">
        <f>I297+I301+I310+I321+I326</f>
        <v>0</v>
      </c>
      <c r="J296" s="590">
        <f t="shared" ref="J296:J318" si="242">L296+O296</f>
        <v>42976017.399999999</v>
      </c>
      <c r="K296" s="590">
        <f>K297+K301+K310+K321+K326</f>
        <v>40275943</v>
      </c>
      <c r="L296" s="590">
        <f>L297+L301+L310+L321+L326</f>
        <v>200000</v>
      </c>
      <c r="M296" s="590">
        <f>M297+M301+M310+M321+M326</f>
        <v>0</v>
      </c>
      <c r="N296" s="590">
        <f>N297+N301+N310+N321+N326</f>
        <v>0</v>
      </c>
      <c r="O296" s="590">
        <f>O297+O301+O310+O321+O326</f>
        <v>42776017.399999999</v>
      </c>
      <c r="P296" s="590">
        <f>E296+J296</f>
        <v>475983262.39999998</v>
      </c>
      <c r="Q296" s="452" t="b">
        <f>P296=P298+P300+P303+P304+P306+P307+P309+P313+P316+P318+P323+P324+P328</f>
        <v>1</v>
      </c>
      <c r="R296" s="45"/>
    </row>
    <row r="297" spans="1:18" ht="47.25" thickTop="1" thickBot="1" x14ac:dyDescent="0.25">
      <c r="A297" s="298" t="s">
        <v>784</v>
      </c>
      <c r="B297" s="298" t="s">
        <v>672</v>
      </c>
      <c r="C297" s="298"/>
      <c r="D297" s="298" t="s">
        <v>673</v>
      </c>
      <c r="E297" s="310">
        <f>SUM(E298:E300)</f>
        <v>10383724</v>
      </c>
      <c r="F297" s="310">
        <f t="shared" ref="F297:P297" si="243">SUM(F298:F300)</f>
        <v>10383724</v>
      </c>
      <c r="G297" s="310">
        <f t="shared" si="243"/>
        <v>7921001</v>
      </c>
      <c r="H297" s="310">
        <f t="shared" si="243"/>
        <v>176843</v>
      </c>
      <c r="I297" s="310">
        <f t="shared" si="243"/>
        <v>0</v>
      </c>
      <c r="J297" s="310">
        <f t="shared" si="243"/>
        <v>42000</v>
      </c>
      <c r="K297" s="310">
        <f t="shared" si="243"/>
        <v>42000</v>
      </c>
      <c r="L297" s="310">
        <f t="shared" si="243"/>
        <v>0</v>
      </c>
      <c r="M297" s="310">
        <f t="shared" si="243"/>
        <v>0</v>
      </c>
      <c r="N297" s="310">
        <f t="shared" si="243"/>
        <v>0</v>
      </c>
      <c r="O297" s="310">
        <f t="shared" si="243"/>
        <v>42000</v>
      </c>
      <c r="P297" s="310">
        <f t="shared" si="243"/>
        <v>10425724</v>
      </c>
      <c r="Q297" s="47"/>
      <c r="R297" s="45"/>
    </row>
    <row r="298" spans="1:18" ht="93" thickTop="1" thickBot="1" x14ac:dyDescent="0.25">
      <c r="A298" s="101" t="s">
        <v>535</v>
      </c>
      <c r="B298" s="101" t="s">
        <v>235</v>
      </c>
      <c r="C298" s="101" t="s">
        <v>233</v>
      </c>
      <c r="D298" s="101" t="s">
        <v>234</v>
      </c>
      <c r="E298" s="299">
        <f>F298</f>
        <v>10355866</v>
      </c>
      <c r="F298" s="308">
        <v>10355866</v>
      </c>
      <c r="G298" s="308">
        <v>7921001</v>
      </c>
      <c r="H298" s="308">
        <v>176843</v>
      </c>
      <c r="I298" s="308"/>
      <c r="J298" s="310">
        <f t="shared" si="242"/>
        <v>42000</v>
      </c>
      <c r="K298" s="308">
        <f>(25000)+17000</f>
        <v>42000</v>
      </c>
      <c r="L298" s="421"/>
      <c r="M298" s="421"/>
      <c r="N298" s="421"/>
      <c r="O298" s="422">
        <f t="shared" ref="O298:O316" si="244">K298</f>
        <v>42000</v>
      </c>
      <c r="P298" s="310">
        <f t="shared" ref="P298:P305" si="245">+J298+E298</f>
        <v>10397866</v>
      </c>
      <c r="Q298" s="20"/>
      <c r="R298" s="45"/>
    </row>
    <row r="299" spans="1:18" ht="93" hidden="1" thickTop="1" thickBot="1" x14ac:dyDescent="0.25">
      <c r="A299" s="126" t="s">
        <v>620</v>
      </c>
      <c r="B299" s="126" t="s">
        <v>358</v>
      </c>
      <c r="C299" s="126" t="s">
        <v>616</v>
      </c>
      <c r="D299" s="126" t="s">
        <v>617</v>
      </c>
      <c r="E299" s="150">
        <f>F299</f>
        <v>0</v>
      </c>
      <c r="F299" s="127"/>
      <c r="G299" s="127"/>
      <c r="H299" s="127"/>
      <c r="I299" s="127"/>
      <c r="J299" s="125">
        <f t="shared" si="242"/>
        <v>0</v>
      </c>
      <c r="K299" s="127"/>
      <c r="L299" s="128"/>
      <c r="M299" s="128"/>
      <c r="N299" s="128"/>
      <c r="O299" s="130">
        <f t="shared" si="244"/>
        <v>0</v>
      </c>
      <c r="P299" s="125">
        <f t="shared" si="245"/>
        <v>0</v>
      </c>
      <c r="Q299" s="20"/>
      <c r="R299" s="45"/>
    </row>
    <row r="300" spans="1:18" ht="60.75" customHeight="1" thickTop="1" thickBot="1" x14ac:dyDescent="0.25">
      <c r="A300" s="101" t="s">
        <v>536</v>
      </c>
      <c r="B300" s="101" t="s">
        <v>43</v>
      </c>
      <c r="C300" s="101" t="s">
        <v>42</v>
      </c>
      <c r="D300" s="101" t="s">
        <v>246</v>
      </c>
      <c r="E300" s="299">
        <f>F300</f>
        <v>27858</v>
      </c>
      <c r="F300" s="308">
        <v>27858</v>
      </c>
      <c r="G300" s="308"/>
      <c r="H300" s="308"/>
      <c r="I300" s="308"/>
      <c r="J300" s="310">
        <f t="shared" si="242"/>
        <v>0</v>
      </c>
      <c r="K300" s="308"/>
      <c r="L300" s="421"/>
      <c r="M300" s="421"/>
      <c r="N300" s="421"/>
      <c r="O300" s="422">
        <f t="shared" si="244"/>
        <v>0</v>
      </c>
      <c r="P300" s="310">
        <f t="shared" si="245"/>
        <v>27858</v>
      </c>
      <c r="Q300" s="20"/>
      <c r="R300" s="50"/>
    </row>
    <row r="301" spans="1:18" ht="47.25" thickTop="1" thickBot="1" x14ac:dyDescent="0.25">
      <c r="A301" s="298" t="s">
        <v>785</v>
      </c>
      <c r="B301" s="298" t="s">
        <v>729</v>
      </c>
      <c r="C301" s="298"/>
      <c r="D301" s="597" t="s">
        <v>730</v>
      </c>
      <c r="E301" s="299">
        <f t="shared" ref="E301:P301" si="246">SUM(E302:E309)-E302</f>
        <v>416928069</v>
      </c>
      <c r="F301" s="299">
        <f t="shared" si="246"/>
        <v>416928069</v>
      </c>
      <c r="G301" s="299">
        <f t="shared" si="246"/>
        <v>0</v>
      </c>
      <c r="H301" s="299">
        <f t="shared" si="246"/>
        <v>5000</v>
      </c>
      <c r="I301" s="299">
        <f t="shared" si="246"/>
        <v>0</v>
      </c>
      <c r="J301" s="299">
        <f t="shared" si="246"/>
        <v>2452102</v>
      </c>
      <c r="K301" s="299">
        <f t="shared" si="246"/>
        <v>2452102</v>
      </c>
      <c r="L301" s="299">
        <f t="shared" si="246"/>
        <v>0</v>
      </c>
      <c r="M301" s="299">
        <f t="shared" si="246"/>
        <v>0</v>
      </c>
      <c r="N301" s="299">
        <f t="shared" si="246"/>
        <v>0</v>
      </c>
      <c r="O301" s="299">
        <f t="shared" si="246"/>
        <v>2452102</v>
      </c>
      <c r="P301" s="299">
        <f t="shared" si="246"/>
        <v>419380171</v>
      </c>
      <c r="Q301" s="20"/>
      <c r="R301" s="50"/>
    </row>
    <row r="302" spans="1:18" ht="93" thickTop="1" thickBot="1" x14ac:dyDescent="0.25">
      <c r="A302" s="598" t="s">
        <v>786</v>
      </c>
      <c r="B302" s="598" t="s">
        <v>777</v>
      </c>
      <c r="C302" s="598"/>
      <c r="D302" s="598" t="s">
        <v>778</v>
      </c>
      <c r="E302" s="610">
        <f>SUM(E303:E305)</f>
        <v>97600240</v>
      </c>
      <c r="F302" s="610">
        <f t="shared" ref="F302:P302" si="247">SUM(F303:F305)</f>
        <v>97600240</v>
      </c>
      <c r="G302" s="610">
        <f t="shared" si="247"/>
        <v>0</v>
      </c>
      <c r="H302" s="610">
        <f t="shared" si="247"/>
        <v>0</v>
      </c>
      <c r="I302" s="610">
        <f t="shared" si="247"/>
        <v>0</v>
      </c>
      <c r="J302" s="610">
        <f t="shared" si="247"/>
        <v>94317</v>
      </c>
      <c r="K302" s="610">
        <f t="shared" si="247"/>
        <v>94317</v>
      </c>
      <c r="L302" s="610">
        <f t="shared" si="247"/>
        <v>0</v>
      </c>
      <c r="M302" s="610">
        <f t="shared" si="247"/>
        <v>0</v>
      </c>
      <c r="N302" s="610">
        <f t="shared" si="247"/>
        <v>0</v>
      </c>
      <c r="O302" s="610">
        <f t="shared" si="247"/>
        <v>94317</v>
      </c>
      <c r="P302" s="610">
        <f t="shared" si="247"/>
        <v>97694557</v>
      </c>
      <c r="Q302" s="20"/>
      <c r="R302" s="50"/>
    </row>
    <row r="303" spans="1:18" ht="93" thickTop="1" thickBot="1" x14ac:dyDescent="0.25">
      <c r="A303" s="101" t="s">
        <v>537</v>
      </c>
      <c r="B303" s="101" t="s">
        <v>372</v>
      </c>
      <c r="C303" s="101" t="s">
        <v>281</v>
      </c>
      <c r="D303" s="101" t="s">
        <v>373</v>
      </c>
      <c r="E303" s="299">
        <f t="shared" ref="E303:E316" si="248">F303</f>
        <v>62000000</v>
      </c>
      <c r="F303" s="308">
        <f>((25000000)+32000000)+5000000</f>
        <v>62000000</v>
      </c>
      <c r="G303" s="308"/>
      <c r="H303" s="308"/>
      <c r="I303" s="308"/>
      <c r="J303" s="310">
        <f t="shared" si="242"/>
        <v>0</v>
      </c>
      <c r="K303" s="308"/>
      <c r="L303" s="421"/>
      <c r="M303" s="421"/>
      <c r="N303" s="421"/>
      <c r="O303" s="422">
        <f t="shared" si="244"/>
        <v>0</v>
      </c>
      <c r="P303" s="310">
        <f t="shared" si="245"/>
        <v>62000000</v>
      </c>
      <c r="Q303" s="20"/>
      <c r="R303" s="50"/>
    </row>
    <row r="304" spans="1:18" ht="72.75" customHeight="1" thickTop="1" thickBot="1" x14ac:dyDescent="0.25">
      <c r="A304" s="101" t="s">
        <v>538</v>
      </c>
      <c r="B304" s="101" t="s">
        <v>284</v>
      </c>
      <c r="C304" s="101" t="s">
        <v>281</v>
      </c>
      <c r="D304" s="101" t="s">
        <v>285</v>
      </c>
      <c r="E304" s="299">
        <f t="shared" si="248"/>
        <v>35600240</v>
      </c>
      <c r="F304" s="308">
        <f>((10600240)+20000000)+5000000</f>
        <v>35600240</v>
      </c>
      <c r="G304" s="308"/>
      <c r="H304" s="308"/>
      <c r="I304" s="308"/>
      <c r="J304" s="310">
        <f t="shared" si="242"/>
        <v>94317</v>
      </c>
      <c r="K304" s="308">
        <f>(0)+94317</f>
        <v>94317</v>
      </c>
      <c r="L304" s="421"/>
      <c r="M304" s="421"/>
      <c r="N304" s="421"/>
      <c r="O304" s="422">
        <f t="shared" si="244"/>
        <v>94317</v>
      </c>
      <c r="P304" s="310">
        <f t="shared" si="245"/>
        <v>35694557</v>
      </c>
      <c r="Q304" s="20"/>
      <c r="R304" s="50"/>
    </row>
    <row r="305" spans="1:18" ht="93" hidden="1" thickTop="1" thickBot="1" x14ac:dyDescent="0.25">
      <c r="A305" s="101" t="s">
        <v>1347</v>
      </c>
      <c r="B305" s="101" t="s">
        <v>1348</v>
      </c>
      <c r="C305" s="101" t="s">
        <v>281</v>
      </c>
      <c r="D305" s="101" t="s">
        <v>1349</v>
      </c>
      <c r="E305" s="299">
        <f t="shared" si="248"/>
        <v>0</v>
      </c>
      <c r="F305" s="308">
        <v>0</v>
      </c>
      <c r="G305" s="308"/>
      <c r="H305" s="308"/>
      <c r="I305" s="308"/>
      <c r="J305" s="310">
        <f t="shared" si="242"/>
        <v>0</v>
      </c>
      <c r="K305" s="308"/>
      <c r="L305" s="421"/>
      <c r="M305" s="421"/>
      <c r="N305" s="421"/>
      <c r="O305" s="422">
        <f t="shared" si="244"/>
        <v>0</v>
      </c>
      <c r="P305" s="310">
        <f t="shared" si="245"/>
        <v>0</v>
      </c>
      <c r="Q305" s="20"/>
      <c r="R305" s="50"/>
    </row>
    <row r="306" spans="1:18" ht="117.75" customHeight="1" thickTop="1" thickBot="1" x14ac:dyDescent="0.25">
      <c r="A306" s="101" t="s">
        <v>539</v>
      </c>
      <c r="B306" s="101" t="s">
        <v>295</v>
      </c>
      <c r="C306" s="101" t="s">
        <v>281</v>
      </c>
      <c r="D306" s="101" t="s">
        <v>296</v>
      </c>
      <c r="E306" s="299">
        <f t="shared" si="248"/>
        <v>16742201</v>
      </c>
      <c r="F306" s="308">
        <f>(45509377)-28767176</f>
        <v>16742201</v>
      </c>
      <c r="G306" s="308"/>
      <c r="H306" s="308"/>
      <c r="I306" s="308"/>
      <c r="J306" s="310">
        <f t="shared" si="242"/>
        <v>0</v>
      </c>
      <c r="K306" s="425"/>
      <c r="L306" s="308"/>
      <c r="M306" s="308"/>
      <c r="N306" s="308"/>
      <c r="O306" s="422">
        <f t="shared" si="244"/>
        <v>0</v>
      </c>
      <c r="P306" s="310">
        <f t="shared" ref="P306:P309" si="249">E306+J306</f>
        <v>16742201</v>
      </c>
      <c r="Q306" s="20"/>
      <c r="R306" s="50"/>
    </row>
    <row r="307" spans="1:18" ht="79.5" customHeight="1" thickTop="1" thickBot="1" x14ac:dyDescent="0.25">
      <c r="A307" s="101" t="s">
        <v>540</v>
      </c>
      <c r="B307" s="101" t="s">
        <v>287</v>
      </c>
      <c r="C307" s="101" t="s">
        <v>281</v>
      </c>
      <c r="D307" s="101" t="s">
        <v>288</v>
      </c>
      <c r="E307" s="299">
        <f t="shared" si="248"/>
        <v>302585628</v>
      </c>
      <c r="F307" s="308">
        <f>((299868104)+1921714-500000)+152700+795000+348110</f>
        <v>302585628</v>
      </c>
      <c r="G307" s="308"/>
      <c r="H307" s="308">
        <v>5000</v>
      </c>
      <c r="I307" s="308"/>
      <c r="J307" s="310">
        <f t="shared" si="242"/>
        <v>0</v>
      </c>
      <c r="K307" s="425"/>
      <c r="L307" s="308"/>
      <c r="M307" s="308"/>
      <c r="N307" s="308"/>
      <c r="O307" s="422">
        <f t="shared" si="244"/>
        <v>0</v>
      </c>
      <c r="P307" s="310">
        <f t="shared" si="249"/>
        <v>302585628</v>
      </c>
      <c r="Q307" s="20"/>
      <c r="R307" s="45"/>
    </row>
    <row r="308" spans="1:18" ht="48" hidden="1" thickTop="1" thickBot="1" x14ac:dyDescent="0.25">
      <c r="A308" s="126" t="s">
        <v>1109</v>
      </c>
      <c r="B308" s="126" t="s">
        <v>1110</v>
      </c>
      <c r="C308" s="126" t="s">
        <v>1111</v>
      </c>
      <c r="D308" s="126" t="s">
        <v>1108</v>
      </c>
      <c r="E308" s="150">
        <f t="shared" si="248"/>
        <v>0</v>
      </c>
      <c r="F308" s="127"/>
      <c r="G308" s="127"/>
      <c r="H308" s="127"/>
      <c r="I308" s="127"/>
      <c r="J308" s="125">
        <f t="shared" si="242"/>
        <v>0</v>
      </c>
      <c r="K308" s="132"/>
      <c r="L308" s="127"/>
      <c r="M308" s="127"/>
      <c r="N308" s="127"/>
      <c r="O308" s="130">
        <f t="shared" si="244"/>
        <v>0</v>
      </c>
      <c r="P308" s="125">
        <f t="shared" si="249"/>
        <v>0</v>
      </c>
      <c r="Q308" s="20"/>
      <c r="R308" s="45"/>
    </row>
    <row r="309" spans="1:18" ht="54" thickTop="1" thickBot="1" x14ac:dyDescent="0.25">
      <c r="A309" s="101" t="s">
        <v>1562</v>
      </c>
      <c r="B309" s="101" t="s">
        <v>1560</v>
      </c>
      <c r="C309" s="101" t="s">
        <v>1111</v>
      </c>
      <c r="D309" s="101" t="s">
        <v>1561</v>
      </c>
      <c r="E309" s="299">
        <f t="shared" si="248"/>
        <v>0</v>
      </c>
      <c r="F309" s="308"/>
      <c r="G309" s="308"/>
      <c r="H309" s="308"/>
      <c r="I309" s="308"/>
      <c r="J309" s="310">
        <f t="shared" si="242"/>
        <v>2357785</v>
      </c>
      <c r="K309" s="425">
        <v>2357785</v>
      </c>
      <c r="L309" s="308"/>
      <c r="M309" s="308"/>
      <c r="N309" s="308"/>
      <c r="O309" s="422">
        <f t="shared" si="244"/>
        <v>2357785</v>
      </c>
      <c r="P309" s="310">
        <f t="shared" si="249"/>
        <v>2357785</v>
      </c>
      <c r="Q309" s="20"/>
      <c r="R309" s="45"/>
    </row>
    <row r="310" spans="1:18" ht="47.25" thickTop="1" thickBot="1" x14ac:dyDescent="0.25">
      <c r="A310" s="298" t="s">
        <v>787</v>
      </c>
      <c r="B310" s="298" t="s">
        <v>735</v>
      </c>
      <c r="C310" s="298"/>
      <c r="D310" s="298" t="s">
        <v>736</v>
      </c>
      <c r="E310" s="299">
        <f>E311+E314</f>
        <v>0</v>
      </c>
      <c r="F310" s="299">
        <f t="shared" ref="F310:P310" si="250">F311+F314</f>
        <v>0</v>
      </c>
      <c r="G310" s="299">
        <f t="shared" si="250"/>
        <v>0</v>
      </c>
      <c r="H310" s="299">
        <f t="shared" si="250"/>
        <v>0</v>
      </c>
      <c r="I310" s="299">
        <f t="shared" si="250"/>
        <v>0</v>
      </c>
      <c r="J310" s="299">
        <f t="shared" si="250"/>
        <v>40417482.399999999</v>
      </c>
      <c r="K310" s="299">
        <f t="shared" si="250"/>
        <v>37717408</v>
      </c>
      <c r="L310" s="299">
        <f t="shared" si="250"/>
        <v>200000</v>
      </c>
      <c r="M310" s="299">
        <f t="shared" si="250"/>
        <v>0</v>
      </c>
      <c r="N310" s="299">
        <f t="shared" si="250"/>
        <v>0</v>
      </c>
      <c r="O310" s="299">
        <f t="shared" si="250"/>
        <v>40217482.399999999</v>
      </c>
      <c r="P310" s="299">
        <f t="shared" si="250"/>
        <v>40417482.399999999</v>
      </c>
      <c r="Q310" s="20"/>
      <c r="R310" s="50"/>
    </row>
    <row r="311" spans="1:18" ht="47.25" thickTop="1" thickBot="1" x14ac:dyDescent="0.25">
      <c r="A311" s="593" t="s">
        <v>790</v>
      </c>
      <c r="B311" s="593" t="s">
        <v>791</v>
      </c>
      <c r="C311" s="593"/>
      <c r="D311" s="593" t="s">
        <v>792</v>
      </c>
      <c r="E311" s="596">
        <f t="shared" ref="E311:P312" si="251">E312</f>
        <v>0</v>
      </c>
      <c r="F311" s="596">
        <f t="shared" si="251"/>
        <v>0</v>
      </c>
      <c r="G311" s="596">
        <f t="shared" si="251"/>
        <v>0</v>
      </c>
      <c r="H311" s="596">
        <f t="shared" si="251"/>
        <v>0</v>
      </c>
      <c r="I311" s="596">
        <f t="shared" si="251"/>
        <v>0</v>
      </c>
      <c r="J311" s="596">
        <f t="shared" si="251"/>
        <v>17125000</v>
      </c>
      <c r="K311" s="596">
        <f t="shared" si="251"/>
        <v>16998291.600000001</v>
      </c>
      <c r="L311" s="596">
        <f t="shared" si="251"/>
        <v>0</v>
      </c>
      <c r="M311" s="596">
        <f t="shared" si="251"/>
        <v>0</v>
      </c>
      <c r="N311" s="596">
        <f t="shared" si="251"/>
        <v>0</v>
      </c>
      <c r="O311" s="596">
        <f t="shared" si="251"/>
        <v>17125000</v>
      </c>
      <c r="P311" s="596">
        <f t="shared" si="251"/>
        <v>17125000</v>
      </c>
      <c r="Q311" s="20"/>
      <c r="R311" s="50"/>
    </row>
    <row r="312" spans="1:18" ht="93" thickTop="1" thickBot="1" x14ac:dyDescent="0.25">
      <c r="A312" s="101" t="s">
        <v>937</v>
      </c>
      <c r="B312" s="598" t="s">
        <v>938</v>
      </c>
      <c r="C312" s="593"/>
      <c r="D312" s="598" t="s">
        <v>939</v>
      </c>
      <c r="E312" s="610">
        <f t="shared" si="251"/>
        <v>0</v>
      </c>
      <c r="F312" s="610">
        <f t="shared" si="251"/>
        <v>0</v>
      </c>
      <c r="G312" s="610">
        <f t="shared" si="251"/>
        <v>0</v>
      </c>
      <c r="H312" s="610">
        <f t="shared" si="251"/>
        <v>0</v>
      </c>
      <c r="I312" s="610">
        <f t="shared" si="251"/>
        <v>0</v>
      </c>
      <c r="J312" s="610">
        <f t="shared" si="251"/>
        <v>17125000</v>
      </c>
      <c r="K312" s="610">
        <f t="shared" si="251"/>
        <v>16998291.600000001</v>
      </c>
      <c r="L312" s="610">
        <f t="shared" si="251"/>
        <v>0</v>
      </c>
      <c r="M312" s="610">
        <f t="shared" si="251"/>
        <v>0</v>
      </c>
      <c r="N312" s="610">
        <f t="shared" si="251"/>
        <v>0</v>
      </c>
      <c r="O312" s="610">
        <f t="shared" si="251"/>
        <v>17125000</v>
      </c>
      <c r="P312" s="610">
        <f t="shared" si="251"/>
        <v>17125000</v>
      </c>
      <c r="Q312" s="20"/>
      <c r="R312" s="50"/>
    </row>
    <row r="313" spans="1:18" ht="93" thickTop="1" thickBot="1" x14ac:dyDescent="0.25">
      <c r="A313" s="101" t="s">
        <v>542</v>
      </c>
      <c r="B313" s="101" t="s">
        <v>291</v>
      </c>
      <c r="C313" s="101" t="s">
        <v>293</v>
      </c>
      <c r="D313" s="101" t="s">
        <v>292</v>
      </c>
      <c r="E313" s="299">
        <f t="shared" si="248"/>
        <v>0</v>
      </c>
      <c r="F313" s="308">
        <f>(18000000-3000000-3000000)-12000000</f>
        <v>0</v>
      </c>
      <c r="G313" s="308"/>
      <c r="H313" s="308"/>
      <c r="I313" s="308"/>
      <c r="J313" s="310">
        <f t="shared" si="242"/>
        <v>17125000</v>
      </c>
      <c r="K313" s="308">
        <f>((2000000)+9125000-126708.4)+6000000</f>
        <v>16998291.600000001</v>
      </c>
      <c r="L313" s="421"/>
      <c r="M313" s="421"/>
      <c r="N313" s="421"/>
      <c r="O313" s="422">
        <f>(0+K313)+126708.4</f>
        <v>17125000</v>
      </c>
      <c r="P313" s="310">
        <f>+J313+E313</f>
        <v>17125000</v>
      </c>
      <c r="Q313" s="20"/>
      <c r="R313" s="45"/>
    </row>
    <row r="314" spans="1:18" ht="47.25" thickTop="1" thickBot="1" x14ac:dyDescent="0.25">
      <c r="A314" s="593" t="s">
        <v>793</v>
      </c>
      <c r="B314" s="593" t="s">
        <v>679</v>
      </c>
      <c r="C314" s="593"/>
      <c r="D314" s="593" t="s">
        <v>677</v>
      </c>
      <c r="E314" s="596">
        <f>SUM(E315:E320)-E317</f>
        <v>0</v>
      </c>
      <c r="F314" s="596">
        <f t="shared" ref="F314:P314" si="252">SUM(F315:F320)-F317</f>
        <v>0</v>
      </c>
      <c r="G314" s="596">
        <f t="shared" si="252"/>
        <v>0</v>
      </c>
      <c r="H314" s="596">
        <f t="shared" si="252"/>
        <v>0</v>
      </c>
      <c r="I314" s="596">
        <f t="shared" si="252"/>
        <v>0</v>
      </c>
      <c r="J314" s="596">
        <f t="shared" si="252"/>
        <v>23292482.399999999</v>
      </c>
      <c r="K314" s="596">
        <f t="shared" si="252"/>
        <v>20719116.399999999</v>
      </c>
      <c r="L314" s="596">
        <f t="shared" si="252"/>
        <v>200000</v>
      </c>
      <c r="M314" s="596">
        <f t="shared" si="252"/>
        <v>0</v>
      </c>
      <c r="N314" s="596">
        <f t="shared" si="252"/>
        <v>0</v>
      </c>
      <c r="O314" s="596">
        <f t="shared" si="252"/>
        <v>23092482.399999999</v>
      </c>
      <c r="P314" s="596">
        <f t="shared" si="252"/>
        <v>23292482.399999999</v>
      </c>
      <c r="Q314" s="20"/>
      <c r="R314" s="45"/>
    </row>
    <row r="315" spans="1:18" ht="48" hidden="1" thickTop="1" thickBot="1" x14ac:dyDescent="0.25">
      <c r="A315" s="126" t="s">
        <v>543</v>
      </c>
      <c r="B315" s="126" t="s">
        <v>211</v>
      </c>
      <c r="C315" s="126" t="s">
        <v>212</v>
      </c>
      <c r="D315" s="126" t="s">
        <v>41</v>
      </c>
      <c r="E315" s="150">
        <f t="shared" si="248"/>
        <v>0</v>
      </c>
      <c r="F315" s="127"/>
      <c r="G315" s="127"/>
      <c r="H315" s="127"/>
      <c r="I315" s="127"/>
      <c r="J315" s="125">
        <f t="shared" si="242"/>
        <v>0</v>
      </c>
      <c r="K315" s="132"/>
      <c r="L315" s="127"/>
      <c r="M315" s="127"/>
      <c r="N315" s="127"/>
      <c r="O315" s="130">
        <f t="shared" si="244"/>
        <v>0</v>
      </c>
      <c r="P315" s="125">
        <f>E315+J315</f>
        <v>0</v>
      </c>
      <c r="Q315" s="20"/>
      <c r="R315" s="45"/>
    </row>
    <row r="316" spans="1:18" ht="69.75" customHeight="1" thickTop="1" thickBot="1" x14ac:dyDescent="0.25">
      <c r="A316" s="101" t="s">
        <v>544</v>
      </c>
      <c r="B316" s="101" t="s">
        <v>196</v>
      </c>
      <c r="C316" s="101" t="s">
        <v>169</v>
      </c>
      <c r="D316" s="101" t="s">
        <v>34</v>
      </c>
      <c r="E316" s="299">
        <f t="shared" si="248"/>
        <v>0</v>
      </c>
      <c r="F316" s="308"/>
      <c r="G316" s="308"/>
      <c r="H316" s="308"/>
      <c r="I316" s="308"/>
      <c r="J316" s="310">
        <f t="shared" si="242"/>
        <v>20719116.399999999</v>
      </c>
      <c r="K316" s="425">
        <f>((11472851)+1001390)+8244875.4</f>
        <v>20719116.399999999</v>
      </c>
      <c r="L316" s="308"/>
      <c r="M316" s="308"/>
      <c r="N316" s="308"/>
      <c r="O316" s="422">
        <f t="shared" si="244"/>
        <v>20719116.399999999</v>
      </c>
      <c r="P316" s="310">
        <f>E316+J316</f>
        <v>20719116.399999999</v>
      </c>
      <c r="Q316" s="20"/>
      <c r="R316" s="45"/>
    </row>
    <row r="317" spans="1:18" ht="48" thickTop="1" thickBot="1" x14ac:dyDescent="0.25">
      <c r="A317" s="598" t="s">
        <v>794</v>
      </c>
      <c r="B317" s="598" t="s">
        <v>682</v>
      </c>
      <c r="C317" s="598"/>
      <c r="D317" s="598" t="s">
        <v>783</v>
      </c>
      <c r="E317" s="610">
        <f t="shared" ref="E317:P317" si="253">E318+E320</f>
        <v>0</v>
      </c>
      <c r="F317" s="610">
        <f t="shared" si="253"/>
        <v>0</v>
      </c>
      <c r="G317" s="610">
        <f t="shared" si="253"/>
        <v>0</v>
      </c>
      <c r="H317" s="610">
        <f t="shared" si="253"/>
        <v>0</v>
      </c>
      <c r="I317" s="610">
        <f t="shared" si="253"/>
        <v>0</v>
      </c>
      <c r="J317" s="610">
        <f t="shared" si="253"/>
        <v>2573366</v>
      </c>
      <c r="K317" s="610">
        <f t="shared" si="253"/>
        <v>0</v>
      </c>
      <c r="L317" s="610">
        <f t="shared" si="253"/>
        <v>200000</v>
      </c>
      <c r="M317" s="610">
        <f t="shared" si="253"/>
        <v>0</v>
      </c>
      <c r="N317" s="610">
        <f t="shared" si="253"/>
        <v>0</v>
      </c>
      <c r="O317" s="610">
        <f t="shared" si="253"/>
        <v>2373366</v>
      </c>
      <c r="P317" s="610">
        <f t="shared" si="253"/>
        <v>2573366</v>
      </c>
      <c r="Q317" s="20"/>
      <c r="R317" s="50"/>
    </row>
    <row r="318" spans="1:18" ht="184.5" thickTop="1" thickBot="1" x14ac:dyDescent="0.7">
      <c r="A318" s="789" t="s">
        <v>545</v>
      </c>
      <c r="B318" s="789" t="s">
        <v>335</v>
      </c>
      <c r="C318" s="789" t="s">
        <v>169</v>
      </c>
      <c r="D318" s="475" t="s">
        <v>435</v>
      </c>
      <c r="E318" s="777"/>
      <c r="F318" s="781"/>
      <c r="G318" s="781"/>
      <c r="H318" s="781"/>
      <c r="I318" s="781"/>
      <c r="J318" s="777">
        <f t="shared" si="242"/>
        <v>2573366</v>
      </c>
      <c r="K318" s="781"/>
      <c r="L318" s="781">
        <f>(0)+200000</f>
        <v>200000</v>
      </c>
      <c r="M318" s="781"/>
      <c r="N318" s="781"/>
      <c r="O318" s="779">
        <f>(K318+1000000)+1373366</f>
        <v>2373366</v>
      </c>
      <c r="P318" s="780">
        <f>E318+J318</f>
        <v>2573366</v>
      </c>
      <c r="Q318" s="20"/>
      <c r="R318" s="50"/>
    </row>
    <row r="319" spans="1:18" ht="93" thickTop="1" thickBot="1" x14ac:dyDescent="0.25">
      <c r="A319" s="789"/>
      <c r="B319" s="789"/>
      <c r="C319" s="789"/>
      <c r="D319" s="608" t="s">
        <v>436</v>
      </c>
      <c r="E319" s="777"/>
      <c r="F319" s="781"/>
      <c r="G319" s="781"/>
      <c r="H319" s="781"/>
      <c r="I319" s="781"/>
      <c r="J319" s="777"/>
      <c r="K319" s="781"/>
      <c r="L319" s="781"/>
      <c r="M319" s="781"/>
      <c r="N319" s="781"/>
      <c r="O319" s="779"/>
      <c r="P319" s="780"/>
      <c r="Q319" s="20"/>
      <c r="R319" s="50"/>
    </row>
    <row r="320" spans="1:18" ht="48" hidden="1" thickTop="1" thickBot="1" x14ac:dyDescent="0.25">
      <c r="A320" s="126" t="s">
        <v>1142</v>
      </c>
      <c r="B320" s="126" t="s">
        <v>255</v>
      </c>
      <c r="C320" s="126" t="s">
        <v>169</v>
      </c>
      <c r="D320" s="126" t="s">
        <v>253</v>
      </c>
      <c r="E320" s="150">
        <f t="shared" ref="E320" si="254">F320</f>
        <v>0</v>
      </c>
      <c r="F320" s="127"/>
      <c r="G320" s="127"/>
      <c r="H320" s="127"/>
      <c r="I320" s="127"/>
      <c r="J320" s="125">
        <f t="shared" ref="J320" si="255">L320+O320</f>
        <v>0</v>
      </c>
      <c r="K320" s="132"/>
      <c r="L320" s="127"/>
      <c r="M320" s="127"/>
      <c r="N320" s="127"/>
      <c r="O320" s="130">
        <f t="shared" ref="O320" si="256">K320</f>
        <v>0</v>
      </c>
      <c r="P320" s="125">
        <f>E320+J320</f>
        <v>0</v>
      </c>
      <c r="Q320" s="20"/>
      <c r="R320" s="50"/>
    </row>
    <row r="321" spans="1:18" ht="47.25" thickTop="1" thickBot="1" x14ac:dyDescent="0.25">
      <c r="A321" s="298" t="s">
        <v>795</v>
      </c>
      <c r="B321" s="298" t="s">
        <v>684</v>
      </c>
      <c r="C321" s="298"/>
      <c r="D321" s="609" t="s">
        <v>685</v>
      </c>
      <c r="E321" s="310">
        <f>E322</f>
        <v>4695452</v>
      </c>
      <c r="F321" s="310">
        <f t="shared" ref="F321:P321" si="257">F322</f>
        <v>4695452</v>
      </c>
      <c r="G321" s="310">
        <f t="shared" si="257"/>
        <v>2103868</v>
      </c>
      <c r="H321" s="310">
        <f t="shared" si="257"/>
        <v>61019</v>
      </c>
      <c r="I321" s="310">
        <f t="shared" si="257"/>
        <v>0</v>
      </c>
      <c r="J321" s="310">
        <f t="shared" si="257"/>
        <v>64433</v>
      </c>
      <c r="K321" s="310">
        <f t="shared" si="257"/>
        <v>64433</v>
      </c>
      <c r="L321" s="310">
        <f t="shared" si="257"/>
        <v>0</v>
      </c>
      <c r="M321" s="310">
        <f t="shared" si="257"/>
        <v>0</v>
      </c>
      <c r="N321" s="310">
        <f t="shared" si="257"/>
        <v>0</v>
      </c>
      <c r="O321" s="310">
        <f t="shared" si="257"/>
        <v>64433</v>
      </c>
      <c r="P321" s="310">
        <f t="shared" si="257"/>
        <v>4759885</v>
      </c>
      <c r="Q321" s="20"/>
      <c r="R321" s="50"/>
    </row>
    <row r="322" spans="1:18" ht="47.25" thickTop="1" thickBot="1" x14ac:dyDescent="0.25">
      <c r="A322" s="593" t="s">
        <v>796</v>
      </c>
      <c r="B322" s="593" t="s">
        <v>797</v>
      </c>
      <c r="C322" s="593"/>
      <c r="D322" s="594" t="s">
        <v>1236</v>
      </c>
      <c r="E322" s="595">
        <f>SUM(E323:E325)</f>
        <v>4695452</v>
      </c>
      <c r="F322" s="595">
        <f t="shared" ref="F322:P322" si="258">SUM(F323:F325)</f>
        <v>4695452</v>
      </c>
      <c r="G322" s="595">
        <f t="shared" si="258"/>
        <v>2103868</v>
      </c>
      <c r="H322" s="595">
        <f t="shared" si="258"/>
        <v>61019</v>
      </c>
      <c r="I322" s="595">
        <f t="shared" si="258"/>
        <v>0</v>
      </c>
      <c r="J322" s="595">
        <f t="shared" si="258"/>
        <v>64433</v>
      </c>
      <c r="K322" s="595">
        <f t="shared" si="258"/>
        <v>64433</v>
      </c>
      <c r="L322" s="595">
        <f t="shared" si="258"/>
        <v>0</v>
      </c>
      <c r="M322" s="595">
        <f t="shared" si="258"/>
        <v>0</v>
      </c>
      <c r="N322" s="595">
        <f t="shared" si="258"/>
        <v>0</v>
      </c>
      <c r="O322" s="595">
        <f t="shared" si="258"/>
        <v>64433</v>
      </c>
      <c r="P322" s="595">
        <f t="shared" si="258"/>
        <v>4759885</v>
      </c>
      <c r="Q322" s="20"/>
      <c r="R322" s="50"/>
    </row>
    <row r="323" spans="1:18" ht="93" thickTop="1" thickBot="1" x14ac:dyDescent="0.25">
      <c r="A323" s="101" t="s">
        <v>546</v>
      </c>
      <c r="B323" s="101" t="s">
        <v>511</v>
      </c>
      <c r="C323" s="101" t="s">
        <v>249</v>
      </c>
      <c r="D323" s="101" t="s">
        <v>512</v>
      </c>
      <c r="E323" s="299">
        <f>F323</f>
        <v>2000000</v>
      </c>
      <c r="F323" s="308">
        <v>2000000</v>
      </c>
      <c r="G323" s="308"/>
      <c r="H323" s="308"/>
      <c r="I323" s="308"/>
      <c r="J323" s="310">
        <f>L323+O323</f>
        <v>0</v>
      </c>
      <c r="K323" s="425">
        <v>0</v>
      </c>
      <c r="L323" s="308"/>
      <c r="M323" s="308"/>
      <c r="N323" s="308"/>
      <c r="O323" s="422">
        <f>K323</f>
        <v>0</v>
      </c>
      <c r="P323" s="310">
        <f>E323+J323</f>
        <v>2000000</v>
      </c>
      <c r="Q323" s="20"/>
      <c r="R323" s="50"/>
    </row>
    <row r="324" spans="1:18" ht="48" thickTop="1" thickBot="1" x14ac:dyDescent="0.25">
      <c r="A324" s="101" t="s">
        <v>547</v>
      </c>
      <c r="B324" s="101" t="s">
        <v>248</v>
      </c>
      <c r="C324" s="101" t="s">
        <v>249</v>
      </c>
      <c r="D324" s="101" t="s">
        <v>247</v>
      </c>
      <c r="E324" s="299">
        <f t="shared" ref="E324:E325" si="259">F324</f>
        <v>2695452</v>
      </c>
      <c r="F324" s="308">
        <f>2759885-64433</f>
        <v>2695452</v>
      </c>
      <c r="G324" s="308">
        <v>2103868</v>
      </c>
      <c r="H324" s="308">
        <f>1979+42660+16380</f>
        <v>61019</v>
      </c>
      <c r="I324" s="308"/>
      <c r="J324" s="310">
        <f>L324+O324</f>
        <v>64433</v>
      </c>
      <c r="K324" s="425">
        <v>64433</v>
      </c>
      <c r="L324" s="308"/>
      <c r="M324" s="308"/>
      <c r="N324" s="308"/>
      <c r="O324" s="422">
        <f>K324</f>
        <v>64433</v>
      </c>
      <c r="P324" s="310">
        <f>E324+J324</f>
        <v>2759885</v>
      </c>
      <c r="Q324" s="20"/>
      <c r="R324" s="46"/>
    </row>
    <row r="325" spans="1:18" ht="48" hidden="1" thickTop="1" thickBot="1" x14ac:dyDescent="0.25">
      <c r="A325" s="41" t="s">
        <v>548</v>
      </c>
      <c r="B325" s="41" t="s">
        <v>549</v>
      </c>
      <c r="C325" s="41" t="s">
        <v>249</v>
      </c>
      <c r="D325" s="41" t="s">
        <v>550</v>
      </c>
      <c r="E325" s="157">
        <f t="shared" si="259"/>
        <v>0</v>
      </c>
      <c r="F325" s="158">
        <f>(1219000)-1219000</f>
        <v>0</v>
      </c>
      <c r="G325" s="158">
        <f>(354000+540000)-894000</f>
        <v>0</v>
      </c>
      <c r="H325" s="158">
        <f>(6000+3000)-9000</f>
        <v>0</v>
      </c>
      <c r="I325" s="158"/>
      <c r="J325" s="42">
        <f>L325+O325</f>
        <v>0</v>
      </c>
      <c r="K325" s="43"/>
      <c r="L325" s="158"/>
      <c r="M325" s="158"/>
      <c r="N325" s="158"/>
      <c r="O325" s="44">
        <f>K325</f>
        <v>0</v>
      </c>
      <c r="P325" s="42">
        <f>E325+J325</f>
        <v>0</v>
      </c>
      <c r="Q325" s="20"/>
      <c r="R325" s="50"/>
    </row>
    <row r="326" spans="1:18" ht="66" customHeight="1" thickTop="1" thickBot="1" x14ac:dyDescent="0.25">
      <c r="A326" s="298" t="s">
        <v>1410</v>
      </c>
      <c r="B326" s="298" t="s">
        <v>689</v>
      </c>
      <c r="C326" s="298"/>
      <c r="D326" s="298" t="s">
        <v>690</v>
      </c>
      <c r="E326" s="310">
        <f>E327</f>
        <v>1000000</v>
      </c>
      <c r="F326" s="310">
        <f t="shared" ref="F326:P327" si="260">F327</f>
        <v>1000000</v>
      </c>
      <c r="G326" s="310">
        <f t="shared" si="260"/>
        <v>0</v>
      </c>
      <c r="H326" s="310">
        <f t="shared" si="260"/>
        <v>0</v>
      </c>
      <c r="I326" s="310">
        <f t="shared" si="260"/>
        <v>0</v>
      </c>
      <c r="J326" s="310">
        <f t="shared" si="260"/>
        <v>0</v>
      </c>
      <c r="K326" s="310">
        <f t="shared" si="260"/>
        <v>0</v>
      </c>
      <c r="L326" s="310">
        <f t="shared" si="260"/>
        <v>0</v>
      </c>
      <c r="M326" s="310">
        <f t="shared" si="260"/>
        <v>0</v>
      </c>
      <c r="N326" s="310">
        <f t="shared" si="260"/>
        <v>0</v>
      </c>
      <c r="O326" s="310">
        <f t="shared" si="260"/>
        <v>0</v>
      </c>
      <c r="P326" s="310">
        <f t="shared" si="260"/>
        <v>1000000</v>
      </c>
      <c r="Q326" s="20"/>
      <c r="R326" s="50"/>
    </row>
    <row r="327" spans="1:18" ht="113.25" customHeight="1" thickTop="1" thickBot="1" x14ac:dyDescent="0.25">
      <c r="A327" s="593" t="s">
        <v>1411</v>
      </c>
      <c r="B327" s="593" t="s">
        <v>692</v>
      </c>
      <c r="C327" s="593"/>
      <c r="D327" s="593" t="s">
        <v>693</v>
      </c>
      <c r="E327" s="595">
        <f>E328</f>
        <v>1000000</v>
      </c>
      <c r="F327" s="595">
        <f t="shared" si="260"/>
        <v>1000000</v>
      </c>
      <c r="G327" s="595">
        <f t="shared" si="260"/>
        <v>0</v>
      </c>
      <c r="H327" s="595">
        <f t="shared" si="260"/>
        <v>0</v>
      </c>
      <c r="I327" s="595">
        <f t="shared" si="260"/>
        <v>0</v>
      </c>
      <c r="J327" s="595">
        <f t="shared" si="260"/>
        <v>0</v>
      </c>
      <c r="K327" s="595">
        <f t="shared" si="260"/>
        <v>0</v>
      </c>
      <c r="L327" s="595">
        <f t="shared" si="260"/>
        <v>0</v>
      </c>
      <c r="M327" s="595">
        <f t="shared" si="260"/>
        <v>0</v>
      </c>
      <c r="N327" s="595">
        <f t="shared" si="260"/>
        <v>0</v>
      </c>
      <c r="O327" s="595">
        <f t="shared" si="260"/>
        <v>0</v>
      </c>
      <c r="P327" s="595">
        <f t="shared" si="260"/>
        <v>1000000</v>
      </c>
      <c r="Q327" s="20"/>
      <c r="R327" s="50"/>
    </row>
    <row r="328" spans="1:18" ht="72.75" customHeight="1" thickTop="1" thickBot="1" x14ac:dyDescent="0.25">
      <c r="A328" s="101" t="s">
        <v>1412</v>
      </c>
      <c r="B328" s="101" t="s">
        <v>359</v>
      </c>
      <c r="C328" s="101" t="s">
        <v>43</v>
      </c>
      <c r="D328" s="101" t="s">
        <v>360</v>
      </c>
      <c r="E328" s="310">
        <f t="shared" ref="E328" si="261">F328</f>
        <v>1000000</v>
      </c>
      <c r="F328" s="425">
        <v>1000000</v>
      </c>
      <c r="G328" s="425"/>
      <c r="H328" s="425"/>
      <c r="I328" s="425"/>
      <c r="J328" s="310">
        <f>L328+O328</f>
        <v>0</v>
      </c>
      <c r="K328" s="425">
        <v>0</v>
      </c>
      <c r="L328" s="425"/>
      <c r="M328" s="425"/>
      <c r="N328" s="425"/>
      <c r="O328" s="422">
        <f>K328</f>
        <v>0</v>
      </c>
      <c r="P328" s="310">
        <f>E328+J328</f>
        <v>1000000</v>
      </c>
      <c r="Q328" s="20"/>
      <c r="R328" s="50"/>
    </row>
    <row r="329" spans="1:18" ht="120" customHeight="1" thickTop="1" thickBot="1" x14ac:dyDescent="0.25">
      <c r="A329" s="624" t="s">
        <v>25</v>
      </c>
      <c r="B329" s="624"/>
      <c r="C329" s="624"/>
      <c r="D329" s="625" t="s">
        <v>1291</v>
      </c>
      <c r="E329" s="626">
        <f>E330</f>
        <v>3805358</v>
      </c>
      <c r="F329" s="627">
        <f t="shared" ref="F329:G329" si="262">F330</f>
        <v>3805358</v>
      </c>
      <c r="G329" s="627">
        <f t="shared" si="262"/>
        <v>2726359</v>
      </c>
      <c r="H329" s="627">
        <f>H330</f>
        <v>129800</v>
      </c>
      <c r="I329" s="627">
        <f t="shared" ref="I329" si="263">I330</f>
        <v>0</v>
      </c>
      <c r="J329" s="626">
        <f>J330</f>
        <v>80277241.120000005</v>
      </c>
      <c r="K329" s="627">
        <f>K330</f>
        <v>80277241.120000005</v>
      </c>
      <c r="L329" s="627">
        <f>L330</f>
        <v>0</v>
      </c>
      <c r="M329" s="627">
        <f t="shared" ref="M329" si="264">M330</f>
        <v>0</v>
      </c>
      <c r="N329" s="627">
        <f>N330</f>
        <v>0</v>
      </c>
      <c r="O329" s="626">
        <f>O330</f>
        <v>80277241.120000005</v>
      </c>
      <c r="P329" s="627">
        <f t="shared" ref="P329" si="265">P330</f>
        <v>84082599.120000005</v>
      </c>
      <c r="Q329" s="20"/>
    </row>
    <row r="330" spans="1:18" ht="120" customHeight="1" thickTop="1" thickBot="1" x14ac:dyDescent="0.25">
      <c r="A330" s="588" t="s">
        <v>26</v>
      </c>
      <c r="B330" s="588"/>
      <c r="C330" s="588"/>
      <c r="D330" s="589" t="s">
        <v>874</v>
      </c>
      <c r="E330" s="590">
        <f t="shared" ref="E330:O330" si="266">E331+E343+E346+E337+E339+E335</f>
        <v>3805358</v>
      </c>
      <c r="F330" s="590">
        <f t="shared" si="266"/>
        <v>3805358</v>
      </c>
      <c r="G330" s="590">
        <f t="shared" si="266"/>
        <v>2726359</v>
      </c>
      <c r="H330" s="590">
        <f t="shared" si="266"/>
        <v>129800</v>
      </c>
      <c r="I330" s="590">
        <f t="shared" si="266"/>
        <v>0</v>
      </c>
      <c r="J330" s="590">
        <f t="shared" si="266"/>
        <v>80277241.120000005</v>
      </c>
      <c r="K330" s="590">
        <f t="shared" si="266"/>
        <v>80277241.120000005</v>
      </c>
      <c r="L330" s="590">
        <f t="shared" si="266"/>
        <v>0</v>
      </c>
      <c r="M330" s="590">
        <f t="shared" si="266"/>
        <v>0</v>
      </c>
      <c r="N330" s="590">
        <f t="shared" si="266"/>
        <v>0</v>
      </c>
      <c r="O330" s="590">
        <f t="shared" si="266"/>
        <v>80277241.120000005</v>
      </c>
      <c r="P330" s="590">
        <f>E330+J330</f>
        <v>84082599.120000005</v>
      </c>
      <c r="Q330" s="452" t="b">
        <f>P330=P332+P336+P341+P348+P345+P338</f>
        <v>1</v>
      </c>
      <c r="R330" s="46"/>
    </row>
    <row r="331" spans="1:18" ht="47.25" thickTop="1" thickBot="1" x14ac:dyDescent="0.25">
      <c r="A331" s="298" t="s">
        <v>798</v>
      </c>
      <c r="B331" s="298" t="s">
        <v>672</v>
      </c>
      <c r="C331" s="298"/>
      <c r="D331" s="298" t="s">
        <v>673</v>
      </c>
      <c r="E331" s="310">
        <f t="shared" ref="E331:P331" si="267">SUM(E332:E334)</f>
        <v>3805358</v>
      </c>
      <c r="F331" s="310">
        <f t="shared" si="267"/>
        <v>3805358</v>
      </c>
      <c r="G331" s="310">
        <f t="shared" si="267"/>
        <v>2726359</v>
      </c>
      <c r="H331" s="310">
        <f t="shared" si="267"/>
        <v>129800</v>
      </c>
      <c r="I331" s="310">
        <f t="shared" si="267"/>
        <v>0</v>
      </c>
      <c r="J331" s="310">
        <f t="shared" si="267"/>
        <v>0</v>
      </c>
      <c r="K331" s="310">
        <f t="shared" si="267"/>
        <v>0</v>
      </c>
      <c r="L331" s="310">
        <f t="shared" si="267"/>
        <v>0</v>
      </c>
      <c r="M331" s="310">
        <f t="shared" si="267"/>
        <v>0</v>
      </c>
      <c r="N331" s="310">
        <f t="shared" si="267"/>
        <v>0</v>
      </c>
      <c r="O331" s="310">
        <f t="shared" si="267"/>
        <v>0</v>
      </c>
      <c r="P331" s="310">
        <f t="shared" si="267"/>
        <v>3805358</v>
      </c>
      <c r="Q331" s="47"/>
      <c r="R331" s="46"/>
    </row>
    <row r="332" spans="1:18" ht="114.75" customHeight="1" thickTop="1" thickBot="1" x14ac:dyDescent="0.25">
      <c r="A332" s="101" t="s">
        <v>412</v>
      </c>
      <c r="B332" s="101" t="s">
        <v>235</v>
      </c>
      <c r="C332" s="101" t="s">
        <v>233</v>
      </c>
      <c r="D332" s="101" t="s">
        <v>234</v>
      </c>
      <c r="E332" s="310">
        <f>F332</f>
        <v>3805358</v>
      </c>
      <c r="F332" s="425">
        <f>(3770358)+35000</f>
        <v>3805358</v>
      </c>
      <c r="G332" s="425">
        <v>2726359</v>
      </c>
      <c r="H332" s="425">
        <v>129800</v>
      </c>
      <c r="I332" s="425"/>
      <c r="J332" s="310">
        <f t="shared" ref="J332:J349" si="268">L332+O332</f>
        <v>0</v>
      </c>
      <c r="K332" s="425"/>
      <c r="L332" s="425"/>
      <c r="M332" s="425"/>
      <c r="N332" s="425"/>
      <c r="O332" s="422">
        <f>K332</f>
        <v>0</v>
      </c>
      <c r="P332" s="310">
        <f t="shared" ref="P332:P349" si="269">E332+J332</f>
        <v>3805358</v>
      </c>
      <c r="Q332" s="47"/>
      <c r="R332" s="50"/>
    </row>
    <row r="333" spans="1:18" ht="93" hidden="1" thickTop="1" thickBot="1" x14ac:dyDescent="0.25">
      <c r="A333" s="126" t="s">
        <v>621</v>
      </c>
      <c r="B333" s="126" t="s">
        <v>358</v>
      </c>
      <c r="C333" s="126" t="s">
        <v>616</v>
      </c>
      <c r="D333" s="126" t="s">
        <v>617</v>
      </c>
      <c r="E333" s="150">
        <f>F333</f>
        <v>0</v>
      </c>
      <c r="F333" s="127">
        <v>0</v>
      </c>
      <c r="G333" s="127"/>
      <c r="H333" s="127"/>
      <c r="I333" s="127"/>
      <c r="J333" s="125">
        <f t="shared" si="268"/>
        <v>0</v>
      </c>
      <c r="K333" s="127"/>
      <c r="L333" s="128"/>
      <c r="M333" s="128"/>
      <c r="N333" s="128"/>
      <c r="O333" s="130">
        <f t="shared" ref="O333:O334" si="270">K333</f>
        <v>0</v>
      </c>
      <c r="P333" s="125">
        <f t="shared" ref="P333:P334" si="271">+J333+E333</f>
        <v>0</v>
      </c>
      <c r="Q333" s="47"/>
      <c r="R333" s="50"/>
    </row>
    <row r="334" spans="1:18" ht="48" hidden="1" thickTop="1" thickBot="1" x14ac:dyDescent="0.25">
      <c r="A334" s="126" t="s">
        <v>908</v>
      </c>
      <c r="B334" s="126" t="s">
        <v>43</v>
      </c>
      <c r="C334" s="126" t="s">
        <v>42</v>
      </c>
      <c r="D334" s="126" t="s">
        <v>246</v>
      </c>
      <c r="E334" s="125">
        <f>F334</f>
        <v>0</v>
      </c>
      <c r="F334" s="132">
        <v>0</v>
      </c>
      <c r="G334" s="132"/>
      <c r="H334" s="132"/>
      <c r="I334" s="132"/>
      <c r="J334" s="125">
        <f t="shared" si="268"/>
        <v>0</v>
      </c>
      <c r="K334" s="127"/>
      <c r="L334" s="128"/>
      <c r="M334" s="128"/>
      <c r="N334" s="128"/>
      <c r="O334" s="130">
        <f t="shared" si="270"/>
        <v>0</v>
      </c>
      <c r="P334" s="125">
        <f t="shared" si="271"/>
        <v>0</v>
      </c>
      <c r="Q334" s="47"/>
      <c r="R334" s="50"/>
    </row>
    <row r="335" spans="1:18" ht="63" customHeight="1" thickTop="1" thickBot="1" x14ac:dyDescent="0.25">
      <c r="A335" s="298" t="s">
        <v>1567</v>
      </c>
      <c r="B335" s="298" t="s">
        <v>695</v>
      </c>
      <c r="C335" s="298"/>
      <c r="D335" s="298" t="s">
        <v>696</v>
      </c>
      <c r="E335" s="310">
        <f>E336</f>
        <v>0</v>
      </c>
      <c r="F335" s="310">
        <f t="shared" ref="F335:P335" si="272">F336</f>
        <v>0</v>
      </c>
      <c r="G335" s="310">
        <f t="shared" si="272"/>
        <v>0</v>
      </c>
      <c r="H335" s="310">
        <f t="shared" si="272"/>
        <v>0</v>
      </c>
      <c r="I335" s="310">
        <f t="shared" si="272"/>
        <v>0</v>
      </c>
      <c r="J335" s="310">
        <f t="shared" si="272"/>
        <v>32746104</v>
      </c>
      <c r="K335" s="310">
        <f t="shared" si="272"/>
        <v>32746104</v>
      </c>
      <c r="L335" s="310">
        <f t="shared" si="272"/>
        <v>0</v>
      </c>
      <c r="M335" s="310">
        <f t="shared" si="272"/>
        <v>0</v>
      </c>
      <c r="N335" s="310">
        <f t="shared" si="272"/>
        <v>0</v>
      </c>
      <c r="O335" s="310">
        <f t="shared" si="272"/>
        <v>32746104</v>
      </c>
      <c r="P335" s="310">
        <f t="shared" si="272"/>
        <v>32746104</v>
      </c>
      <c r="Q335" s="47"/>
      <c r="R335" s="50"/>
    </row>
    <row r="336" spans="1:18" ht="82.5" customHeight="1" thickTop="1" thickBot="1" x14ac:dyDescent="0.25">
      <c r="A336" s="101" t="s">
        <v>1568</v>
      </c>
      <c r="B336" s="101" t="s">
        <v>1569</v>
      </c>
      <c r="C336" s="101" t="s">
        <v>209</v>
      </c>
      <c r="D336" s="101" t="s">
        <v>1570</v>
      </c>
      <c r="E336" s="299">
        <f>F336</f>
        <v>0</v>
      </c>
      <c r="F336" s="308">
        <v>0</v>
      </c>
      <c r="G336" s="308"/>
      <c r="H336" s="308"/>
      <c r="I336" s="308"/>
      <c r="J336" s="310">
        <f t="shared" ref="J336" si="273">L336+O336</f>
        <v>32746104</v>
      </c>
      <c r="K336" s="308">
        <f>((18532009)+10000000+100000)+4114095</f>
        <v>32746104</v>
      </c>
      <c r="L336" s="421"/>
      <c r="M336" s="421"/>
      <c r="N336" s="421"/>
      <c r="O336" s="422">
        <f t="shared" ref="O336" si="274">K336</f>
        <v>32746104</v>
      </c>
      <c r="P336" s="310">
        <f t="shared" ref="P336" si="275">+J336+E336</f>
        <v>32746104</v>
      </c>
      <c r="Q336" s="47"/>
      <c r="R336" s="50"/>
    </row>
    <row r="337" spans="1:18" s="721" customFormat="1" ht="75.75" hidden="1" customHeight="1" thickTop="1" thickBot="1" x14ac:dyDescent="0.25">
      <c r="A337" s="718" t="s">
        <v>1194</v>
      </c>
      <c r="B337" s="718" t="s">
        <v>698</v>
      </c>
      <c r="C337" s="718"/>
      <c r="D337" s="718" t="s">
        <v>699</v>
      </c>
      <c r="E337" s="710">
        <f t="shared" ref="E337:P337" si="276">SUM(E338:E338)</f>
        <v>0</v>
      </c>
      <c r="F337" s="710">
        <f t="shared" si="276"/>
        <v>0</v>
      </c>
      <c r="G337" s="710">
        <f t="shared" si="276"/>
        <v>0</v>
      </c>
      <c r="H337" s="710">
        <f t="shared" si="276"/>
        <v>0</v>
      </c>
      <c r="I337" s="710">
        <f t="shared" si="276"/>
        <v>0</v>
      </c>
      <c r="J337" s="710">
        <f t="shared" si="276"/>
        <v>0</v>
      </c>
      <c r="K337" s="710">
        <f t="shared" si="276"/>
        <v>0</v>
      </c>
      <c r="L337" s="710">
        <f t="shared" si="276"/>
        <v>0</v>
      </c>
      <c r="M337" s="710">
        <f t="shared" si="276"/>
        <v>0</v>
      </c>
      <c r="N337" s="710">
        <f t="shared" si="276"/>
        <v>0</v>
      </c>
      <c r="O337" s="710">
        <f t="shared" si="276"/>
        <v>0</v>
      </c>
      <c r="P337" s="710">
        <f t="shared" si="276"/>
        <v>0</v>
      </c>
      <c r="Q337" s="719"/>
      <c r="R337" s="720"/>
    </row>
    <row r="338" spans="1:18" s="721" customFormat="1" ht="114.75" hidden="1" customHeight="1" thickTop="1" thickBot="1" x14ac:dyDescent="0.25">
      <c r="A338" s="709" t="s">
        <v>1195</v>
      </c>
      <c r="B338" s="709" t="s">
        <v>1159</v>
      </c>
      <c r="C338" s="709" t="s">
        <v>205</v>
      </c>
      <c r="D338" s="716" t="s">
        <v>1679</v>
      </c>
      <c r="E338" s="710">
        <f t="shared" ref="E338" si="277">F338</f>
        <v>0</v>
      </c>
      <c r="F338" s="711">
        <v>0</v>
      </c>
      <c r="G338" s="711"/>
      <c r="H338" s="711"/>
      <c r="I338" s="711"/>
      <c r="J338" s="710">
        <f>L338+O338</f>
        <v>0</v>
      </c>
      <c r="K338" s="711">
        <f>((0)+1000000)-1000000</f>
        <v>0</v>
      </c>
      <c r="L338" s="711"/>
      <c r="M338" s="711"/>
      <c r="N338" s="711"/>
      <c r="O338" s="712">
        <f>K338</f>
        <v>0</v>
      </c>
      <c r="P338" s="710">
        <f>E338+J338</f>
        <v>0</v>
      </c>
      <c r="Q338" s="719"/>
      <c r="R338" s="720"/>
    </row>
    <row r="339" spans="1:18" ht="47.25" thickTop="1" thickBot="1" x14ac:dyDescent="0.25">
      <c r="A339" s="298" t="s">
        <v>1573</v>
      </c>
      <c r="B339" s="298" t="s">
        <v>742</v>
      </c>
      <c r="C339" s="298"/>
      <c r="D339" s="298" t="s">
        <v>743</v>
      </c>
      <c r="E339" s="310">
        <f>E340</f>
        <v>0</v>
      </c>
      <c r="F339" s="310">
        <f t="shared" ref="F339:P340" si="278">F340</f>
        <v>0</v>
      </c>
      <c r="G339" s="310">
        <f t="shared" si="278"/>
        <v>0</v>
      </c>
      <c r="H339" s="310">
        <f t="shared" si="278"/>
        <v>0</v>
      </c>
      <c r="I339" s="310">
        <f t="shared" si="278"/>
        <v>0</v>
      </c>
      <c r="J339" s="310">
        <f t="shared" si="278"/>
        <v>2222440</v>
      </c>
      <c r="K339" s="310">
        <f t="shared" si="278"/>
        <v>2222440</v>
      </c>
      <c r="L339" s="310">
        <f t="shared" si="278"/>
        <v>0</v>
      </c>
      <c r="M339" s="310">
        <f t="shared" si="278"/>
        <v>0</v>
      </c>
      <c r="N339" s="310">
        <f t="shared" si="278"/>
        <v>0</v>
      </c>
      <c r="O339" s="310">
        <f t="shared" si="278"/>
        <v>2222440</v>
      </c>
      <c r="P339" s="310">
        <f t="shared" si="278"/>
        <v>2222440</v>
      </c>
      <c r="Q339" s="47"/>
      <c r="R339" s="50"/>
    </row>
    <row r="340" spans="1:18" ht="72" customHeight="1" thickTop="1" thickBot="1" x14ac:dyDescent="0.25">
      <c r="A340" s="598" t="s">
        <v>1574</v>
      </c>
      <c r="B340" s="598" t="s">
        <v>745</v>
      </c>
      <c r="C340" s="598"/>
      <c r="D340" s="600" t="s">
        <v>746</v>
      </c>
      <c r="E340" s="595">
        <f>E341</f>
        <v>0</v>
      </c>
      <c r="F340" s="595">
        <f t="shared" si="278"/>
        <v>0</v>
      </c>
      <c r="G340" s="595">
        <f t="shared" si="278"/>
        <v>0</v>
      </c>
      <c r="H340" s="595">
        <f t="shared" si="278"/>
        <v>0</v>
      </c>
      <c r="I340" s="595">
        <f t="shared" si="278"/>
        <v>0</v>
      </c>
      <c r="J340" s="595">
        <f t="shared" si="278"/>
        <v>2222440</v>
      </c>
      <c r="K340" s="595">
        <f t="shared" si="278"/>
        <v>2222440</v>
      </c>
      <c r="L340" s="595">
        <f t="shared" si="278"/>
        <v>0</v>
      </c>
      <c r="M340" s="595">
        <f t="shared" si="278"/>
        <v>0</v>
      </c>
      <c r="N340" s="595">
        <f t="shared" si="278"/>
        <v>0</v>
      </c>
      <c r="O340" s="595">
        <f t="shared" si="278"/>
        <v>2222440</v>
      </c>
      <c r="P340" s="595">
        <f t="shared" si="278"/>
        <v>2222440</v>
      </c>
      <c r="Q340" s="47"/>
      <c r="R340" s="50"/>
    </row>
    <row r="341" spans="1:18" ht="72.75" customHeight="1" thickTop="1" thickBot="1" x14ac:dyDescent="0.25">
      <c r="A341" s="101" t="s">
        <v>1576</v>
      </c>
      <c r="B341" s="101" t="s">
        <v>1577</v>
      </c>
      <c r="C341" s="101" t="s">
        <v>181</v>
      </c>
      <c r="D341" s="600" t="s">
        <v>1575</v>
      </c>
      <c r="E341" s="310">
        <f>F341</f>
        <v>0</v>
      </c>
      <c r="F341" s="425"/>
      <c r="G341" s="425"/>
      <c r="H341" s="425"/>
      <c r="I341" s="425"/>
      <c r="J341" s="310">
        <f t="shared" ref="J341" si="279">L341+O341</f>
        <v>2222440</v>
      </c>
      <c r="K341" s="425">
        <f>(200000)+2022440</f>
        <v>2222440</v>
      </c>
      <c r="L341" s="425"/>
      <c r="M341" s="425"/>
      <c r="N341" s="425"/>
      <c r="O341" s="422">
        <f>K341</f>
        <v>2222440</v>
      </c>
      <c r="P341" s="310">
        <f t="shared" ref="P341" si="280">E341+J341</f>
        <v>2222440</v>
      </c>
      <c r="Q341" s="47"/>
      <c r="R341" s="50"/>
    </row>
    <row r="342" spans="1:18" ht="48" hidden="1" thickTop="1" thickBot="1" x14ac:dyDescent="0.25">
      <c r="A342" s="126"/>
      <c r="B342" s="126"/>
      <c r="C342" s="126"/>
      <c r="D342" s="369"/>
      <c r="E342" s="125"/>
      <c r="F342" s="132"/>
      <c r="G342" s="132"/>
      <c r="H342" s="132"/>
      <c r="I342" s="132"/>
      <c r="J342" s="125"/>
      <c r="K342" s="132"/>
      <c r="L342" s="132"/>
      <c r="M342" s="132"/>
      <c r="N342" s="132"/>
      <c r="O342" s="130"/>
      <c r="P342" s="125"/>
      <c r="Q342" s="47"/>
      <c r="R342" s="50"/>
    </row>
    <row r="343" spans="1:18" ht="47.25" thickTop="1" thickBot="1" x14ac:dyDescent="0.25">
      <c r="A343" s="298" t="s">
        <v>799</v>
      </c>
      <c r="B343" s="298" t="s">
        <v>756</v>
      </c>
      <c r="C343" s="101"/>
      <c r="D343" s="298" t="s">
        <v>757</v>
      </c>
      <c r="E343" s="299">
        <f>E344</f>
        <v>0</v>
      </c>
      <c r="F343" s="299">
        <f t="shared" ref="F343:P344" si="281">F344</f>
        <v>0</v>
      </c>
      <c r="G343" s="299">
        <f t="shared" si="281"/>
        <v>0</v>
      </c>
      <c r="H343" s="299">
        <f t="shared" si="281"/>
        <v>0</v>
      </c>
      <c r="I343" s="299">
        <f t="shared" si="281"/>
        <v>0</v>
      </c>
      <c r="J343" s="299">
        <f t="shared" si="281"/>
        <v>2528649</v>
      </c>
      <c r="K343" s="299">
        <f t="shared" si="281"/>
        <v>2528649</v>
      </c>
      <c r="L343" s="299">
        <f t="shared" si="281"/>
        <v>0</v>
      </c>
      <c r="M343" s="299">
        <f t="shared" si="281"/>
        <v>0</v>
      </c>
      <c r="N343" s="299">
        <f t="shared" si="281"/>
        <v>0</v>
      </c>
      <c r="O343" s="299">
        <f t="shared" si="281"/>
        <v>2528649</v>
      </c>
      <c r="P343" s="299">
        <f t="shared" si="281"/>
        <v>2528649</v>
      </c>
      <c r="Q343" s="47"/>
      <c r="R343" s="50"/>
    </row>
    <row r="344" spans="1:18" ht="82.5" customHeight="1" thickTop="1" thickBot="1" x14ac:dyDescent="0.25">
      <c r="A344" s="598" t="s">
        <v>800</v>
      </c>
      <c r="B344" s="598" t="s">
        <v>801</v>
      </c>
      <c r="C344" s="598"/>
      <c r="D344" s="598" t="s">
        <v>802</v>
      </c>
      <c r="E344" s="610">
        <f>E345</f>
        <v>0</v>
      </c>
      <c r="F344" s="610">
        <f t="shared" si="281"/>
        <v>0</v>
      </c>
      <c r="G344" s="610">
        <f t="shared" si="281"/>
        <v>0</v>
      </c>
      <c r="H344" s="610">
        <f t="shared" si="281"/>
        <v>0</v>
      </c>
      <c r="I344" s="610">
        <f t="shared" si="281"/>
        <v>0</v>
      </c>
      <c r="J344" s="610">
        <f t="shared" si="281"/>
        <v>2528649</v>
      </c>
      <c r="K344" s="610">
        <f t="shared" si="281"/>
        <v>2528649</v>
      </c>
      <c r="L344" s="610">
        <f t="shared" si="281"/>
        <v>0</v>
      </c>
      <c r="M344" s="610">
        <f t="shared" si="281"/>
        <v>0</v>
      </c>
      <c r="N344" s="610">
        <f t="shared" si="281"/>
        <v>0</v>
      </c>
      <c r="O344" s="610">
        <f t="shared" si="281"/>
        <v>2528649</v>
      </c>
      <c r="P344" s="610">
        <f t="shared" si="281"/>
        <v>2528649</v>
      </c>
      <c r="Q344" s="47"/>
      <c r="R344" s="50"/>
    </row>
    <row r="345" spans="1:18" ht="184.5" thickTop="1" thickBot="1" x14ac:dyDescent="0.25">
      <c r="A345" s="101" t="s">
        <v>428</v>
      </c>
      <c r="B345" s="101" t="s">
        <v>429</v>
      </c>
      <c r="C345" s="101" t="s">
        <v>194</v>
      </c>
      <c r="D345" s="101" t="s">
        <v>1138</v>
      </c>
      <c r="E345" s="310">
        <f t="shared" ref="E345" si="282">F345</f>
        <v>0</v>
      </c>
      <c r="F345" s="425"/>
      <c r="G345" s="425"/>
      <c r="H345" s="425"/>
      <c r="I345" s="425"/>
      <c r="J345" s="310">
        <f t="shared" si="268"/>
        <v>2528649</v>
      </c>
      <c r="K345" s="425">
        <f>((0)+100000)+2428649</f>
        <v>2528649</v>
      </c>
      <c r="L345" s="425"/>
      <c r="M345" s="425"/>
      <c r="N345" s="425"/>
      <c r="O345" s="422">
        <f t="shared" ref="O345" si="283">K345</f>
        <v>2528649</v>
      </c>
      <c r="P345" s="310">
        <f t="shared" si="269"/>
        <v>2528649</v>
      </c>
      <c r="Q345" s="47"/>
      <c r="R345" s="46"/>
    </row>
    <row r="346" spans="1:18" ht="47.25" thickTop="1" thickBot="1" x14ac:dyDescent="0.25">
      <c r="A346" s="298" t="s">
        <v>803</v>
      </c>
      <c r="B346" s="298" t="s">
        <v>735</v>
      </c>
      <c r="C346" s="101"/>
      <c r="D346" s="298" t="s">
        <v>780</v>
      </c>
      <c r="E346" s="310">
        <f t="shared" ref="E346:P346" si="284">E347+E350</f>
        <v>0</v>
      </c>
      <c r="F346" s="310">
        <f t="shared" si="284"/>
        <v>0</v>
      </c>
      <c r="G346" s="310">
        <f t="shared" si="284"/>
        <v>0</v>
      </c>
      <c r="H346" s="310">
        <f t="shared" si="284"/>
        <v>0</v>
      </c>
      <c r="I346" s="310">
        <f t="shared" si="284"/>
        <v>0</v>
      </c>
      <c r="J346" s="310">
        <f t="shared" si="284"/>
        <v>42780048.119999997</v>
      </c>
      <c r="K346" s="310">
        <f t="shared" si="284"/>
        <v>42780048.119999997</v>
      </c>
      <c r="L346" s="310">
        <f t="shared" si="284"/>
        <v>0</v>
      </c>
      <c r="M346" s="310">
        <f t="shared" si="284"/>
        <v>0</v>
      </c>
      <c r="N346" s="310">
        <f t="shared" si="284"/>
        <v>0</v>
      </c>
      <c r="O346" s="310">
        <f t="shared" si="284"/>
        <v>42780048.119999997</v>
      </c>
      <c r="P346" s="310">
        <f t="shared" si="284"/>
        <v>42780048.119999997</v>
      </c>
      <c r="Q346" s="45"/>
      <c r="R346" s="46"/>
    </row>
    <row r="347" spans="1:18" ht="47.25" thickTop="1" thickBot="1" x14ac:dyDescent="0.25">
      <c r="A347" s="593" t="s">
        <v>804</v>
      </c>
      <c r="B347" s="593" t="s">
        <v>788</v>
      </c>
      <c r="C347" s="593"/>
      <c r="D347" s="593" t="s">
        <v>1623</v>
      </c>
      <c r="E347" s="595">
        <f>E348</f>
        <v>0</v>
      </c>
      <c r="F347" s="595">
        <f t="shared" ref="F347:P347" si="285">F348</f>
        <v>0</v>
      </c>
      <c r="G347" s="595">
        <f t="shared" si="285"/>
        <v>0</v>
      </c>
      <c r="H347" s="595">
        <f t="shared" si="285"/>
        <v>0</v>
      </c>
      <c r="I347" s="595">
        <f t="shared" si="285"/>
        <v>0</v>
      </c>
      <c r="J347" s="595">
        <f t="shared" si="285"/>
        <v>42780048.119999997</v>
      </c>
      <c r="K347" s="595">
        <f t="shared" si="285"/>
        <v>42780048.119999997</v>
      </c>
      <c r="L347" s="595">
        <f t="shared" si="285"/>
        <v>0</v>
      </c>
      <c r="M347" s="595">
        <f t="shared" si="285"/>
        <v>0</v>
      </c>
      <c r="N347" s="595">
        <f t="shared" si="285"/>
        <v>0</v>
      </c>
      <c r="O347" s="595">
        <f t="shared" si="285"/>
        <v>42780048.119999997</v>
      </c>
      <c r="P347" s="595">
        <f t="shared" si="285"/>
        <v>42780048.119999997</v>
      </c>
      <c r="Q347" s="45"/>
      <c r="R347" s="46"/>
    </row>
    <row r="348" spans="1:18" ht="54" thickTop="1" thickBot="1" x14ac:dyDescent="0.3">
      <c r="A348" s="101" t="s">
        <v>312</v>
      </c>
      <c r="B348" s="101" t="s">
        <v>313</v>
      </c>
      <c r="C348" s="101" t="s">
        <v>302</v>
      </c>
      <c r="D348" s="101" t="s">
        <v>1572</v>
      </c>
      <c r="E348" s="310">
        <f>F348</f>
        <v>0</v>
      </c>
      <c r="F348" s="425"/>
      <c r="G348" s="425"/>
      <c r="H348" s="425"/>
      <c r="I348" s="425"/>
      <c r="J348" s="310">
        <f t="shared" si="268"/>
        <v>42780048.119999997</v>
      </c>
      <c r="K348" s="425">
        <f>((6100000)+21823304.2)+14856743.92</f>
        <v>42780048.119999997</v>
      </c>
      <c r="L348" s="425"/>
      <c r="M348" s="425"/>
      <c r="N348" s="425"/>
      <c r="O348" s="422">
        <f>K348</f>
        <v>42780048.119999997</v>
      </c>
      <c r="P348" s="310">
        <f t="shared" si="269"/>
        <v>42780048.119999997</v>
      </c>
      <c r="Q348" s="159"/>
      <c r="R348" s="46"/>
    </row>
    <row r="349" spans="1:18" ht="48" hidden="1" thickTop="1" thickBot="1" x14ac:dyDescent="0.25">
      <c r="A349" s="41" t="s">
        <v>432</v>
      </c>
      <c r="B349" s="41" t="s">
        <v>347</v>
      </c>
      <c r="C349" s="41" t="s">
        <v>169</v>
      </c>
      <c r="D349" s="41" t="s">
        <v>260</v>
      </c>
      <c r="E349" s="42">
        <f>F349</f>
        <v>0</v>
      </c>
      <c r="F349" s="43"/>
      <c r="G349" s="43"/>
      <c r="H349" s="43"/>
      <c r="I349" s="43"/>
      <c r="J349" s="42">
        <f t="shared" si="268"/>
        <v>0</v>
      </c>
      <c r="K349" s="43">
        <v>0</v>
      </c>
      <c r="L349" s="43"/>
      <c r="M349" s="43"/>
      <c r="N349" s="43"/>
      <c r="O349" s="44">
        <f>K349</f>
        <v>0</v>
      </c>
      <c r="P349" s="42">
        <f t="shared" si="269"/>
        <v>0</v>
      </c>
      <c r="Q349" s="20"/>
      <c r="R349" s="46"/>
    </row>
    <row r="350" spans="1:18" ht="47.25" hidden="1" thickTop="1" thickBot="1" x14ac:dyDescent="0.25">
      <c r="A350" s="134" t="s">
        <v>966</v>
      </c>
      <c r="B350" s="134" t="s">
        <v>679</v>
      </c>
      <c r="C350" s="134"/>
      <c r="D350" s="134" t="s">
        <v>677</v>
      </c>
      <c r="E350" s="156">
        <f>E351</f>
        <v>0</v>
      </c>
      <c r="F350" s="156">
        <f>F351</f>
        <v>0</v>
      </c>
      <c r="G350" s="156">
        <f>G351</f>
        <v>0</v>
      </c>
      <c r="H350" s="156">
        <f>H351</f>
        <v>0</v>
      </c>
      <c r="I350" s="156">
        <f>I351</f>
        <v>0</v>
      </c>
      <c r="J350" s="156">
        <f t="shared" ref="J350:O350" si="286">J351</f>
        <v>0</v>
      </c>
      <c r="K350" s="156">
        <f t="shared" si="286"/>
        <v>0</v>
      </c>
      <c r="L350" s="156">
        <f t="shared" si="286"/>
        <v>0</v>
      </c>
      <c r="M350" s="156">
        <f t="shared" si="286"/>
        <v>0</v>
      </c>
      <c r="N350" s="156">
        <f t="shared" si="286"/>
        <v>0</v>
      </c>
      <c r="O350" s="156">
        <f t="shared" si="286"/>
        <v>0</v>
      </c>
      <c r="P350" s="156">
        <f>P351</f>
        <v>0</v>
      </c>
      <c r="Q350" s="20"/>
      <c r="R350" s="46"/>
    </row>
    <row r="351" spans="1:18" ht="48" hidden="1" thickTop="1" thickBot="1" x14ac:dyDescent="0.25">
      <c r="A351" s="138" t="s">
        <v>967</v>
      </c>
      <c r="B351" s="138" t="s">
        <v>682</v>
      </c>
      <c r="C351" s="138"/>
      <c r="D351" s="138" t="s">
        <v>783</v>
      </c>
      <c r="E351" s="155">
        <f>E352+E354</f>
        <v>0</v>
      </c>
      <c r="F351" s="155">
        <f t="shared" ref="F351:P351" si="287">F352+F354</f>
        <v>0</v>
      </c>
      <c r="G351" s="155">
        <f t="shared" si="287"/>
        <v>0</v>
      </c>
      <c r="H351" s="155">
        <f t="shared" si="287"/>
        <v>0</v>
      </c>
      <c r="I351" s="155">
        <f t="shared" si="287"/>
        <v>0</v>
      </c>
      <c r="J351" s="155">
        <f t="shared" si="287"/>
        <v>0</v>
      </c>
      <c r="K351" s="155">
        <f t="shared" si="287"/>
        <v>0</v>
      </c>
      <c r="L351" s="155">
        <f t="shared" si="287"/>
        <v>0</v>
      </c>
      <c r="M351" s="155">
        <f t="shared" si="287"/>
        <v>0</v>
      </c>
      <c r="N351" s="155">
        <f t="shared" si="287"/>
        <v>0</v>
      </c>
      <c r="O351" s="155">
        <f t="shared" si="287"/>
        <v>0</v>
      </c>
      <c r="P351" s="155">
        <f t="shared" si="287"/>
        <v>0</v>
      </c>
      <c r="Q351" s="20"/>
      <c r="R351" s="46"/>
    </row>
    <row r="352" spans="1:18" ht="184.5" hidden="1" thickTop="1" thickBot="1" x14ac:dyDescent="0.7">
      <c r="A352" s="811" t="s">
        <v>968</v>
      </c>
      <c r="B352" s="811" t="s">
        <v>335</v>
      </c>
      <c r="C352" s="811" t="s">
        <v>169</v>
      </c>
      <c r="D352" s="160" t="s">
        <v>435</v>
      </c>
      <c r="E352" s="812">
        <f t="shared" ref="E352" si="288">F352</f>
        <v>0</v>
      </c>
      <c r="F352" s="782"/>
      <c r="G352" s="782"/>
      <c r="H352" s="782"/>
      <c r="I352" s="782"/>
      <c r="J352" s="812">
        <f t="shared" ref="J352" si="289">L352+O352</f>
        <v>0</v>
      </c>
      <c r="K352" s="782"/>
      <c r="L352" s="782"/>
      <c r="M352" s="782"/>
      <c r="N352" s="782"/>
      <c r="O352" s="783">
        <f>K352</f>
        <v>0</v>
      </c>
      <c r="P352" s="810">
        <f>E352+J352</f>
        <v>0</v>
      </c>
      <c r="Q352" s="20"/>
      <c r="R352" s="46"/>
    </row>
    <row r="353" spans="1:18" ht="93" hidden="1" thickTop="1" thickBot="1" x14ac:dyDescent="0.25">
      <c r="A353" s="811"/>
      <c r="B353" s="811"/>
      <c r="C353" s="811"/>
      <c r="D353" s="161" t="s">
        <v>436</v>
      </c>
      <c r="E353" s="812"/>
      <c r="F353" s="782"/>
      <c r="G353" s="782"/>
      <c r="H353" s="782"/>
      <c r="I353" s="782"/>
      <c r="J353" s="812"/>
      <c r="K353" s="782"/>
      <c r="L353" s="782"/>
      <c r="M353" s="782"/>
      <c r="N353" s="782"/>
      <c r="O353" s="783"/>
      <c r="P353" s="810"/>
      <c r="Q353" s="20"/>
      <c r="R353" s="46"/>
    </row>
    <row r="354" spans="1:18" ht="48" hidden="1" thickTop="1" thickBot="1" x14ac:dyDescent="0.25">
      <c r="A354" s="126" t="s">
        <v>1152</v>
      </c>
      <c r="B354" s="126" t="s">
        <v>255</v>
      </c>
      <c r="C354" s="126" t="s">
        <v>169</v>
      </c>
      <c r="D354" s="153" t="s">
        <v>253</v>
      </c>
      <c r="E354" s="125">
        <f>F354</f>
        <v>0</v>
      </c>
      <c r="F354" s="132"/>
      <c r="G354" s="132"/>
      <c r="H354" s="132"/>
      <c r="I354" s="132"/>
      <c r="J354" s="125">
        <f t="shared" ref="J354" si="290">L354+O354</f>
        <v>0</v>
      </c>
      <c r="K354" s="132"/>
      <c r="L354" s="132"/>
      <c r="M354" s="132"/>
      <c r="N354" s="132"/>
      <c r="O354" s="130">
        <f>K354</f>
        <v>0</v>
      </c>
      <c r="P354" s="125">
        <f t="shared" ref="P354" si="291">E354+J354</f>
        <v>0</v>
      </c>
      <c r="Q354" s="20"/>
      <c r="R354" s="46"/>
    </row>
    <row r="355" spans="1:18" ht="120" customHeight="1" thickTop="1" thickBot="1" x14ac:dyDescent="0.25">
      <c r="A355" s="624" t="s">
        <v>159</v>
      </c>
      <c r="B355" s="624"/>
      <c r="C355" s="624"/>
      <c r="D355" s="625" t="s">
        <v>875</v>
      </c>
      <c r="E355" s="626">
        <f>E356</f>
        <v>8959407</v>
      </c>
      <c r="F355" s="627">
        <f t="shared" ref="F355:G355" si="292">F356</f>
        <v>8959407</v>
      </c>
      <c r="G355" s="627">
        <f t="shared" si="292"/>
        <v>6740040</v>
      </c>
      <c r="H355" s="627">
        <f>H356</f>
        <v>341559</v>
      </c>
      <c r="I355" s="627">
        <f t="shared" ref="I355" si="293">I356</f>
        <v>0</v>
      </c>
      <c r="J355" s="626">
        <f>J356</f>
        <v>137700</v>
      </c>
      <c r="K355" s="627">
        <f>K356</f>
        <v>137700</v>
      </c>
      <c r="L355" s="627">
        <f>L356</f>
        <v>0</v>
      </c>
      <c r="M355" s="627">
        <f t="shared" ref="M355" si="294">M356</f>
        <v>0</v>
      </c>
      <c r="N355" s="627">
        <f>N356</f>
        <v>0</v>
      </c>
      <c r="O355" s="626">
        <f>O356</f>
        <v>137700</v>
      </c>
      <c r="P355" s="627">
        <f t="shared" ref="P355" si="295">P356</f>
        <v>9097107</v>
      </c>
      <c r="Q355" s="20"/>
    </row>
    <row r="356" spans="1:18" ht="120" customHeight="1" thickTop="1" thickBot="1" x14ac:dyDescent="0.25">
      <c r="A356" s="588" t="s">
        <v>160</v>
      </c>
      <c r="B356" s="588"/>
      <c r="C356" s="588"/>
      <c r="D356" s="589" t="s">
        <v>876</v>
      </c>
      <c r="E356" s="590">
        <f>E357+E361</f>
        <v>8959407</v>
      </c>
      <c r="F356" s="590">
        <f>F357+F361</f>
        <v>8959407</v>
      </c>
      <c r="G356" s="590">
        <f>G357+G361</f>
        <v>6740040</v>
      </c>
      <c r="H356" s="590">
        <f>H357+H361</f>
        <v>341559</v>
      </c>
      <c r="I356" s="590">
        <f>I357+I361</f>
        <v>0</v>
      </c>
      <c r="J356" s="590">
        <f>L356+O356</f>
        <v>137700</v>
      </c>
      <c r="K356" s="590">
        <f>K357+K361</f>
        <v>137700</v>
      </c>
      <c r="L356" s="590">
        <f>L357+L361</f>
        <v>0</v>
      </c>
      <c r="M356" s="590">
        <f>M357+M361</f>
        <v>0</v>
      </c>
      <c r="N356" s="590">
        <f>N357+N361</f>
        <v>0</v>
      </c>
      <c r="O356" s="590">
        <f>O357+O361</f>
        <v>137700</v>
      </c>
      <c r="P356" s="590">
        <f>E356+J356</f>
        <v>9097107</v>
      </c>
      <c r="Q356" s="452" t="b">
        <f>P356=P358+P364+P363</f>
        <v>1</v>
      </c>
      <c r="R356" s="46"/>
    </row>
    <row r="357" spans="1:18" ht="47.25" thickTop="1" thickBot="1" x14ac:dyDescent="0.25">
      <c r="A357" s="298" t="s">
        <v>806</v>
      </c>
      <c r="B357" s="298" t="s">
        <v>672</v>
      </c>
      <c r="C357" s="298"/>
      <c r="D357" s="298" t="s">
        <v>673</v>
      </c>
      <c r="E357" s="310">
        <f>SUM(E358:E360)</f>
        <v>8959407</v>
      </c>
      <c r="F357" s="310">
        <f t="shared" ref="F357:N357" si="296">SUM(F358:F360)</f>
        <v>8959407</v>
      </c>
      <c r="G357" s="310">
        <f t="shared" si="296"/>
        <v>6740040</v>
      </c>
      <c r="H357" s="310">
        <f t="shared" si="296"/>
        <v>341559</v>
      </c>
      <c r="I357" s="310">
        <f t="shared" si="296"/>
        <v>0</v>
      </c>
      <c r="J357" s="310">
        <f t="shared" si="296"/>
        <v>37700</v>
      </c>
      <c r="K357" s="310">
        <f t="shared" si="296"/>
        <v>37700</v>
      </c>
      <c r="L357" s="310">
        <f t="shared" si="296"/>
        <v>0</v>
      </c>
      <c r="M357" s="310">
        <f t="shared" si="296"/>
        <v>0</v>
      </c>
      <c r="N357" s="310">
        <f t="shared" si="296"/>
        <v>0</v>
      </c>
      <c r="O357" s="310">
        <f>SUM(O358:O360)</f>
        <v>37700</v>
      </c>
      <c r="P357" s="310">
        <f>SUM(P358:P360)</f>
        <v>8997107</v>
      </c>
      <c r="Q357" s="47"/>
      <c r="R357" s="46"/>
    </row>
    <row r="358" spans="1:18" ht="93" thickTop="1" thickBot="1" x14ac:dyDescent="0.25">
      <c r="A358" s="101" t="s">
        <v>414</v>
      </c>
      <c r="B358" s="101" t="s">
        <v>235</v>
      </c>
      <c r="C358" s="101" t="s">
        <v>233</v>
      </c>
      <c r="D358" s="101" t="s">
        <v>234</v>
      </c>
      <c r="E358" s="310">
        <f>F358</f>
        <v>8959407</v>
      </c>
      <c r="F358" s="425">
        <v>8959407</v>
      </c>
      <c r="G358" s="425">
        <v>6740040</v>
      </c>
      <c r="H358" s="425">
        <v>341559</v>
      </c>
      <c r="I358" s="425"/>
      <c r="J358" s="310">
        <f>L358+O358</f>
        <v>37700</v>
      </c>
      <c r="K358" s="425">
        <f>(0)+37700</f>
        <v>37700</v>
      </c>
      <c r="L358" s="425"/>
      <c r="M358" s="425"/>
      <c r="N358" s="425"/>
      <c r="O358" s="422">
        <f>K358</f>
        <v>37700</v>
      </c>
      <c r="P358" s="310">
        <f>E358+J358</f>
        <v>8997107</v>
      </c>
      <c r="Q358" s="47"/>
      <c r="R358" s="46"/>
    </row>
    <row r="359" spans="1:18" ht="93" hidden="1" thickTop="1" thickBot="1" x14ac:dyDescent="0.25">
      <c r="A359" s="126" t="s">
        <v>622</v>
      </c>
      <c r="B359" s="126" t="s">
        <v>358</v>
      </c>
      <c r="C359" s="126" t="s">
        <v>616</v>
      </c>
      <c r="D359" s="126" t="s">
        <v>617</v>
      </c>
      <c r="E359" s="150">
        <f>F359</f>
        <v>0</v>
      </c>
      <c r="F359" s="127"/>
      <c r="G359" s="127"/>
      <c r="H359" s="127"/>
      <c r="I359" s="127"/>
      <c r="J359" s="125">
        <f t="shared" ref="J359:J360" si="297">L359+O359</f>
        <v>0</v>
      </c>
      <c r="K359" s="127"/>
      <c r="L359" s="128"/>
      <c r="M359" s="128"/>
      <c r="N359" s="128"/>
      <c r="O359" s="130">
        <f t="shared" ref="O359:O360" si="298">K359</f>
        <v>0</v>
      </c>
      <c r="P359" s="125">
        <f t="shared" ref="P359" si="299">+J359+E359</f>
        <v>0</v>
      </c>
      <c r="Q359" s="47"/>
      <c r="R359" s="46"/>
    </row>
    <row r="360" spans="1:18" ht="48" hidden="1" thickTop="1" thickBot="1" x14ac:dyDescent="0.25">
      <c r="A360" s="126" t="s">
        <v>1218</v>
      </c>
      <c r="B360" s="126" t="s">
        <v>43</v>
      </c>
      <c r="C360" s="126" t="s">
        <v>42</v>
      </c>
      <c r="D360" s="126" t="s">
        <v>246</v>
      </c>
      <c r="E360" s="125">
        <f t="shared" ref="E360" si="300">F360</f>
        <v>0</v>
      </c>
      <c r="F360" s="132"/>
      <c r="G360" s="132"/>
      <c r="H360" s="132"/>
      <c r="I360" s="132"/>
      <c r="J360" s="125">
        <f t="shared" si="297"/>
        <v>0</v>
      </c>
      <c r="K360" s="132"/>
      <c r="L360" s="132"/>
      <c r="M360" s="132"/>
      <c r="N360" s="132"/>
      <c r="O360" s="130">
        <f t="shared" si="298"/>
        <v>0</v>
      </c>
      <c r="P360" s="125">
        <f>E360+J360</f>
        <v>0</v>
      </c>
      <c r="Q360" s="47"/>
      <c r="R360" s="46"/>
    </row>
    <row r="361" spans="1:18" ht="47.25" thickTop="1" thickBot="1" x14ac:dyDescent="0.25">
      <c r="A361" s="298" t="s">
        <v>891</v>
      </c>
      <c r="B361" s="298" t="s">
        <v>735</v>
      </c>
      <c r="C361" s="101"/>
      <c r="D361" s="298" t="s">
        <v>780</v>
      </c>
      <c r="E361" s="310">
        <f>E362</f>
        <v>0</v>
      </c>
      <c r="F361" s="310">
        <f t="shared" ref="F361:P361" si="301">F362</f>
        <v>0</v>
      </c>
      <c r="G361" s="310">
        <f t="shared" si="301"/>
        <v>0</v>
      </c>
      <c r="H361" s="310">
        <f t="shared" si="301"/>
        <v>0</v>
      </c>
      <c r="I361" s="310">
        <f t="shared" si="301"/>
        <v>0</v>
      </c>
      <c r="J361" s="310">
        <f t="shared" si="301"/>
        <v>100000</v>
      </c>
      <c r="K361" s="310">
        <f t="shared" si="301"/>
        <v>100000</v>
      </c>
      <c r="L361" s="310">
        <f t="shared" si="301"/>
        <v>0</v>
      </c>
      <c r="M361" s="310">
        <f t="shared" si="301"/>
        <v>0</v>
      </c>
      <c r="N361" s="310">
        <f t="shared" si="301"/>
        <v>0</v>
      </c>
      <c r="O361" s="310">
        <f t="shared" si="301"/>
        <v>100000</v>
      </c>
      <c r="P361" s="310">
        <f t="shared" si="301"/>
        <v>100000</v>
      </c>
      <c r="Q361" s="47"/>
      <c r="R361" s="46"/>
    </row>
    <row r="362" spans="1:18" ht="47.25" thickTop="1" thickBot="1" x14ac:dyDescent="0.25">
      <c r="A362" s="593" t="s">
        <v>892</v>
      </c>
      <c r="B362" s="593" t="s">
        <v>788</v>
      </c>
      <c r="C362" s="593"/>
      <c r="D362" s="593" t="s">
        <v>1623</v>
      </c>
      <c r="E362" s="595">
        <f>SUM(E363:E364)</f>
        <v>0</v>
      </c>
      <c r="F362" s="595">
        <f t="shared" ref="F362:P362" si="302">SUM(F363:F364)</f>
        <v>0</v>
      </c>
      <c r="G362" s="595">
        <f t="shared" si="302"/>
        <v>0</v>
      </c>
      <c r="H362" s="595">
        <f t="shared" si="302"/>
        <v>0</v>
      </c>
      <c r="I362" s="595">
        <f t="shared" si="302"/>
        <v>0</v>
      </c>
      <c r="J362" s="595">
        <f t="shared" si="302"/>
        <v>100000</v>
      </c>
      <c r="K362" s="595">
        <f t="shared" si="302"/>
        <v>100000</v>
      </c>
      <c r="L362" s="595">
        <f t="shared" si="302"/>
        <v>0</v>
      </c>
      <c r="M362" s="595">
        <f t="shared" si="302"/>
        <v>0</v>
      </c>
      <c r="N362" s="595">
        <f t="shared" si="302"/>
        <v>0</v>
      </c>
      <c r="O362" s="595">
        <f t="shared" si="302"/>
        <v>100000</v>
      </c>
      <c r="P362" s="595">
        <f t="shared" si="302"/>
        <v>100000</v>
      </c>
      <c r="Q362" s="47"/>
      <c r="R362" s="46"/>
    </row>
    <row r="363" spans="1:18" ht="93" thickTop="1" thickBot="1" x14ac:dyDescent="0.25">
      <c r="A363" s="101" t="s">
        <v>893</v>
      </c>
      <c r="B363" s="101" t="s">
        <v>894</v>
      </c>
      <c r="C363" s="101" t="s">
        <v>302</v>
      </c>
      <c r="D363" s="101" t="s">
        <v>895</v>
      </c>
      <c r="E363" s="299">
        <f>F363</f>
        <v>0</v>
      </c>
      <c r="F363" s="308"/>
      <c r="G363" s="308"/>
      <c r="H363" s="308"/>
      <c r="I363" s="308"/>
      <c r="J363" s="310">
        <f t="shared" ref="J363:J364" si="303">L363+O363</f>
        <v>100000</v>
      </c>
      <c r="K363" s="308">
        <f>(0)+100000</f>
        <v>100000</v>
      </c>
      <c r="L363" s="421"/>
      <c r="M363" s="421"/>
      <c r="N363" s="421"/>
      <c r="O363" s="422">
        <f t="shared" ref="O363:O364" si="304">K363</f>
        <v>100000</v>
      </c>
      <c r="P363" s="310">
        <f t="shared" ref="P363:P364" si="305">+J363+E363</f>
        <v>100000</v>
      </c>
      <c r="Q363" s="47"/>
      <c r="R363" s="46"/>
    </row>
    <row r="364" spans="1:18" ht="93" hidden="1" thickTop="1" thickBot="1" x14ac:dyDescent="0.25">
      <c r="A364" s="709" t="s">
        <v>1581</v>
      </c>
      <c r="B364" s="709" t="s">
        <v>1583</v>
      </c>
      <c r="C364" s="709" t="s">
        <v>302</v>
      </c>
      <c r="D364" s="709" t="s">
        <v>1582</v>
      </c>
      <c r="E364" s="722">
        <f>F364</f>
        <v>0</v>
      </c>
      <c r="F364" s="717"/>
      <c r="G364" s="717"/>
      <c r="H364" s="717"/>
      <c r="I364" s="717"/>
      <c r="J364" s="710">
        <f t="shared" si="303"/>
        <v>0</v>
      </c>
      <c r="K364" s="717">
        <f>((1000000-200000)-100000)-700000</f>
        <v>0</v>
      </c>
      <c r="L364" s="723"/>
      <c r="M364" s="723"/>
      <c r="N364" s="723"/>
      <c r="O364" s="712">
        <f t="shared" si="304"/>
        <v>0</v>
      </c>
      <c r="P364" s="710">
        <f t="shared" si="305"/>
        <v>0</v>
      </c>
      <c r="Q364" s="47"/>
      <c r="R364" s="46"/>
    </row>
    <row r="365" spans="1:18" ht="120" customHeight="1" thickTop="1" thickBot="1" x14ac:dyDescent="0.25">
      <c r="A365" s="624" t="s">
        <v>439</v>
      </c>
      <c r="B365" s="624"/>
      <c r="C365" s="624"/>
      <c r="D365" s="625" t="s">
        <v>441</v>
      </c>
      <c r="E365" s="626">
        <f>E366</f>
        <v>197367271</v>
      </c>
      <c r="F365" s="627">
        <f t="shared" ref="F365:G365" si="306">F366</f>
        <v>197367271</v>
      </c>
      <c r="G365" s="627">
        <f t="shared" si="306"/>
        <v>4685908</v>
      </c>
      <c r="H365" s="627">
        <f>H366</f>
        <v>190233</v>
      </c>
      <c r="I365" s="627">
        <f t="shared" ref="I365" si="307">I366</f>
        <v>0</v>
      </c>
      <c r="J365" s="626">
        <f>J366</f>
        <v>5089954</v>
      </c>
      <c r="K365" s="627">
        <f>K366</f>
        <v>5089954</v>
      </c>
      <c r="L365" s="627">
        <f>L366</f>
        <v>0</v>
      </c>
      <c r="M365" s="627">
        <f t="shared" ref="M365" si="308">M366</f>
        <v>0</v>
      </c>
      <c r="N365" s="627">
        <f>N366</f>
        <v>0</v>
      </c>
      <c r="O365" s="626">
        <f>O366</f>
        <v>5089954</v>
      </c>
      <c r="P365" s="627">
        <f t="shared" ref="P365" si="309">P366</f>
        <v>202457225</v>
      </c>
      <c r="Q365" s="20"/>
    </row>
    <row r="366" spans="1:18" ht="120" customHeight="1" thickTop="1" thickBot="1" x14ac:dyDescent="0.25">
      <c r="A366" s="588" t="s">
        <v>440</v>
      </c>
      <c r="B366" s="588"/>
      <c r="C366" s="588"/>
      <c r="D366" s="589" t="s">
        <v>442</v>
      </c>
      <c r="E366" s="590">
        <f t="shared" ref="E366:O366" si="310">E367+E370+E379+E382</f>
        <v>197367271</v>
      </c>
      <c r="F366" s="590">
        <f t="shared" si="310"/>
        <v>197367271</v>
      </c>
      <c r="G366" s="590">
        <f t="shared" si="310"/>
        <v>4685908</v>
      </c>
      <c r="H366" s="590">
        <f t="shared" si="310"/>
        <v>190233</v>
      </c>
      <c r="I366" s="590">
        <f t="shared" si="310"/>
        <v>0</v>
      </c>
      <c r="J366" s="590">
        <f t="shared" si="310"/>
        <v>5089954</v>
      </c>
      <c r="K366" s="590">
        <f t="shared" si="310"/>
        <v>5089954</v>
      </c>
      <c r="L366" s="590">
        <f t="shared" si="310"/>
        <v>0</v>
      </c>
      <c r="M366" s="590">
        <f t="shared" si="310"/>
        <v>0</v>
      </c>
      <c r="N366" s="590">
        <f t="shared" si="310"/>
        <v>0</v>
      </c>
      <c r="O366" s="590">
        <f t="shared" si="310"/>
        <v>5089954</v>
      </c>
      <c r="P366" s="590">
        <f>E366+J366</f>
        <v>202457225</v>
      </c>
      <c r="Q366" s="452" t="b">
        <f>P366=P368+P373+P375+P381+P378</f>
        <v>1</v>
      </c>
      <c r="R366" s="46"/>
    </row>
    <row r="367" spans="1:18" ht="47.25" thickTop="1" thickBot="1" x14ac:dyDescent="0.25">
      <c r="A367" s="298" t="s">
        <v>807</v>
      </c>
      <c r="B367" s="298" t="s">
        <v>672</v>
      </c>
      <c r="C367" s="298"/>
      <c r="D367" s="298" t="s">
        <v>673</v>
      </c>
      <c r="E367" s="310">
        <f>SUM(E368:E369)</f>
        <v>9875113</v>
      </c>
      <c r="F367" s="310">
        <f t="shared" ref="F367:P367" si="311">SUM(F368:F369)</f>
        <v>9875113</v>
      </c>
      <c r="G367" s="310">
        <f t="shared" si="311"/>
        <v>4685908</v>
      </c>
      <c r="H367" s="310">
        <f t="shared" si="311"/>
        <v>190233</v>
      </c>
      <c r="I367" s="310">
        <f t="shared" si="311"/>
        <v>0</v>
      </c>
      <c r="J367" s="310">
        <f t="shared" si="311"/>
        <v>89954</v>
      </c>
      <c r="K367" s="310">
        <f t="shared" si="311"/>
        <v>89954</v>
      </c>
      <c r="L367" s="310">
        <f t="shared" si="311"/>
        <v>0</v>
      </c>
      <c r="M367" s="310">
        <f t="shared" si="311"/>
        <v>0</v>
      </c>
      <c r="N367" s="310">
        <f t="shared" si="311"/>
        <v>0</v>
      </c>
      <c r="O367" s="310">
        <f t="shared" si="311"/>
        <v>89954</v>
      </c>
      <c r="P367" s="310">
        <f t="shared" si="311"/>
        <v>9965067</v>
      </c>
      <c r="Q367" s="47"/>
      <c r="R367" s="46"/>
    </row>
    <row r="368" spans="1:18" ht="93" thickTop="1" thickBot="1" x14ac:dyDescent="0.25">
      <c r="A368" s="101" t="s">
        <v>443</v>
      </c>
      <c r="B368" s="101" t="s">
        <v>235</v>
      </c>
      <c r="C368" s="101" t="s">
        <v>233</v>
      </c>
      <c r="D368" s="101" t="s">
        <v>234</v>
      </c>
      <c r="E368" s="310">
        <f>F368</f>
        <v>9875113</v>
      </c>
      <c r="F368" s="425">
        <v>9875113</v>
      </c>
      <c r="G368" s="425">
        <v>4685908</v>
      </c>
      <c r="H368" s="425">
        <v>190233</v>
      </c>
      <c r="I368" s="425"/>
      <c r="J368" s="310">
        <f>L368+O368</f>
        <v>89954</v>
      </c>
      <c r="K368" s="425">
        <v>89954</v>
      </c>
      <c r="L368" s="425"/>
      <c r="M368" s="425"/>
      <c r="N368" s="425"/>
      <c r="O368" s="422">
        <f>K368</f>
        <v>89954</v>
      </c>
      <c r="P368" s="310">
        <f>E368+J368</f>
        <v>9965067</v>
      </c>
      <c r="Q368" s="47"/>
      <c r="R368" s="46"/>
    </row>
    <row r="369" spans="1:18" ht="93" hidden="1" thickTop="1" thickBot="1" x14ac:dyDescent="0.25">
      <c r="A369" s="126" t="s">
        <v>623</v>
      </c>
      <c r="B369" s="126" t="s">
        <v>358</v>
      </c>
      <c r="C369" s="126" t="s">
        <v>616</v>
      </c>
      <c r="D369" s="126" t="s">
        <v>617</v>
      </c>
      <c r="E369" s="125">
        <f>F369</f>
        <v>0</v>
      </c>
      <c r="F369" s="132">
        <v>0</v>
      </c>
      <c r="G369" s="132"/>
      <c r="H369" s="132"/>
      <c r="I369" s="132"/>
      <c r="J369" s="125">
        <f t="shared" ref="J369" si="312">L369+O369</f>
        <v>0</v>
      </c>
      <c r="K369" s="132"/>
      <c r="L369" s="132"/>
      <c r="M369" s="132"/>
      <c r="N369" s="132"/>
      <c r="O369" s="130">
        <f t="shared" ref="O369" si="313">K369</f>
        <v>0</v>
      </c>
      <c r="P369" s="125">
        <f t="shared" ref="P369" si="314">+J369+E369</f>
        <v>0</v>
      </c>
      <c r="Q369" s="47"/>
      <c r="R369" s="46"/>
    </row>
    <row r="370" spans="1:18" ht="60" customHeight="1" thickTop="1" thickBot="1" x14ac:dyDescent="0.25">
      <c r="A370" s="298" t="s">
        <v>808</v>
      </c>
      <c r="B370" s="298" t="s">
        <v>735</v>
      </c>
      <c r="C370" s="101"/>
      <c r="D370" s="298" t="s">
        <v>780</v>
      </c>
      <c r="E370" s="310">
        <f>E371+E377</f>
        <v>186016858</v>
      </c>
      <c r="F370" s="310">
        <f t="shared" ref="F370:P370" si="315">F371+F377</f>
        <v>186016858</v>
      </c>
      <c r="G370" s="310">
        <f t="shared" si="315"/>
        <v>0</v>
      </c>
      <c r="H370" s="310">
        <f t="shared" si="315"/>
        <v>0</v>
      </c>
      <c r="I370" s="310">
        <f t="shared" si="315"/>
        <v>0</v>
      </c>
      <c r="J370" s="310">
        <f t="shared" si="315"/>
        <v>5000000</v>
      </c>
      <c r="K370" s="310">
        <f t="shared" si="315"/>
        <v>5000000</v>
      </c>
      <c r="L370" s="310">
        <f t="shared" si="315"/>
        <v>0</v>
      </c>
      <c r="M370" s="310">
        <f t="shared" si="315"/>
        <v>0</v>
      </c>
      <c r="N370" s="310">
        <f t="shared" si="315"/>
        <v>0</v>
      </c>
      <c r="O370" s="310">
        <f t="shared" si="315"/>
        <v>5000000</v>
      </c>
      <c r="P370" s="310">
        <f t="shared" si="315"/>
        <v>191016858</v>
      </c>
      <c r="Q370" s="47"/>
      <c r="R370" s="50"/>
    </row>
    <row r="371" spans="1:18" ht="47.25" thickTop="1" thickBot="1" x14ac:dyDescent="0.25">
      <c r="A371" s="593" t="s">
        <v>809</v>
      </c>
      <c r="B371" s="593" t="s">
        <v>791</v>
      </c>
      <c r="C371" s="593"/>
      <c r="D371" s="593" t="s">
        <v>792</v>
      </c>
      <c r="E371" s="595">
        <f>E374+E376+E372</f>
        <v>186016858</v>
      </c>
      <c r="F371" s="595">
        <f t="shared" ref="F371:P371" si="316">F374+F376+F372</f>
        <v>186016858</v>
      </c>
      <c r="G371" s="595">
        <f t="shared" si="316"/>
        <v>0</v>
      </c>
      <c r="H371" s="595">
        <f t="shared" si="316"/>
        <v>0</v>
      </c>
      <c r="I371" s="595">
        <f t="shared" si="316"/>
        <v>0</v>
      </c>
      <c r="J371" s="595">
        <f t="shared" si="316"/>
        <v>0</v>
      </c>
      <c r="K371" s="595">
        <f t="shared" si="316"/>
        <v>0</v>
      </c>
      <c r="L371" s="595">
        <f t="shared" si="316"/>
        <v>0</v>
      </c>
      <c r="M371" s="595">
        <f t="shared" si="316"/>
        <v>0</v>
      </c>
      <c r="N371" s="595">
        <f t="shared" si="316"/>
        <v>0</v>
      </c>
      <c r="O371" s="595">
        <f t="shared" si="316"/>
        <v>0</v>
      </c>
      <c r="P371" s="595">
        <f t="shared" si="316"/>
        <v>186016858</v>
      </c>
      <c r="Q371" s="47"/>
      <c r="R371" s="50"/>
    </row>
    <row r="372" spans="1:18" ht="93" thickTop="1" thickBot="1" x14ac:dyDescent="0.25">
      <c r="A372" s="598" t="s">
        <v>986</v>
      </c>
      <c r="B372" s="598" t="s">
        <v>987</v>
      </c>
      <c r="C372" s="598"/>
      <c r="D372" s="598" t="s">
        <v>985</v>
      </c>
      <c r="E372" s="599">
        <f>E373</f>
        <v>2450000</v>
      </c>
      <c r="F372" s="599">
        <f t="shared" ref="F372:P374" si="317">F373</f>
        <v>2450000</v>
      </c>
      <c r="G372" s="599">
        <f t="shared" si="317"/>
        <v>0</v>
      </c>
      <c r="H372" s="599">
        <f t="shared" si="317"/>
        <v>0</v>
      </c>
      <c r="I372" s="599">
        <f t="shared" si="317"/>
        <v>0</v>
      </c>
      <c r="J372" s="599">
        <f t="shared" si="317"/>
        <v>0</v>
      </c>
      <c r="K372" s="599">
        <f t="shared" si="317"/>
        <v>0</v>
      </c>
      <c r="L372" s="599">
        <f t="shared" si="317"/>
        <v>0</v>
      </c>
      <c r="M372" s="599">
        <f t="shared" si="317"/>
        <v>0</v>
      </c>
      <c r="N372" s="599">
        <f t="shared" si="317"/>
        <v>0</v>
      </c>
      <c r="O372" s="599">
        <f t="shared" si="317"/>
        <v>0</v>
      </c>
      <c r="P372" s="599">
        <f t="shared" si="317"/>
        <v>2450000</v>
      </c>
      <c r="Q372" s="47"/>
      <c r="R372" s="50"/>
    </row>
    <row r="373" spans="1:18" ht="60.75" customHeight="1" thickTop="1" thickBot="1" x14ac:dyDescent="0.25">
      <c r="A373" s="101" t="s">
        <v>462</v>
      </c>
      <c r="B373" s="101" t="s">
        <v>407</v>
      </c>
      <c r="C373" s="101" t="s">
        <v>408</v>
      </c>
      <c r="D373" s="101" t="s">
        <v>409</v>
      </c>
      <c r="E373" s="310">
        <f>F373</f>
        <v>2450000</v>
      </c>
      <c r="F373" s="425">
        <f>(((300000)+250000)+1062000-662000)+1500000</f>
        <v>2450000</v>
      </c>
      <c r="G373" s="425"/>
      <c r="H373" s="425"/>
      <c r="I373" s="425"/>
      <c r="J373" s="310">
        <f>L373+O373</f>
        <v>0</v>
      </c>
      <c r="K373" s="425"/>
      <c r="L373" s="425"/>
      <c r="M373" s="425"/>
      <c r="N373" s="425"/>
      <c r="O373" s="422">
        <f>K373</f>
        <v>0</v>
      </c>
      <c r="P373" s="310">
        <f>E373+J373</f>
        <v>2450000</v>
      </c>
      <c r="Q373" s="47"/>
      <c r="R373" s="50"/>
    </row>
    <row r="374" spans="1:18" ht="93" thickTop="1" thickBot="1" x14ac:dyDescent="0.25">
      <c r="A374" s="598" t="s">
        <v>810</v>
      </c>
      <c r="B374" s="598" t="s">
        <v>811</v>
      </c>
      <c r="C374" s="598"/>
      <c r="D374" s="598" t="s">
        <v>812</v>
      </c>
      <c r="E374" s="599">
        <f>E375</f>
        <v>183566858</v>
      </c>
      <c r="F374" s="599">
        <f t="shared" si="317"/>
        <v>183566858</v>
      </c>
      <c r="G374" s="599">
        <f t="shared" si="317"/>
        <v>0</v>
      </c>
      <c r="H374" s="599">
        <f t="shared" si="317"/>
        <v>0</v>
      </c>
      <c r="I374" s="599">
        <f t="shared" si="317"/>
        <v>0</v>
      </c>
      <c r="J374" s="599">
        <f t="shared" si="317"/>
        <v>0</v>
      </c>
      <c r="K374" s="599">
        <f t="shared" si="317"/>
        <v>0</v>
      </c>
      <c r="L374" s="599">
        <f t="shared" si="317"/>
        <v>0</v>
      </c>
      <c r="M374" s="599">
        <f t="shared" si="317"/>
        <v>0</v>
      </c>
      <c r="N374" s="599">
        <f t="shared" si="317"/>
        <v>0</v>
      </c>
      <c r="O374" s="599">
        <f t="shared" si="317"/>
        <v>0</v>
      </c>
      <c r="P374" s="599">
        <f t="shared" si="317"/>
        <v>183566858</v>
      </c>
      <c r="Q374" s="47"/>
      <c r="R374" s="50"/>
    </row>
    <row r="375" spans="1:18" ht="66.75" customHeight="1" thickTop="1" thickBot="1" x14ac:dyDescent="0.25">
      <c r="A375" s="101" t="s">
        <v>463</v>
      </c>
      <c r="B375" s="101" t="s">
        <v>289</v>
      </c>
      <c r="C375" s="101" t="s">
        <v>1306</v>
      </c>
      <c r="D375" s="101" t="s">
        <v>290</v>
      </c>
      <c r="E375" s="310">
        <f>F375</f>
        <v>183566858</v>
      </c>
      <c r="F375" s="425">
        <f>(194066858)-10500000</f>
        <v>183566858</v>
      </c>
      <c r="G375" s="425"/>
      <c r="H375" s="425"/>
      <c r="I375" s="425"/>
      <c r="J375" s="310">
        <f>L375+O375</f>
        <v>0</v>
      </c>
      <c r="K375" s="425"/>
      <c r="L375" s="425"/>
      <c r="M375" s="425"/>
      <c r="N375" s="425"/>
      <c r="O375" s="422">
        <f>K375</f>
        <v>0</v>
      </c>
      <c r="P375" s="310">
        <f>E375+J375</f>
        <v>183566858</v>
      </c>
      <c r="Q375" s="47"/>
      <c r="R375" s="50"/>
    </row>
    <row r="376" spans="1:18" ht="48" hidden="1" thickTop="1" thickBot="1" x14ac:dyDescent="0.25">
      <c r="A376" s="126" t="s">
        <v>1060</v>
      </c>
      <c r="B376" s="126" t="s">
        <v>1061</v>
      </c>
      <c r="C376" s="126" t="s">
        <v>293</v>
      </c>
      <c r="D376" s="126" t="s">
        <v>1059</v>
      </c>
      <c r="E376" s="125">
        <f>F376</f>
        <v>0</v>
      </c>
      <c r="F376" s="132"/>
      <c r="G376" s="132"/>
      <c r="H376" s="132"/>
      <c r="I376" s="132"/>
      <c r="J376" s="125">
        <f>L376+O376</f>
        <v>0</v>
      </c>
      <c r="K376" s="132"/>
      <c r="L376" s="132"/>
      <c r="M376" s="132"/>
      <c r="N376" s="132"/>
      <c r="O376" s="130">
        <f>K376</f>
        <v>0</v>
      </c>
      <c r="P376" s="125">
        <f>E376+J376</f>
        <v>0</v>
      </c>
      <c r="Q376" s="47"/>
      <c r="R376" s="50"/>
    </row>
    <row r="377" spans="1:18" ht="63" customHeight="1" thickTop="1" thickBot="1" x14ac:dyDescent="0.25">
      <c r="A377" s="593" t="s">
        <v>1133</v>
      </c>
      <c r="B377" s="593" t="s">
        <v>679</v>
      </c>
      <c r="C377" s="593"/>
      <c r="D377" s="593" t="s">
        <v>677</v>
      </c>
      <c r="E377" s="595">
        <f>E378</f>
        <v>0</v>
      </c>
      <c r="F377" s="595">
        <f t="shared" ref="F377:P377" si="318">F378</f>
        <v>0</v>
      </c>
      <c r="G377" s="595">
        <f t="shared" si="318"/>
        <v>0</v>
      </c>
      <c r="H377" s="595">
        <f t="shared" si="318"/>
        <v>0</v>
      </c>
      <c r="I377" s="595">
        <f t="shared" si="318"/>
        <v>0</v>
      </c>
      <c r="J377" s="595">
        <f t="shared" si="318"/>
        <v>5000000</v>
      </c>
      <c r="K377" s="595">
        <f t="shared" si="318"/>
        <v>5000000</v>
      </c>
      <c r="L377" s="595">
        <f t="shared" si="318"/>
        <v>0</v>
      </c>
      <c r="M377" s="595">
        <f t="shared" si="318"/>
        <v>0</v>
      </c>
      <c r="N377" s="595">
        <f t="shared" si="318"/>
        <v>0</v>
      </c>
      <c r="O377" s="595">
        <f t="shared" si="318"/>
        <v>5000000</v>
      </c>
      <c r="P377" s="595">
        <f t="shared" si="318"/>
        <v>5000000</v>
      </c>
      <c r="Q377" s="47"/>
      <c r="R377" s="50"/>
    </row>
    <row r="378" spans="1:18" ht="66.75" customHeight="1" thickTop="1" thickBot="1" x14ac:dyDescent="0.25">
      <c r="A378" s="101" t="s">
        <v>1134</v>
      </c>
      <c r="B378" s="101" t="s">
        <v>196</v>
      </c>
      <c r="C378" s="101" t="s">
        <v>169</v>
      </c>
      <c r="D378" s="101" t="s">
        <v>1135</v>
      </c>
      <c r="E378" s="310">
        <f>F378</f>
        <v>0</v>
      </c>
      <c r="F378" s="425">
        <v>0</v>
      </c>
      <c r="G378" s="425"/>
      <c r="H378" s="425"/>
      <c r="I378" s="425"/>
      <c r="J378" s="310">
        <f>L378+O378</f>
        <v>5000000</v>
      </c>
      <c r="K378" s="425">
        <f>((0)+2000000)+3000000</f>
        <v>5000000</v>
      </c>
      <c r="L378" s="425"/>
      <c r="M378" s="425"/>
      <c r="N378" s="425"/>
      <c r="O378" s="422">
        <f>K378</f>
        <v>5000000</v>
      </c>
      <c r="P378" s="310">
        <f>E378+J378</f>
        <v>5000000</v>
      </c>
      <c r="Q378" s="47"/>
      <c r="R378" s="50"/>
    </row>
    <row r="379" spans="1:18" ht="47.25" thickTop="1" thickBot="1" x14ac:dyDescent="0.25">
      <c r="A379" s="298" t="s">
        <v>1178</v>
      </c>
      <c r="B379" s="298" t="s">
        <v>684</v>
      </c>
      <c r="C379" s="298"/>
      <c r="D379" s="298" t="s">
        <v>685</v>
      </c>
      <c r="E379" s="310">
        <f>E380</f>
        <v>1475300</v>
      </c>
      <c r="F379" s="310">
        <f t="shared" ref="F379:P380" si="319">F380</f>
        <v>1475300</v>
      </c>
      <c r="G379" s="310">
        <f t="shared" si="319"/>
        <v>0</v>
      </c>
      <c r="H379" s="310">
        <f t="shared" si="319"/>
        <v>0</v>
      </c>
      <c r="I379" s="310">
        <f t="shared" si="319"/>
        <v>0</v>
      </c>
      <c r="J379" s="310">
        <f t="shared" si="319"/>
        <v>0</v>
      </c>
      <c r="K379" s="310">
        <f t="shared" si="319"/>
        <v>0</v>
      </c>
      <c r="L379" s="310">
        <f t="shared" si="319"/>
        <v>0</v>
      </c>
      <c r="M379" s="310">
        <f t="shared" si="319"/>
        <v>0</v>
      </c>
      <c r="N379" s="310">
        <f t="shared" si="319"/>
        <v>0</v>
      </c>
      <c r="O379" s="310">
        <f t="shared" si="319"/>
        <v>0</v>
      </c>
      <c r="P379" s="310">
        <f t="shared" si="319"/>
        <v>1475300</v>
      </c>
      <c r="Q379" s="47"/>
      <c r="R379" s="50"/>
    </row>
    <row r="380" spans="1:18" ht="47.25" thickTop="1" thickBot="1" x14ac:dyDescent="0.25">
      <c r="A380" s="593" t="s">
        <v>1179</v>
      </c>
      <c r="B380" s="593" t="s">
        <v>1145</v>
      </c>
      <c r="C380" s="593"/>
      <c r="D380" s="593" t="s">
        <v>1143</v>
      </c>
      <c r="E380" s="595">
        <f>E381</f>
        <v>1475300</v>
      </c>
      <c r="F380" s="595">
        <f>F381</f>
        <v>1475300</v>
      </c>
      <c r="G380" s="595">
        <f t="shared" si="319"/>
        <v>0</v>
      </c>
      <c r="H380" s="595">
        <f t="shared" si="319"/>
        <v>0</v>
      </c>
      <c r="I380" s="595">
        <f t="shared" si="319"/>
        <v>0</v>
      </c>
      <c r="J380" s="595">
        <f t="shared" si="319"/>
        <v>0</v>
      </c>
      <c r="K380" s="595">
        <f t="shared" si="319"/>
        <v>0</v>
      </c>
      <c r="L380" s="595">
        <f t="shared" si="319"/>
        <v>0</v>
      </c>
      <c r="M380" s="595">
        <f t="shared" si="319"/>
        <v>0</v>
      </c>
      <c r="N380" s="595">
        <f t="shared" si="319"/>
        <v>0</v>
      </c>
      <c r="O380" s="595">
        <f t="shared" si="319"/>
        <v>0</v>
      </c>
      <c r="P380" s="595">
        <f>P381</f>
        <v>1475300</v>
      </c>
      <c r="Q380" s="47"/>
      <c r="R380" s="50"/>
    </row>
    <row r="381" spans="1:18" ht="48" thickTop="1" thickBot="1" x14ac:dyDescent="0.25">
      <c r="A381" s="101" t="s">
        <v>1180</v>
      </c>
      <c r="B381" s="101" t="s">
        <v>1181</v>
      </c>
      <c r="C381" s="101" t="s">
        <v>1147</v>
      </c>
      <c r="D381" s="101" t="s">
        <v>1182</v>
      </c>
      <c r="E381" s="310">
        <f>F381</f>
        <v>1475300</v>
      </c>
      <c r="F381" s="425">
        <v>1475300</v>
      </c>
      <c r="G381" s="425"/>
      <c r="H381" s="425"/>
      <c r="I381" s="425"/>
      <c r="J381" s="310">
        <f>L381+O381</f>
        <v>0</v>
      </c>
      <c r="K381" s="425"/>
      <c r="L381" s="425"/>
      <c r="M381" s="425"/>
      <c r="N381" s="425"/>
      <c r="O381" s="422">
        <f>K381</f>
        <v>0</v>
      </c>
      <c r="P381" s="310">
        <f>E381+J381</f>
        <v>1475300</v>
      </c>
      <c r="Q381" s="47"/>
      <c r="R381" s="50"/>
    </row>
    <row r="382" spans="1:18" ht="47.25" hidden="1" thickTop="1" thickBot="1" x14ac:dyDescent="0.25">
      <c r="A382" s="123" t="s">
        <v>1279</v>
      </c>
      <c r="B382" s="123" t="s">
        <v>689</v>
      </c>
      <c r="C382" s="123"/>
      <c r="D382" s="123" t="s">
        <v>690</v>
      </c>
      <c r="E382" s="125">
        <f t="shared" ref="E382:P382" si="320">E383</f>
        <v>0</v>
      </c>
      <c r="F382" s="125">
        <f t="shared" si="320"/>
        <v>0</v>
      </c>
      <c r="G382" s="125">
        <f t="shared" si="320"/>
        <v>0</v>
      </c>
      <c r="H382" s="125">
        <f t="shared" si="320"/>
        <v>0</v>
      </c>
      <c r="I382" s="125">
        <f t="shared" si="320"/>
        <v>0</v>
      </c>
      <c r="J382" s="125">
        <f t="shared" si="320"/>
        <v>0</v>
      </c>
      <c r="K382" s="125">
        <f t="shared" si="320"/>
        <v>0</v>
      </c>
      <c r="L382" s="125">
        <f t="shared" si="320"/>
        <v>0</v>
      </c>
      <c r="M382" s="125">
        <f t="shared" si="320"/>
        <v>0</v>
      </c>
      <c r="N382" s="125">
        <f t="shared" si="320"/>
        <v>0</v>
      </c>
      <c r="O382" s="125">
        <f t="shared" si="320"/>
        <v>0</v>
      </c>
      <c r="P382" s="125">
        <f t="shared" si="320"/>
        <v>0</v>
      </c>
      <c r="Q382" s="47"/>
      <c r="R382" s="50"/>
    </row>
    <row r="383" spans="1:18" ht="91.5" hidden="1" thickTop="1" thickBot="1" x14ac:dyDescent="0.25">
      <c r="A383" s="134" t="s">
        <v>1280</v>
      </c>
      <c r="B383" s="134" t="s">
        <v>509</v>
      </c>
      <c r="C383" s="134" t="s">
        <v>43</v>
      </c>
      <c r="D383" s="134" t="s">
        <v>510</v>
      </c>
      <c r="E383" s="135">
        <f t="shared" ref="E383" si="321">F383</f>
        <v>0</v>
      </c>
      <c r="F383" s="135">
        <v>0</v>
      </c>
      <c r="G383" s="135"/>
      <c r="H383" s="135"/>
      <c r="I383" s="135"/>
      <c r="J383" s="135">
        <f>L383+O383</f>
        <v>0</v>
      </c>
      <c r="K383" s="132"/>
      <c r="L383" s="135"/>
      <c r="M383" s="135"/>
      <c r="N383" s="135"/>
      <c r="O383" s="135">
        <f>(K383+0)</f>
        <v>0</v>
      </c>
      <c r="P383" s="135">
        <f>E383+J383</f>
        <v>0</v>
      </c>
      <c r="Q383" s="47"/>
      <c r="R383" s="50"/>
    </row>
    <row r="384" spans="1:18" ht="120" customHeight="1" thickTop="1" thickBot="1" x14ac:dyDescent="0.25">
      <c r="A384" s="624" t="s">
        <v>165</v>
      </c>
      <c r="B384" s="624"/>
      <c r="C384" s="624"/>
      <c r="D384" s="625" t="s">
        <v>350</v>
      </c>
      <c r="E384" s="626">
        <f>E385</f>
        <v>12895100</v>
      </c>
      <c r="F384" s="627">
        <f t="shared" ref="F384:G384" si="322">F385</f>
        <v>12895100</v>
      </c>
      <c r="G384" s="627">
        <f t="shared" si="322"/>
        <v>0</v>
      </c>
      <c r="H384" s="627">
        <f>H385</f>
        <v>0</v>
      </c>
      <c r="I384" s="627">
        <f t="shared" ref="I384" si="323">I385</f>
        <v>0</v>
      </c>
      <c r="J384" s="626">
        <f>J385</f>
        <v>292500</v>
      </c>
      <c r="K384" s="627">
        <f>K385</f>
        <v>292500</v>
      </c>
      <c r="L384" s="627">
        <f>L385</f>
        <v>0</v>
      </c>
      <c r="M384" s="627">
        <f t="shared" ref="M384" si="324">M385</f>
        <v>0</v>
      </c>
      <c r="N384" s="627">
        <f>N385</f>
        <v>0</v>
      </c>
      <c r="O384" s="626">
        <f>O385</f>
        <v>292500</v>
      </c>
      <c r="P384" s="627">
        <f t="shared" ref="P384" si="325">P385</f>
        <v>13187600</v>
      </c>
      <c r="Q384" s="20"/>
    </row>
    <row r="385" spans="1:18" ht="120" customHeight="1" thickTop="1" thickBot="1" x14ac:dyDescent="0.25">
      <c r="A385" s="588" t="s">
        <v>166</v>
      </c>
      <c r="B385" s="588"/>
      <c r="C385" s="588"/>
      <c r="D385" s="589" t="s">
        <v>351</v>
      </c>
      <c r="E385" s="590">
        <f>E389+E401+E398+E386</f>
        <v>12895100</v>
      </c>
      <c r="F385" s="590">
        <f>F389+F401+F398+F386</f>
        <v>12895100</v>
      </c>
      <c r="G385" s="590">
        <f>G389+G401+G398+G386</f>
        <v>0</v>
      </c>
      <c r="H385" s="590">
        <f>H389+H401+H398+H386</f>
        <v>0</v>
      </c>
      <c r="I385" s="590">
        <f>I389+I401+I398+I386</f>
        <v>0</v>
      </c>
      <c r="J385" s="590">
        <f>L385+O385</f>
        <v>292500</v>
      </c>
      <c r="K385" s="590">
        <f>K389+K401+K398+K386</f>
        <v>292500</v>
      </c>
      <c r="L385" s="590">
        <f>L389+L401+L398+L386</f>
        <v>0</v>
      </c>
      <c r="M385" s="590">
        <f>M389+M401+M398+M386</f>
        <v>0</v>
      </c>
      <c r="N385" s="590">
        <f>N389+N401+N398+N386</f>
        <v>0</v>
      </c>
      <c r="O385" s="590">
        <f>O389+O401+O398+O386</f>
        <v>292500</v>
      </c>
      <c r="P385" s="590">
        <f>E385+J385</f>
        <v>13187600</v>
      </c>
      <c r="Q385" s="452" t="b">
        <f>P385=P387+P388+P391+P393+P394+P400</f>
        <v>1</v>
      </c>
      <c r="R385" s="46"/>
    </row>
    <row r="386" spans="1:18" ht="63" customHeight="1" thickTop="1" thickBot="1" x14ac:dyDescent="0.25">
      <c r="A386" s="298" t="s">
        <v>1258</v>
      </c>
      <c r="B386" s="298" t="s">
        <v>698</v>
      </c>
      <c r="C386" s="298"/>
      <c r="D386" s="298" t="s">
        <v>699</v>
      </c>
      <c r="E386" s="310">
        <f t="shared" ref="E386:P386" si="326">SUM(E387:E388)</f>
        <v>1292100</v>
      </c>
      <c r="F386" s="310">
        <f t="shared" si="326"/>
        <v>1292100</v>
      </c>
      <c r="G386" s="310">
        <f t="shared" si="326"/>
        <v>0</v>
      </c>
      <c r="H386" s="310">
        <f t="shared" si="326"/>
        <v>0</v>
      </c>
      <c r="I386" s="310">
        <f t="shared" si="326"/>
        <v>0</v>
      </c>
      <c r="J386" s="310">
        <f t="shared" si="326"/>
        <v>292500</v>
      </c>
      <c r="K386" s="310">
        <f t="shared" si="326"/>
        <v>292500</v>
      </c>
      <c r="L386" s="310">
        <f t="shared" si="326"/>
        <v>0</v>
      </c>
      <c r="M386" s="310">
        <f t="shared" si="326"/>
        <v>0</v>
      </c>
      <c r="N386" s="310">
        <f t="shared" si="326"/>
        <v>0</v>
      </c>
      <c r="O386" s="310">
        <f t="shared" si="326"/>
        <v>292500</v>
      </c>
      <c r="P386" s="310">
        <f t="shared" si="326"/>
        <v>1584600</v>
      </c>
      <c r="Q386" s="47"/>
      <c r="R386" s="46"/>
    </row>
    <row r="387" spans="1:18" ht="93" hidden="1" thickTop="1" thickBot="1" x14ac:dyDescent="0.25">
      <c r="A387" s="700" t="s">
        <v>1259</v>
      </c>
      <c r="B387" s="700" t="s">
        <v>1159</v>
      </c>
      <c r="C387" s="700" t="s">
        <v>205</v>
      </c>
      <c r="D387" s="701" t="s">
        <v>1160</v>
      </c>
      <c r="E387" s="310">
        <f t="shared" ref="E387:E388" si="327">F387</f>
        <v>0</v>
      </c>
      <c r="F387" s="425">
        <f>(175000)-175000</f>
        <v>0</v>
      </c>
      <c r="G387" s="425"/>
      <c r="H387" s="425"/>
      <c r="I387" s="425"/>
      <c r="J387" s="310">
        <f>L387+O387</f>
        <v>0</v>
      </c>
      <c r="K387" s="425">
        <f>(100000)-100000</f>
        <v>0</v>
      </c>
      <c r="L387" s="425"/>
      <c r="M387" s="425"/>
      <c r="N387" s="425"/>
      <c r="O387" s="422">
        <f>K387</f>
        <v>0</v>
      </c>
      <c r="P387" s="310">
        <f>E387+J387</f>
        <v>0</v>
      </c>
      <c r="Q387" s="47"/>
      <c r="R387" s="46"/>
    </row>
    <row r="388" spans="1:18" ht="63.75" customHeight="1" thickTop="1" thickBot="1" x14ac:dyDescent="0.25">
      <c r="A388" s="101" t="s">
        <v>1500</v>
      </c>
      <c r="B388" s="101" t="s">
        <v>328</v>
      </c>
      <c r="C388" s="101" t="s">
        <v>190</v>
      </c>
      <c r="D388" s="600" t="s">
        <v>329</v>
      </c>
      <c r="E388" s="310">
        <f t="shared" si="327"/>
        <v>1292100</v>
      </c>
      <c r="F388" s="425">
        <f>(300000)+82500+325000+584600</f>
        <v>1292100</v>
      </c>
      <c r="G388" s="425"/>
      <c r="H388" s="425"/>
      <c r="I388" s="425"/>
      <c r="J388" s="310">
        <f t="shared" ref="J388" si="328">L388+O388</f>
        <v>292500</v>
      </c>
      <c r="K388" s="425">
        <f>(125000)+25000+175000-32500</f>
        <v>292500</v>
      </c>
      <c r="L388" s="425"/>
      <c r="M388" s="425"/>
      <c r="N388" s="425"/>
      <c r="O388" s="422">
        <f t="shared" ref="O388" si="329">K388</f>
        <v>292500</v>
      </c>
      <c r="P388" s="310">
        <f t="shared" ref="P388" si="330">E388+J388</f>
        <v>1584600</v>
      </c>
      <c r="Q388" s="47"/>
      <c r="R388" s="46"/>
    </row>
    <row r="389" spans="1:18" ht="60" customHeight="1" thickTop="1" thickBot="1" x14ac:dyDescent="0.25">
      <c r="A389" s="298" t="s">
        <v>813</v>
      </c>
      <c r="B389" s="298" t="s">
        <v>735</v>
      </c>
      <c r="C389" s="101"/>
      <c r="D389" s="298" t="s">
        <v>780</v>
      </c>
      <c r="E389" s="639">
        <f t="shared" ref="E389:P389" si="331">E392+E390</f>
        <v>11603000</v>
      </c>
      <c r="F389" s="639">
        <f t="shared" si="331"/>
        <v>11603000</v>
      </c>
      <c r="G389" s="639">
        <f t="shared" si="331"/>
        <v>0</v>
      </c>
      <c r="H389" s="639">
        <f t="shared" si="331"/>
        <v>0</v>
      </c>
      <c r="I389" s="639">
        <f t="shared" si="331"/>
        <v>0</v>
      </c>
      <c r="J389" s="639">
        <f t="shared" si="331"/>
        <v>0</v>
      </c>
      <c r="K389" s="639">
        <f t="shared" si="331"/>
        <v>0</v>
      </c>
      <c r="L389" s="639">
        <f t="shared" si="331"/>
        <v>0</v>
      </c>
      <c r="M389" s="639">
        <f t="shared" si="331"/>
        <v>0</v>
      </c>
      <c r="N389" s="639">
        <f t="shared" si="331"/>
        <v>0</v>
      </c>
      <c r="O389" s="639">
        <f t="shared" si="331"/>
        <v>0</v>
      </c>
      <c r="P389" s="639">
        <f t="shared" si="331"/>
        <v>11603000</v>
      </c>
      <c r="Q389" s="47"/>
      <c r="R389" s="46"/>
    </row>
    <row r="390" spans="1:18" ht="63" customHeight="1" thickTop="1" thickBot="1" x14ac:dyDescent="0.25">
      <c r="A390" s="593" t="s">
        <v>983</v>
      </c>
      <c r="B390" s="593" t="s">
        <v>788</v>
      </c>
      <c r="C390" s="593"/>
      <c r="D390" s="593" t="s">
        <v>1623</v>
      </c>
      <c r="E390" s="643">
        <f>E391</f>
        <v>260000</v>
      </c>
      <c r="F390" s="643">
        <f>F391</f>
        <v>260000</v>
      </c>
      <c r="G390" s="643">
        <f t="shared" ref="G390:O390" si="332">G391</f>
        <v>0</v>
      </c>
      <c r="H390" s="643">
        <f t="shared" si="332"/>
        <v>0</v>
      </c>
      <c r="I390" s="643">
        <f t="shared" si="332"/>
        <v>0</v>
      </c>
      <c r="J390" s="643">
        <f t="shared" si="332"/>
        <v>0</v>
      </c>
      <c r="K390" s="643">
        <f t="shared" si="332"/>
        <v>0</v>
      </c>
      <c r="L390" s="643">
        <f t="shared" si="332"/>
        <v>0</v>
      </c>
      <c r="M390" s="643">
        <f t="shared" si="332"/>
        <v>0</v>
      </c>
      <c r="N390" s="643">
        <f t="shared" si="332"/>
        <v>0</v>
      </c>
      <c r="O390" s="643">
        <f t="shared" si="332"/>
        <v>0</v>
      </c>
      <c r="P390" s="643">
        <f>P391</f>
        <v>260000</v>
      </c>
      <c r="Q390" s="47"/>
      <c r="R390" s="46"/>
    </row>
    <row r="391" spans="1:18" ht="57.75" customHeight="1" thickTop="1" thickBot="1" x14ac:dyDescent="0.25">
      <c r="A391" s="101" t="s">
        <v>984</v>
      </c>
      <c r="B391" s="101" t="s">
        <v>347</v>
      </c>
      <c r="C391" s="101" t="s">
        <v>169</v>
      </c>
      <c r="D391" s="101" t="s">
        <v>260</v>
      </c>
      <c r="E391" s="310">
        <f t="shared" ref="E391" si="333">F391</f>
        <v>260000</v>
      </c>
      <c r="F391" s="425">
        <f>((1260000)+4500000)-5500000</f>
        <v>260000</v>
      </c>
      <c r="G391" s="425"/>
      <c r="H391" s="425"/>
      <c r="I391" s="425"/>
      <c r="J391" s="310">
        <f t="shared" ref="J391" si="334">L391+O391</f>
        <v>0</v>
      </c>
      <c r="K391" s="425">
        <f>((0)+5000000-1000000)-4000000</f>
        <v>0</v>
      </c>
      <c r="L391" s="425"/>
      <c r="M391" s="425"/>
      <c r="N391" s="425"/>
      <c r="O391" s="422">
        <f>K391</f>
        <v>0</v>
      </c>
      <c r="P391" s="310">
        <f t="shared" ref="P391" si="335">E391+J391</f>
        <v>260000</v>
      </c>
      <c r="Q391" s="47"/>
      <c r="R391" s="46"/>
    </row>
    <row r="392" spans="1:18" ht="63" customHeight="1" thickTop="1" thickBot="1" x14ac:dyDescent="0.25">
      <c r="A392" s="593" t="s">
        <v>814</v>
      </c>
      <c r="B392" s="593" t="s">
        <v>679</v>
      </c>
      <c r="C392" s="593"/>
      <c r="D392" s="593" t="s">
        <v>677</v>
      </c>
      <c r="E392" s="643">
        <f>SUM(E393:E397)-E396</f>
        <v>11343000</v>
      </c>
      <c r="F392" s="643">
        <f t="shared" ref="F392:P392" si="336">SUM(F393:F397)-F396</f>
        <v>11343000</v>
      </c>
      <c r="G392" s="643">
        <f t="shared" si="336"/>
        <v>0</v>
      </c>
      <c r="H392" s="643">
        <f t="shared" si="336"/>
        <v>0</v>
      </c>
      <c r="I392" s="643">
        <f t="shared" si="336"/>
        <v>0</v>
      </c>
      <c r="J392" s="643">
        <f>SUM(J393:J397)-J396</f>
        <v>0</v>
      </c>
      <c r="K392" s="643">
        <f t="shared" si="336"/>
        <v>0</v>
      </c>
      <c r="L392" s="643">
        <f t="shared" si="336"/>
        <v>0</v>
      </c>
      <c r="M392" s="643">
        <f t="shared" si="336"/>
        <v>0</v>
      </c>
      <c r="N392" s="643">
        <f t="shared" si="336"/>
        <v>0</v>
      </c>
      <c r="O392" s="643">
        <f t="shared" si="336"/>
        <v>0</v>
      </c>
      <c r="P392" s="643">
        <f t="shared" si="336"/>
        <v>11343000</v>
      </c>
      <c r="Q392" s="47"/>
      <c r="R392" s="46"/>
    </row>
    <row r="393" spans="1:18" ht="69.75" customHeight="1" thickTop="1" thickBot="1" x14ac:dyDescent="0.25">
      <c r="A393" s="101" t="s">
        <v>258</v>
      </c>
      <c r="B393" s="101" t="s">
        <v>259</v>
      </c>
      <c r="C393" s="101" t="s">
        <v>257</v>
      </c>
      <c r="D393" s="101" t="s">
        <v>256</v>
      </c>
      <c r="E393" s="310">
        <f t="shared" ref="E393:E397" si="337">F393</f>
        <v>10358000</v>
      </c>
      <c r="F393" s="425">
        <f>((4040000)+6130000-2000000)+2188000</f>
        <v>10358000</v>
      </c>
      <c r="G393" s="425"/>
      <c r="H393" s="425"/>
      <c r="I393" s="425"/>
      <c r="J393" s="310">
        <f t="shared" ref="J393:J397" si="338">L393+O393</f>
        <v>0</v>
      </c>
      <c r="K393" s="425"/>
      <c r="L393" s="425"/>
      <c r="M393" s="425"/>
      <c r="N393" s="425"/>
      <c r="O393" s="422">
        <f>K393</f>
        <v>0</v>
      </c>
      <c r="P393" s="310">
        <f t="shared" ref="P393:P397" si="339">E393+J393</f>
        <v>10358000</v>
      </c>
      <c r="Q393" s="20"/>
      <c r="R393" s="46"/>
    </row>
    <row r="394" spans="1:18" ht="60.75" customHeight="1" thickTop="1" thickBot="1" x14ac:dyDescent="0.25">
      <c r="A394" s="101" t="s">
        <v>250</v>
      </c>
      <c r="B394" s="101" t="s">
        <v>252</v>
      </c>
      <c r="C394" s="101" t="s">
        <v>212</v>
      </c>
      <c r="D394" s="101" t="s">
        <v>251</v>
      </c>
      <c r="E394" s="310">
        <f t="shared" si="337"/>
        <v>985000</v>
      </c>
      <c r="F394" s="425">
        <v>985000</v>
      </c>
      <c r="G394" s="425"/>
      <c r="H394" s="425"/>
      <c r="I394" s="425"/>
      <c r="J394" s="310">
        <f t="shared" si="338"/>
        <v>0</v>
      </c>
      <c r="K394" s="425"/>
      <c r="L394" s="425"/>
      <c r="M394" s="425"/>
      <c r="N394" s="425"/>
      <c r="O394" s="422">
        <f>K394</f>
        <v>0</v>
      </c>
      <c r="P394" s="310">
        <f t="shared" si="339"/>
        <v>985000</v>
      </c>
      <c r="Q394" s="20"/>
      <c r="R394" s="46"/>
    </row>
    <row r="395" spans="1:18" ht="48" hidden="1" thickTop="1" thickBot="1" x14ac:dyDescent="0.25">
      <c r="A395" s="126" t="s">
        <v>1253</v>
      </c>
      <c r="B395" s="126" t="s">
        <v>211</v>
      </c>
      <c r="C395" s="126" t="s">
        <v>212</v>
      </c>
      <c r="D395" s="126" t="s">
        <v>41</v>
      </c>
      <c r="E395" s="125">
        <f t="shared" si="337"/>
        <v>0</v>
      </c>
      <c r="F395" s="132">
        <f>(200000)-200000</f>
        <v>0</v>
      </c>
      <c r="G395" s="132"/>
      <c r="H395" s="132"/>
      <c r="I395" s="132"/>
      <c r="J395" s="125">
        <f t="shared" si="338"/>
        <v>0</v>
      </c>
      <c r="K395" s="132">
        <f>(100000)-100000</f>
        <v>0</v>
      </c>
      <c r="L395" s="132"/>
      <c r="M395" s="132"/>
      <c r="N395" s="132"/>
      <c r="O395" s="130">
        <f>K395</f>
        <v>0</v>
      </c>
      <c r="P395" s="125">
        <f t="shared" si="339"/>
        <v>0</v>
      </c>
      <c r="Q395" s="20"/>
      <c r="R395" s="46"/>
    </row>
    <row r="396" spans="1:18" ht="48" hidden="1" thickTop="1" thickBot="1" x14ac:dyDescent="0.25">
      <c r="A396" s="138" t="s">
        <v>815</v>
      </c>
      <c r="B396" s="138" t="s">
        <v>682</v>
      </c>
      <c r="C396" s="138"/>
      <c r="D396" s="138" t="s">
        <v>680</v>
      </c>
      <c r="E396" s="139">
        <f>E397</f>
        <v>0</v>
      </c>
      <c r="F396" s="139">
        <f t="shared" ref="F396:P396" si="340">F397</f>
        <v>0</v>
      </c>
      <c r="G396" s="139">
        <f t="shared" si="340"/>
        <v>0</v>
      </c>
      <c r="H396" s="139">
        <f t="shared" si="340"/>
        <v>0</v>
      </c>
      <c r="I396" s="139">
        <f t="shared" si="340"/>
        <v>0</v>
      </c>
      <c r="J396" s="139">
        <f t="shared" si="340"/>
        <v>0</v>
      </c>
      <c r="K396" s="139">
        <f t="shared" si="340"/>
        <v>0</v>
      </c>
      <c r="L396" s="139">
        <f t="shared" si="340"/>
        <v>0</v>
      </c>
      <c r="M396" s="139">
        <f t="shared" si="340"/>
        <v>0</v>
      </c>
      <c r="N396" s="139">
        <f t="shared" si="340"/>
        <v>0</v>
      </c>
      <c r="O396" s="139">
        <f t="shared" si="340"/>
        <v>0</v>
      </c>
      <c r="P396" s="139">
        <f t="shared" si="340"/>
        <v>0</v>
      </c>
      <c r="Q396" s="20"/>
      <c r="R396" s="46"/>
    </row>
    <row r="397" spans="1:18" ht="48" hidden="1" thickTop="1" thickBot="1" x14ac:dyDescent="0.25">
      <c r="A397" s="126" t="s">
        <v>254</v>
      </c>
      <c r="B397" s="126" t="s">
        <v>255</v>
      </c>
      <c r="C397" s="126" t="s">
        <v>169</v>
      </c>
      <c r="D397" s="126" t="s">
        <v>253</v>
      </c>
      <c r="E397" s="125">
        <f t="shared" si="337"/>
        <v>0</v>
      </c>
      <c r="F397" s="132"/>
      <c r="G397" s="132"/>
      <c r="H397" s="132"/>
      <c r="I397" s="132"/>
      <c r="J397" s="125">
        <f t="shared" si="338"/>
        <v>0</v>
      </c>
      <c r="K397" s="132"/>
      <c r="L397" s="132"/>
      <c r="M397" s="132"/>
      <c r="N397" s="132"/>
      <c r="O397" s="130">
        <f>K397</f>
        <v>0</v>
      </c>
      <c r="P397" s="125">
        <f t="shared" si="339"/>
        <v>0</v>
      </c>
      <c r="Q397" s="20"/>
      <c r="R397" s="46"/>
    </row>
    <row r="398" spans="1:18" ht="47.25" hidden="1" thickTop="1" thickBot="1" x14ac:dyDescent="0.25">
      <c r="A398" s="702" t="s">
        <v>1255</v>
      </c>
      <c r="B398" s="702" t="s">
        <v>684</v>
      </c>
      <c r="C398" s="702"/>
      <c r="D398" s="702" t="s">
        <v>685</v>
      </c>
      <c r="E398" s="310">
        <f t="shared" ref="E398:P399" si="341">E399</f>
        <v>0</v>
      </c>
      <c r="F398" s="310">
        <f t="shared" si="341"/>
        <v>0</v>
      </c>
      <c r="G398" s="310">
        <f t="shared" si="341"/>
        <v>0</v>
      </c>
      <c r="H398" s="310">
        <f t="shared" si="341"/>
        <v>0</v>
      </c>
      <c r="I398" s="310">
        <f t="shared" si="341"/>
        <v>0</v>
      </c>
      <c r="J398" s="310">
        <f t="shared" si="341"/>
        <v>0</v>
      </c>
      <c r="K398" s="310">
        <f t="shared" si="341"/>
        <v>0</v>
      </c>
      <c r="L398" s="310">
        <f t="shared" si="341"/>
        <v>0</v>
      </c>
      <c r="M398" s="310">
        <f t="shared" si="341"/>
        <v>0</v>
      </c>
      <c r="N398" s="310">
        <f t="shared" si="341"/>
        <v>0</v>
      </c>
      <c r="O398" s="310">
        <f t="shared" si="341"/>
        <v>0</v>
      </c>
      <c r="P398" s="310">
        <f t="shared" si="341"/>
        <v>0</v>
      </c>
      <c r="Q398" s="20"/>
      <c r="R398" s="46"/>
    </row>
    <row r="399" spans="1:18" ht="47.25" hidden="1" thickTop="1" thickBot="1" x14ac:dyDescent="0.25">
      <c r="A399" s="703" t="s">
        <v>1256</v>
      </c>
      <c r="B399" s="703" t="s">
        <v>1145</v>
      </c>
      <c r="C399" s="703"/>
      <c r="D399" s="703" t="s">
        <v>1143</v>
      </c>
      <c r="E399" s="595">
        <f t="shared" si="341"/>
        <v>0</v>
      </c>
      <c r="F399" s="595">
        <f t="shared" si="341"/>
        <v>0</v>
      </c>
      <c r="G399" s="595">
        <f t="shared" si="341"/>
        <v>0</v>
      </c>
      <c r="H399" s="595">
        <f t="shared" si="341"/>
        <v>0</v>
      </c>
      <c r="I399" s="595">
        <f t="shared" si="341"/>
        <v>0</v>
      </c>
      <c r="J399" s="595">
        <f t="shared" si="341"/>
        <v>0</v>
      </c>
      <c r="K399" s="595">
        <f t="shared" si="341"/>
        <v>0</v>
      </c>
      <c r="L399" s="595">
        <f t="shared" si="341"/>
        <v>0</v>
      </c>
      <c r="M399" s="595">
        <f t="shared" si="341"/>
        <v>0</v>
      </c>
      <c r="N399" s="595">
        <f t="shared" si="341"/>
        <v>0</v>
      </c>
      <c r="O399" s="595">
        <f t="shared" si="341"/>
        <v>0</v>
      </c>
      <c r="P399" s="595">
        <f t="shared" si="341"/>
        <v>0</v>
      </c>
      <c r="Q399" s="20"/>
      <c r="R399" s="46"/>
    </row>
    <row r="400" spans="1:18" ht="48" hidden="1" thickTop="1" thickBot="1" x14ac:dyDescent="0.25">
      <c r="A400" s="700" t="s">
        <v>1257</v>
      </c>
      <c r="B400" s="700" t="s">
        <v>1149</v>
      </c>
      <c r="C400" s="700" t="s">
        <v>1147</v>
      </c>
      <c r="D400" s="700" t="s">
        <v>1146</v>
      </c>
      <c r="E400" s="310">
        <f>F400</f>
        <v>0</v>
      </c>
      <c r="F400" s="425">
        <f>(200000)-200000</f>
        <v>0</v>
      </c>
      <c r="G400" s="425"/>
      <c r="H400" s="425"/>
      <c r="I400" s="425"/>
      <c r="J400" s="310">
        <f>L400+O400</f>
        <v>0</v>
      </c>
      <c r="K400" s="425">
        <f>(100000)-100000</f>
        <v>0</v>
      </c>
      <c r="L400" s="425"/>
      <c r="M400" s="425"/>
      <c r="N400" s="425"/>
      <c r="O400" s="422">
        <f>K400</f>
        <v>0</v>
      </c>
      <c r="P400" s="310">
        <f>E400+J400</f>
        <v>0</v>
      </c>
      <c r="Q400" s="20"/>
      <c r="R400" s="46"/>
    </row>
    <row r="401" spans="1:18" ht="47.25" hidden="1" thickTop="1" thickBot="1" x14ac:dyDescent="0.25">
      <c r="A401" s="123" t="s">
        <v>888</v>
      </c>
      <c r="B401" s="123" t="s">
        <v>689</v>
      </c>
      <c r="C401" s="123"/>
      <c r="D401" s="123" t="s">
        <v>690</v>
      </c>
      <c r="E401" s="125">
        <f>E402</f>
        <v>0</v>
      </c>
      <c r="F401" s="125">
        <f t="shared" ref="F401:P402" si="342">F402</f>
        <v>0</v>
      </c>
      <c r="G401" s="125">
        <f t="shared" si="342"/>
        <v>0</v>
      </c>
      <c r="H401" s="125">
        <f t="shared" si="342"/>
        <v>0</v>
      </c>
      <c r="I401" s="125">
        <f t="shared" si="342"/>
        <v>0</v>
      </c>
      <c r="J401" s="125">
        <f t="shared" si="342"/>
        <v>0</v>
      </c>
      <c r="K401" s="125">
        <f t="shared" si="342"/>
        <v>0</v>
      </c>
      <c r="L401" s="125">
        <f t="shared" si="342"/>
        <v>0</v>
      </c>
      <c r="M401" s="125">
        <f t="shared" si="342"/>
        <v>0</v>
      </c>
      <c r="N401" s="125">
        <f t="shared" si="342"/>
        <v>0</v>
      </c>
      <c r="O401" s="125">
        <f t="shared" si="342"/>
        <v>0</v>
      </c>
      <c r="P401" s="125">
        <f t="shared" si="342"/>
        <v>0</v>
      </c>
      <c r="Q401" s="20"/>
      <c r="R401" s="46"/>
    </row>
    <row r="402" spans="1:18" ht="91.5" hidden="1" thickTop="1" thickBot="1" x14ac:dyDescent="0.25">
      <c r="A402" s="134" t="s">
        <v>889</v>
      </c>
      <c r="B402" s="134" t="s">
        <v>692</v>
      </c>
      <c r="C402" s="134"/>
      <c r="D402" s="134" t="s">
        <v>693</v>
      </c>
      <c r="E402" s="135">
        <f>E403</f>
        <v>0</v>
      </c>
      <c r="F402" s="135">
        <f t="shared" si="342"/>
        <v>0</v>
      </c>
      <c r="G402" s="135">
        <f t="shared" si="342"/>
        <v>0</v>
      </c>
      <c r="H402" s="135">
        <f t="shared" si="342"/>
        <v>0</v>
      </c>
      <c r="I402" s="135">
        <f t="shared" si="342"/>
        <v>0</v>
      </c>
      <c r="J402" s="135">
        <f t="shared" si="342"/>
        <v>0</v>
      </c>
      <c r="K402" s="135">
        <f t="shared" si="342"/>
        <v>0</v>
      </c>
      <c r="L402" s="135">
        <f t="shared" si="342"/>
        <v>0</v>
      </c>
      <c r="M402" s="135">
        <f t="shared" si="342"/>
        <v>0</v>
      </c>
      <c r="N402" s="135">
        <f t="shared" si="342"/>
        <v>0</v>
      </c>
      <c r="O402" s="135">
        <f t="shared" si="342"/>
        <v>0</v>
      </c>
      <c r="P402" s="135">
        <f t="shared" si="342"/>
        <v>0</v>
      </c>
      <c r="Q402" s="20"/>
      <c r="R402" s="46"/>
    </row>
    <row r="403" spans="1:18" ht="48" hidden="1" thickTop="1" thickBot="1" x14ac:dyDescent="0.25">
      <c r="A403" s="126" t="s">
        <v>890</v>
      </c>
      <c r="B403" s="126" t="s">
        <v>359</v>
      </c>
      <c r="C403" s="126" t="s">
        <v>43</v>
      </c>
      <c r="D403" s="126" t="s">
        <v>360</v>
      </c>
      <c r="E403" s="125">
        <f t="shared" ref="E403" si="343">F403</f>
        <v>0</v>
      </c>
      <c r="F403" s="132"/>
      <c r="G403" s="132"/>
      <c r="H403" s="132"/>
      <c r="I403" s="132"/>
      <c r="J403" s="125">
        <f>L403+O403</f>
        <v>0</v>
      </c>
      <c r="K403" s="132"/>
      <c r="L403" s="132"/>
      <c r="M403" s="132"/>
      <c r="N403" s="132"/>
      <c r="O403" s="130">
        <f>K403</f>
        <v>0</v>
      </c>
      <c r="P403" s="125">
        <f>E403+J403</f>
        <v>0</v>
      </c>
      <c r="Q403" s="20"/>
      <c r="R403" s="46"/>
    </row>
    <row r="404" spans="1:18" ht="120" customHeight="1" thickTop="1" thickBot="1" x14ac:dyDescent="0.25">
      <c r="A404" s="624" t="s">
        <v>163</v>
      </c>
      <c r="B404" s="624"/>
      <c r="C404" s="624"/>
      <c r="D404" s="625" t="s">
        <v>869</v>
      </c>
      <c r="E404" s="626">
        <f>E405</f>
        <v>7725428</v>
      </c>
      <c r="F404" s="627">
        <f t="shared" ref="F404:G404" si="344">F405</f>
        <v>7725428</v>
      </c>
      <c r="G404" s="627">
        <f t="shared" si="344"/>
        <v>5939914</v>
      </c>
      <c r="H404" s="627">
        <f>H405</f>
        <v>150433</v>
      </c>
      <c r="I404" s="627">
        <f t="shared" ref="I404" si="345">I405</f>
        <v>0</v>
      </c>
      <c r="J404" s="626">
        <f>J405</f>
        <v>5478677.6299999999</v>
      </c>
      <c r="K404" s="627">
        <f>K405</f>
        <v>30000</v>
      </c>
      <c r="L404" s="627">
        <f>L405</f>
        <v>1353677.63</v>
      </c>
      <c r="M404" s="627">
        <f t="shared" ref="M404" si="346">M405</f>
        <v>0</v>
      </c>
      <c r="N404" s="627">
        <f>N405</f>
        <v>0</v>
      </c>
      <c r="O404" s="626">
        <f>O405</f>
        <v>4125000</v>
      </c>
      <c r="P404" s="627">
        <f t="shared" ref="P404" si="347">P405</f>
        <v>13204105.629999999</v>
      </c>
      <c r="Q404" s="20"/>
    </row>
    <row r="405" spans="1:18" ht="120" customHeight="1" thickTop="1" thickBot="1" x14ac:dyDescent="0.25">
      <c r="A405" s="588" t="s">
        <v>164</v>
      </c>
      <c r="B405" s="588"/>
      <c r="C405" s="588"/>
      <c r="D405" s="589" t="s">
        <v>868</v>
      </c>
      <c r="E405" s="590">
        <f>E406+E409+E412</f>
        <v>7725428</v>
      </c>
      <c r="F405" s="590">
        <f t="shared" ref="F405:P405" si="348">F406+F409+F412</f>
        <v>7725428</v>
      </c>
      <c r="G405" s="590">
        <f>G406+G409+G412</f>
        <v>5939914</v>
      </c>
      <c r="H405" s="590">
        <f t="shared" si="348"/>
        <v>150433</v>
      </c>
      <c r="I405" s="590">
        <f t="shared" si="348"/>
        <v>0</v>
      </c>
      <c r="J405" s="590">
        <f>J406+J409+J412</f>
        <v>5478677.6299999999</v>
      </c>
      <c r="K405" s="590">
        <f t="shared" si="348"/>
        <v>30000</v>
      </c>
      <c r="L405" s="590">
        <f>L406+L409+L412</f>
        <v>1353677.63</v>
      </c>
      <c r="M405" s="590">
        <f t="shared" si="348"/>
        <v>0</v>
      </c>
      <c r="N405" s="590">
        <f t="shared" si="348"/>
        <v>0</v>
      </c>
      <c r="O405" s="590">
        <f t="shared" si="348"/>
        <v>4125000</v>
      </c>
      <c r="P405" s="590">
        <f t="shared" si="348"/>
        <v>13204105.629999999</v>
      </c>
      <c r="Q405" s="452" t="b">
        <f>P405=P407+P411</f>
        <v>1</v>
      </c>
      <c r="R405" s="46"/>
    </row>
    <row r="406" spans="1:18" ht="47.25" thickTop="1" thickBot="1" x14ac:dyDescent="0.25">
      <c r="A406" s="298" t="s">
        <v>816</v>
      </c>
      <c r="B406" s="298" t="s">
        <v>672</v>
      </c>
      <c r="C406" s="298"/>
      <c r="D406" s="298" t="s">
        <v>673</v>
      </c>
      <c r="E406" s="310">
        <f>SUM(E407:E408)</f>
        <v>7725428</v>
      </c>
      <c r="F406" s="310">
        <f t="shared" ref="F406:N406" si="349">SUM(F407:F408)</f>
        <v>7725428</v>
      </c>
      <c r="G406" s="310">
        <f t="shared" si="349"/>
        <v>5939914</v>
      </c>
      <c r="H406" s="310">
        <f t="shared" si="349"/>
        <v>150433</v>
      </c>
      <c r="I406" s="310">
        <f t="shared" si="349"/>
        <v>0</v>
      </c>
      <c r="J406" s="310">
        <f t="shared" si="349"/>
        <v>30000</v>
      </c>
      <c r="K406" s="310">
        <f t="shared" si="349"/>
        <v>30000</v>
      </c>
      <c r="L406" s="310">
        <f t="shared" si="349"/>
        <v>0</v>
      </c>
      <c r="M406" s="310">
        <f t="shared" si="349"/>
        <v>0</v>
      </c>
      <c r="N406" s="310">
        <f t="shared" si="349"/>
        <v>0</v>
      </c>
      <c r="O406" s="310">
        <f>SUM(O407:O408)</f>
        <v>30000</v>
      </c>
      <c r="P406" s="310">
        <f t="shared" ref="P406" si="350">SUM(P407:P408)</f>
        <v>7755428</v>
      </c>
      <c r="Q406" s="47"/>
      <c r="R406" s="46"/>
    </row>
    <row r="407" spans="1:18" ht="93" thickTop="1" thickBot="1" x14ac:dyDescent="0.25">
      <c r="A407" s="101" t="s">
        <v>417</v>
      </c>
      <c r="B407" s="101" t="s">
        <v>235</v>
      </c>
      <c r="C407" s="101" t="s">
        <v>233</v>
      </c>
      <c r="D407" s="101" t="s">
        <v>234</v>
      </c>
      <c r="E407" s="310">
        <f>F407</f>
        <v>7725428</v>
      </c>
      <c r="F407" s="425">
        <f>(7755428)-30000</f>
        <v>7725428</v>
      </c>
      <c r="G407" s="425">
        <v>5939914</v>
      </c>
      <c r="H407" s="425">
        <v>150433</v>
      </c>
      <c r="I407" s="425"/>
      <c r="J407" s="310">
        <f t="shared" ref="J407:J411" si="351">L407+O407</f>
        <v>30000</v>
      </c>
      <c r="K407" s="425">
        <f>(0)+30000</f>
        <v>30000</v>
      </c>
      <c r="L407" s="425"/>
      <c r="M407" s="425"/>
      <c r="N407" s="425"/>
      <c r="O407" s="422">
        <f>K407</f>
        <v>30000</v>
      </c>
      <c r="P407" s="310">
        <f t="shared" ref="P407:P411" si="352">E407+J407</f>
        <v>7755428</v>
      </c>
      <c r="Q407" s="47"/>
      <c r="R407" s="46"/>
    </row>
    <row r="408" spans="1:18" ht="93" hidden="1" thickTop="1" thickBot="1" x14ac:dyDescent="0.25">
      <c r="A408" s="41" t="s">
        <v>624</v>
      </c>
      <c r="B408" s="41" t="s">
        <v>358</v>
      </c>
      <c r="C408" s="41" t="s">
        <v>616</v>
      </c>
      <c r="D408" s="41" t="s">
        <v>617</v>
      </c>
      <c r="E408" s="150">
        <f>F408</f>
        <v>0</v>
      </c>
      <c r="F408" s="127">
        <v>0</v>
      </c>
      <c r="G408" s="127"/>
      <c r="H408" s="127"/>
      <c r="I408" s="127"/>
      <c r="J408" s="125">
        <f t="shared" si="351"/>
        <v>0</v>
      </c>
      <c r="K408" s="127"/>
      <c r="L408" s="128"/>
      <c r="M408" s="128"/>
      <c r="N408" s="128"/>
      <c r="O408" s="130">
        <f t="shared" ref="O408" si="353">K408</f>
        <v>0</v>
      </c>
      <c r="P408" s="125">
        <f t="shared" ref="P408" si="354">+J408+E408</f>
        <v>0</v>
      </c>
      <c r="Q408" s="47"/>
      <c r="R408" s="46"/>
    </row>
    <row r="409" spans="1:18" ht="47.25" thickTop="1" thickBot="1" x14ac:dyDescent="0.25">
      <c r="A409" s="298" t="s">
        <v>817</v>
      </c>
      <c r="B409" s="298" t="s">
        <v>684</v>
      </c>
      <c r="C409" s="298"/>
      <c r="D409" s="298" t="s">
        <v>685</v>
      </c>
      <c r="E409" s="299">
        <f>E410</f>
        <v>0</v>
      </c>
      <c r="F409" s="299">
        <f t="shared" ref="F409:P410" si="355">F410</f>
        <v>0</v>
      </c>
      <c r="G409" s="299">
        <f t="shared" si="355"/>
        <v>0</v>
      </c>
      <c r="H409" s="299">
        <f t="shared" si="355"/>
        <v>0</v>
      </c>
      <c r="I409" s="299">
        <f t="shared" si="355"/>
        <v>0</v>
      </c>
      <c r="J409" s="299">
        <f t="shared" si="355"/>
        <v>5448677.6299999999</v>
      </c>
      <c r="K409" s="299">
        <f t="shared" si="355"/>
        <v>0</v>
      </c>
      <c r="L409" s="299">
        <f t="shared" si="355"/>
        <v>1353677.63</v>
      </c>
      <c r="M409" s="299">
        <f t="shared" si="355"/>
        <v>0</v>
      </c>
      <c r="N409" s="299">
        <f t="shared" si="355"/>
        <v>0</v>
      </c>
      <c r="O409" s="299">
        <f t="shared" si="355"/>
        <v>4095000</v>
      </c>
      <c r="P409" s="299">
        <f t="shared" si="355"/>
        <v>5448677.6299999999</v>
      </c>
      <c r="Q409" s="47"/>
      <c r="R409" s="46"/>
    </row>
    <row r="410" spans="1:18" ht="47.25" thickTop="1" thickBot="1" x14ac:dyDescent="0.25">
      <c r="A410" s="593" t="s">
        <v>818</v>
      </c>
      <c r="B410" s="593" t="s">
        <v>819</v>
      </c>
      <c r="C410" s="593"/>
      <c r="D410" s="593" t="s">
        <v>820</v>
      </c>
      <c r="E410" s="596">
        <f>E411</f>
        <v>0</v>
      </c>
      <c r="F410" s="596">
        <f t="shared" si="355"/>
        <v>0</v>
      </c>
      <c r="G410" s="596">
        <f t="shared" si="355"/>
        <v>0</v>
      </c>
      <c r="H410" s="596">
        <f t="shared" si="355"/>
        <v>0</v>
      </c>
      <c r="I410" s="596">
        <f t="shared" si="355"/>
        <v>0</v>
      </c>
      <c r="J410" s="596">
        <f t="shared" si="355"/>
        <v>5448677.6299999999</v>
      </c>
      <c r="K410" s="596">
        <f t="shared" si="355"/>
        <v>0</v>
      </c>
      <c r="L410" s="596">
        <f t="shared" si="355"/>
        <v>1353677.63</v>
      </c>
      <c r="M410" s="596">
        <f t="shared" si="355"/>
        <v>0</v>
      </c>
      <c r="N410" s="596">
        <f t="shared" si="355"/>
        <v>0</v>
      </c>
      <c r="O410" s="596">
        <f t="shared" si="355"/>
        <v>4095000</v>
      </c>
      <c r="P410" s="596">
        <f t="shared" si="355"/>
        <v>5448677.6299999999</v>
      </c>
      <c r="Q410" s="47"/>
      <c r="R410" s="46"/>
    </row>
    <row r="411" spans="1:18" ht="48" thickTop="1" thickBot="1" x14ac:dyDescent="0.25">
      <c r="A411" s="101" t="s">
        <v>1089</v>
      </c>
      <c r="B411" s="101" t="s">
        <v>1090</v>
      </c>
      <c r="C411" s="101" t="s">
        <v>51</v>
      </c>
      <c r="D411" s="101" t="s">
        <v>1091</v>
      </c>
      <c r="E411" s="310">
        <v>0</v>
      </c>
      <c r="F411" s="425"/>
      <c r="G411" s="425"/>
      <c r="H411" s="425"/>
      <c r="I411" s="425"/>
      <c r="J411" s="310">
        <f t="shared" si="351"/>
        <v>5448677.6299999999</v>
      </c>
      <c r="K411" s="310"/>
      <c r="L411" s="425">
        <f>(95000+150000+100000+200000+140000+90000+60000+60000+80000+30000+60000+40000)+248677.63</f>
        <v>1353677.63</v>
      </c>
      <c r="M411" s="425"/>
      <c r="N411" s="425"/>
      <c r="O411" s="422">
        <f>(K411+100000+170000+625000)+3200000</f>
        <v>4095000</v>
      </c>
      <c r="P411" s="310">
        <f t="shared" si="352"/>
        <v>5448677.6299999999</v>
      </c>
      <c r="Q411" s="452" t="b">
        <f>J411=[1]d9!F27</f>
        <v>1</v>
      </c>
    </row>
    <row r="412" spans="1:18" ht="47.25" hidden="1" thickTop="1" thickBot="1" x14ac:dyDescent="0.25">
      <c r="A412" s="123" t="s">
        <v>1207</v>
      </c>
      <c r="B412" s="123" t="s">
        <v>689</v>
      </c>
      <c r="C412" s="123"/>
      <c r="D412" s="123" t="s">
        <v>690</v>
      </c>
      <c r="E412" s="125">
        <f t="shared" ref="E412:P412" si="356">E413</f>
        <v>0</v>
      </c>
      <c r="F412" s="125">
        <f t="shared" si="356"/>
        <v>0</v>
      </c>
      <c r="G412" s="125">
        <f t="shared" si="356"/>
        <v>0</v>
      </c>
      <c r="H412" s="125">
        <f t="shared" si="356"/>
        <v>0</v>
      </c>
      <c r="I412" s="125">
        <f t="shared" si="356"/>
        <v>0</v>
      </c>
      <c r="J412" s="125">
        <f t="shared" si="356"/>
        <v>0</v>
      </c>
      <c r="K412" s="125">
        <f t="shared" si="356"/>
        <v>0</v>
      </c>
      <c r="L412" s="125">
        <f t="shared" si="356"/>
        <v>0</v>
      </c>
      <c r="M412" s="125">
        <f t="shared" si="356"/>
        <v>0</v>
      </c>
      <c r="N412" s="125">
        <f t="shared" si="356"/>
        <v>0</v>
      </c>
      <c r="O412" s="125">
        <f t="shared" si="356"/>
        <v>0</v>
      </c>
      <c r="P412" s="125">
        <f t="shared" si="356"/>
        <v>0</v>
      </c>
      <c r="Q412" s="47"/>
    </row>
    <row r="413" spans="1:18" ht="91.5" hidden="1" thickTop="1" thickBot="1" x14ac:dyDescent="0.25">
      <c r="A413" s="134" t="s">
        <v>1206</v>
      </c>
      <c r="B413" s="134" t="s">
        <v>509</v>
      </c>
      <c r="C413" s="134" t="s">
        <v>43</v>
      </c>
      <c r="D413" s="134" t="s">
        <v>510</v>
      </c>
      <c r="E413" s="135">
        <f t="shared" ref="E413" si="357">F413</f>
        <v>0</v>
      </c>
      <c r="F413" s="135">
        <v>0</v>
      </c>
      <c r="G413" s="135"/>
      <c r="H413" s="135"/>
      <c r="I413" s="135"/>
      <c r="J413" s="135">
        <f>L413+O413</f>
        <v>0</v>
      </c>
      <c r="K413" s="132">
        <v>0</v>
      </c>
      <c r="L413" s="135"/>
      <c r="M413" s="135"/>
      <c r="N413" s="135"/>
      <c r="O413" s="135">
        <f>(K413+0)</f>
        <v>0</v>
      </c>
      <c r="P413" s="135">
        <f>E413+J413</f>
        <v>0</v>
      </c>
      <c r="Q413" s="47"/>
    </row>
    <row r="414" spans="1:18" ht="120" customHeight="1" thickTop="1" thickBot="1" x14ac:dyDescent="0.25">
      <c r="A414" s="624" t="s">
        <v>161</v>
      </c>
      <c r="B414" s="624"/>
      <c r="C414" s="624"/>
      <c r="D414" s="625" t="s">
        <v>878</v>
      </c>
      <c r="E414" s="626">
        <f>E415</f>
        <v>10419896</v>
      </c>
      <c r="F414" s="627">
        <f t="shared" ref="F414:G414" si="358">F415</f>
        <v>10419896</v>
      </c>
      <c r="G414" s="627">
        <f t="shared" si="358"/>
        <v>7782677</v>
      </c>
      <c r="H414" s="627">
        <f>H415</f>
        <v>278230</v>
      </c>
      <c r="I414" s="627">
        <f t="shared" ref="I414" si="359">I415</f>
        <v>0</v>
      </c>
      <c r="J414" s="626">
        <f>J415</f>
        <v>122000</v>
      </c>
      <c r="K414" s="627">
        <f>K415</f>
        <v>122000</v>
      </c>
      <c r="L414" s="627">
        <f>L415</f>
        <v>0</v>
      </c>
      <c r="M414" s="627">
        <f t="shared" ref="M414" si="360">M415</f>
        <v>0</v>
      </c>
      <c r="N414" s="627">
        <f>N415</f>
        <v>0</v>
      </c>
      <c r="O414" s="626">
        <f>O415</f>
        <v>122000</v>
      </c>
      <c r="P414" s="627">
        <f t="shared" ref="P414" si="361">P415</f>
        <v>10541896</v>
      </c>
      <c r="Q414" s="20"/>
    </row>
    <row r="415" spans="1:18" ht="120" customHeight="1" thickTop="1" thickBot="1" x14ac:dyDescent="0.25">
      <c r="A415" s="588" t="s">
        <v>162</v>
      </c>
      <c r="B415" s="588"/>
      <c r="C415" s="588"/>
      <c r="D415" s="589" t="s">
        <v>877</v>
      </c>
      <c r="E415" s="590">
        <f>E416+E418</f>
        <v>10419896</v>
      </c>
      <c r="F415" s="590">
        <f t="shared" ref="F415:I415" si="362">F416+F418</f>
        <v>10419896</v>
      </c>
      <c r="G415" s="590">
        <f t="shared" si="362"/>
        <v>7782677</v>
      </c>
      <c r="H415" s="590">
        <f t="shared" si="362"/>
        <v>278230</v>
      </c>
      <c r="I415" s="590">
        <f t="shared" si="362"/>
        <v>0</v>
      </c>
      <c r="J415" s="590">
        <f>L415+O415</f>
        <v>122000</v>
      </c>
      <c r="K415" s="590">
        <f t="shared" ref="K415:O415" si="363">K416+K418</f>
        <v>122000</v>
      </c>
      <c r="L415" s="590">
        <f t="shared" si="363"/>
        <v>0</v>
      </c>
      <c r="M415" s="590">
        <f t="shared" si="363"/>
        <v>0</v>
      </c>
      <c r="N415" s="590">
        <f t="shared" si="363"/>
        <v>0</v>
      </c>
      <c r="O415" s="590">
        <f t="shared" si="363"/>
        <v>122000</v>
      </c>
      <c r="P415" s="590">
        <f>E415+J415</f>
        <v>10541896</v>
      </c>
      <c r="Q415" s="452" t="b">
        <f>P415=P417+P420+P422</f>
        <v>1</v>
      </c>
      <c r="R415" s="45"/>
    </row>
    <row r="416" spans="1:18" ht="47.25" thickTop="1" thickBot="1" x14ac:dyDescent="0.25">
      <c r="A416" s="298" t="s">
        <v>821</v>
      </c>
      <c r="B416" s="298" t="s">
        <v>672</v>
      </c>
      <c r="C416" s="298"/>
      <c r="D416" s="298" t="s">
        <v>673</v>
      </c>
      <c r="E416" s="310">
        <f>SUM(E417)</f>
        <v>10129896</v>
      </c>
      <c r="F416" s="310">
        <f t="shared" ref="F416:P416" si="364">SUM(F417)</f>
        <v>10129896</v>
      </c>
      <c r="G416" s="310">
        <f t="shared" si="364"/>
        <v>7782677</v>
      </c>
      <c r="H416" s="310">
        <f t="shared" si="364"/>
        <v>278230</v>
      </c>
      <c r="I416" s="310">
        <f t="shared" si="364"/>
        <v>0</v>
      </c>
      <c r="J416" s="310">
        <f t="shared" si="364"/>
        <v>112000</v>
      </c>
      <c r="K416" s="310">
        <f t="shared" si="364"/>
        <v>112000</v>
      </c>
      <c r="L416" s="310">
        <f t="shared" si="364"/>
        <v>0</v>
      </c>
      <c r="M416" s="310">
        <f t="shared" si="364"/>
        <v>0</v>
      </c>
      <c r="N416" s="310">
        <f t="shared" si="364"/>
        <v>0</v>
      </c>
      <c r="O416" s="310">
        <f t="shared" si="364"/>
        <v>112000</v>
      </c>
      <c r="P416" s="310">
        <f t="shared" si="364"/>
        <v>10241896</v>
      </c>
      <c r="Q416" s="47"/>
      <c r="R416" s="45"/>
    </row>
    <row r="417" spans="1:19" ht="93" thickTop="1" thickBot="1" x14ac:dyDescent="0.25">
      <c r="A417" s="101" t="s">
        <v>413</v>
      </c>
      <c r="B417" s="101" t="s">
        <v>235</v>
      </c>
      <c r="C417" s="101" t="s">
        <v>233</v>
      </c>
      <c r="D417" s="101" t="s">
        <v>234</v>
      </c>
      <c r="E417" s="310">
        <f>F417</f>
        <v>10129896</v>
      </c>
      <c r="F417" s="425">
        <f>(10104896)+25000</f>
        <v>10129896</v>
      </c>
      <c r="G417" s="425">
        <v>7782677</v>
      </c>
      <c r="H417" s="425">
        <v>278230</v>
      </c>
      <c r="I417" s="425"/>
      <c r="J417" s="310">
        <f>L417+O417</f>
        <v>112000</v>
      </c>
      <c r="K417" s="425">
        <f>(0)+112000</f>
        <v>112000</v>
      </c>
      <c r="L417" s="425"/>
      <c r="M417" s="425"/>
      <c r="N417" s="425"/>
      <c r="O417" s="422">
        <f>K417</f>
        <v>112000</v>
      </c>
      <c r="P417" s="310">
        <f>E417+J417</f>
        <v>10241896</v>
      </c>
      <c r="Q417" s="20"/>
      <c r="R417" s="45"/>
    </row>
    <row r="418" spans="1:19" ht="47.25" thickTop="1" thickBot="1" x14ac:dyDescent="0.25">
      <c r="A418" s="298" t="s">
        <v>822</v>
      </c>
      <c r="B418" s="298" t="s">
        <v>735</v>
      </c>
      <c r="C418" s="101"/>
      <c r="D418" s="298" t="s">
        <v>780</v>
      </c>
      <c r="E418" s="310">
        <f t="shared" ref="E418:P418" si="365">E419+E421</f>
        <v>290000</v>
      </c>
      <c r="F418" s="310">
        <f t="shared" si="365"/>
        <v>290000</v>
      </c>
      <c r="G418" s="310">
        <f t="shared" si="365"/>
        <v>0</v>
      </c>
      <c r="H418" s="310">
        <f t="shared" si="365"/>
        <v>0</v>
      </c>
      <c r="I418" s="310">
        <f t="shared" si="365"/>
        <v>0</v>
      </c>
      <c r="J418" s="310">
        <f t="shared" si="365"/>
        <v>10000</v>
      </c>
      <c r="K418" s="310">
        <f t="shared" si="365"/>
        <v>10000</v>
      </c>
      <c r="L418" s="310">
        <f t="shared" si="365"/>
        <v>0</v>
      </c>
      <c r="M418" s="310">
        <f t="shared" si="365"/>
        <v>0</v>
      </c>
      <c r="N418" s="310">
        <f t="shared" si="365"/>
        <v>0</v>
      </c>
      <c r="O418" s="310">
        <f t="shared" si="365"/>
        <v>10000</v>
      </c>
      <c r="P418" s="310">
        <f t="shared" si="365"/>
        <v>300000</v>
      </c>
      <c r="Q418" s="20"/>
      <c r="R418" s="47"/>
    </row>
    <row r="419" spans="1:19" ht="47.25" thickTop="1" thickBot="1" x14ac:dyDescent="0.25">
      <c r="A419" s="593" t="s">
        <v>823</v>
      </c>
      <c r="B419" s="593" t="s">
        <v>824</v>
      </c>
      <c r="C419" s="593"/>
      <c r="D419" s="593" t="s">
        <v>825</v>
      </c>
      <c r="E419" s="595">
        <f>SUM(E420)</f>
        <v>290000</v>
      </c>
      <c r="F419" s="595">
        <f t="shared" ref="F419:P419" si="366">SUM(F420)</f>
        <v>290000</v>
      </c>
      <c r="G419" s="595">
        <f t="shared" si="366"/>
        <v>0</v>
      </c>
      <c r="H419" s="595">
        <f t="shared" si="366"/>
        <v>0</v>
      </c>
      <c r="I419" s="595">
        <f t="shared" si="366"/>
        <v>0</v>
      </c>
      <c r="J419" s="595">
        <f t="shared" si="366"/>
        <v>0</v>
      </c>
      <c r="K419" s="595">
        <f t="shared" si="366"/>
        <v>0</v>
      </c>
      <c r="L419" s="595">
        <f t="shared" si="366"/>
        <v>0</v>
      </c>
      <c r="M419" s="595">
        <f t="shared" si="366"/>
        <v>0</v>
      </c>
      <c r="N419" s="595">
        <f t="shared" si="366"/>
        <v>0</v>
      </c>
      <c r="O419" s="595">
        <f t="shared" si="366"/>
        <v>0</v>
      </c>
      <c r="P419" s="595">
        <f t="shared" si="366"/>
        <v>290000</v>
      </c>
      <c r="Q419" s="20"/>
      <c r="R419" s="47"/>
    </row>
    <row r="420" spans="1:19" ht="48" thickTop="1" thickBot="1" x14ac:dyDescent="0.25">
      <c r="A420" s="101" t="s">
        <v>304</v>
      </c>
      <c r="B420" s="101" t="s">
        <v>305</v>
      </c>
      <c r="C420" s="101" t="s">
        <v>306</v>
      </c>
      <c r="D420" s="101" t="s">
        <v>456</v>
      </c>
      <c r="E420" s="310">
        <f>F420</f>
        <v>290000</v>
      </c>
      <c r="F420" s="425">
        <f>((90000)+50000)+150000</f>
        <v>290000</v>
      </c>
      <c r="G420" s="425"/>
      <c r="H420" s="425"/>
      <c r="I420" s="425"/>
      <c r="J420" s="310">
        <f>L420+O420</f>
        <v>0</v>
      </c>
      <c r="K420" s="425"/>
      <c r="L420" s="425"/>
      <c r="M420" s="425"/>
      <c r="N420" s="425"/>
      <c r="O420" s="422">
        <f>(K420)</f>
        <v>0</v>
      </c>
      <c r="P420" s="310">
        <f>E420+J420</f>
        <v>290000</v>
      </c>
      <c r="Q420" s="20"/>
      <c r="R420" s="45"/>
    </row>
    <row r="421" spans="1:19" ht="47.25" thickTop="1" thickBot="1" x14ac:dyDescent="0.25">
      <c r="A421" s="593" t="s">
        <v>826</v>
      </c>
      <c r="B421" s="593" t="s">
        <v>679</v>
      </c>
      <c r="C421" s="101"/>
      <c r="D421" s="593" t="s">
        <v>827</v>
      </c>
      <c r="E421" s="595">
        <f>SUM(E422)</f>
        <v>0</v>
      </c>
      <c r="F421" s="595">
        <f t="shared" ref="F421:P421" si="367">SUM(F422)</f>
        <v>0</v>
      </c>
      <c r="G421" s="595">
        <f t="shared" si="367"/>
        <v>0</v>
      </c>
      <c r="H421" s="595">
        <f t="shared" si="367"/>
        <v>0</v>
      </c>
      <c r="I421" s="595">
        <f t="shared" si="367"/>
        <v>0</v>
      </c>
      <c r="J421" s="595">
        <f t="shared" si="367"/>
        <v>10000</v>
      </c>
      <c r="K421" s="595">
        <f t="shared" si="367"/>
        <v>10000</v>
      </c>
      <c r="L421" s="595">
        <f t="shared" si="367"/>
        <v>0</v>
      </c>
      <c r="M421" s="595">
        <f t="shared" si="367"/>
        <v>0</v>
      </c>
      <c r="N421" s="595">
        <f t="shared" si="367"/>
        <v>0</v>
      </c>
      <c r="O421" s="595">
        <f t="shared" si="367"/>
        <v>10000</v>
      </c>
      <c r="P421" s="595">
        <f t="shared" si="367"/>
        <v>10000</v>
      </c>
      <c r="Q421" s="20"/>
    </row>
    <row r="422" spans="1:19" ht="48" thickTop="1" thickBot="1" x14ac:dyDescent="0.25">
      <c r="A422" s="101" t="s">
        <v>364</v>
      </c>
      <c r="B422" s="101" t="s">
        <v>365</v>
      </c>
      <c r="C422" s="101" t="s">
        <v>169</v>
      </c>
      <c r="D422" s="101" t="s">
        <v>366</v>
      </c>
      <c r="E422" s="310">
        <f>F422</f>
        <v>0</v>
      </c>
      <c r="F422" s="425"/>
      <c r="G422" s="425"/>
      <c r="H422" s="425"/>
      <c r="I422" s="425"/>
      <c r="J422" s="310">
        <f>L422+O422</f>
        <v>10000</v>
      </c>
      <c r="K422" s="425">
        <v>10000</v>
      </c>
      <c r="L422" s="425"/>
      <c r="M422" s="425"/>
      <c r="N422" s="425"/>
      <c r="O422" s="422">
        <f>K422</f>
        <v>10000</v>
      </c>
      <c r="P422" s="310">
        <f>E422+J422</f>
        <v>10000</v>
      </c>
      <c r="Q422" s="20"/>
      <c r="R422" s="45"/>
    </row>
    <row r="423" spans="1:19" ht="120" customHeight="1" thickTop="1" thickBot="1" x14ac:dyDescent="0.25">
      <c r="A423" s="624" t="s">
        <v>167</v>
      </c>
      <c r="B423" s="624"/>
      <c r="C423" s="624"/>
      <c r="D423" s="625" t="s">
        <v>27</v>
      </c>
      <c r="E423" s="626">
        <f>E424</f>
        <v>187677653</v>
      </c>
      <c r="F423" s="627">
        <f t="shared" ref="F423:G423" si="368">F424</f>
        <v>187677653</v>
      </c>
      <c r="G423" s="627">
        <f t="shared" si="368"/>
        <v>10181430</v>
      </c>
      <c r="H423" s="627">
        <f>H424</f>
        <v>282050</v>
      </c>
      <c r="I423" s="627">
        <f t="shared" ref="I423" si="369">I424</f>
        <v>0</v>
      </c>
      <c r="J423" s="626">
        <f>J424</f>
        <v>0</v>
      </c>
      <c r="K423" s="627">
        <f>K424</f>
        <v>0</v>
      </c>
      <c r="L423" s="627">
        <f>L424</f>
        <v>0</v>
      </c>
      <c r="M423" s="627">
        <f t="shared" ref="M423" si="370">M424</f>
        <v>0</v>
      </c>
      <c r="N423" s="627">
        <f>N424</f>
        <v>0</v>
      </c>
      <c r="O423" s="626">
        <f>O424</f>
        <v>0</v>
      </c>
      <c r="P423" s="627">
        <f t="shared" ref="P423" si="371">P424</f>
        <v>187677653</v>
      </c>
      <c r="Q423" s="20"/>
    </row>
    <row r="424" spans="1:19" ht="120" customHeight="1" thickTop="1" thickBot="1" x14ac:dyDescent="0.25">
      <c r="A424" s="588" t="s">
        <v>168</v>
      </c>
      <c r="B424" s="588"/>
      <c r="C424" s="588"/>
      <c r="D424" s="589" t="s">
        <v>40</v>
      </c>
      <c r="E424" s="590">
        <f>E425+E431+E438+E428</f>
        <v>187677653</v>
      </c>
      <c r="F424" s="590">
        <f t="shared" ref="F424:P424" si="372">F425+F431+F438+F428</f>
        <v>187677653</v>
      </c>
      <c r="G424" s="590">
        <f t="shared" si="372"/>
        <v>10181430</v>
      </c>
      <c r="H424" s="590">
        <f t="shared" si="372"/>
        <v>282050</v>
      </c>
      <c r="I424" s="590">
        <f t="shared" si="372"/>
        <v>0</v>
      </c>
      <c r="J424" s="590">
        <f t="shared" si="372"/>
        <v>0</v>
      </c>
      <c r="K424" s="590">
        <f t="shared" si="372"/>
        <v>0</v>
      </c>
      <c r="L424" s="590">
        <f t="shared" si="372"/>
        <v>0</v>
      </c>
      <c r="M424" s="590">
        <f t="shared" si="372"/>
        <v>0</v>
      </c>
      <c r="N424" s="590">
        <f t="shared" si="372"/>
        <v>0</v>
      </c>
      <c r="O424" s="590">
        <f t="shared" si="372"/>
        <v>0</v>
      </c>
      <c r="P424" s="590">
        <f t="shared" si="372"/>
        <v>187677653</v>
      </c>
      <c r="Q424" s="452" t="b">
        <f>P424=P426+P432+P434+P440</f>
        <v>1</v>
      </c>
      <c r="R424" s="45"/>
    </row>
    <row r="425" spans="1:19" ht="47.25" thickTop="1" thickBot="1" x14ac:dyDescent="0.25">
      <c r="A425" s="298" t="s">
        <v>828</v>
      </c>
      <c r="B425" s="298" t="s">
        <v>672</v>
      </c>
      <c r="C425" s="298"/>
      <c r="D425" s="298" t="s">
        <v>673</v>
      </c>
      <c r="E425" s="310">
        <f>SUM(E426:E427)</f>
        <v>13025321</v>
      </c>
      <c r="F425" s="310">
        <f t="shared" ref="F425:P425" si="373">SUM(F426:F427)</f>
        <v>13025321</v>
      </c>
      <c r="G425" s="310">
        <f t="shared" si="373"/>
        <v>10181430</v>
      </c>
      <c r="H425" s="310">
        <f t="shared" si="373"/>
        <v>282050</v>
      </c>
      <c r="I425" s="310">
        <f t="shared" si="373"/>
        <v>0</v>
      </c>
      <c r="J425" s="310">
        <f t="shared" si="373"/>
        <v>0</v>
      </c>
      <c r="K425" s="310">
        <f t="shared" si="373"/>
        <v>0</v>
      </c>
      <c r="L425" s="310">
        <f t="shared" si="373"/>
        <v>0</v>
      </c>
      <c r="M425" s="310">
        <f t="shared" si="373"/>
        <v>0</v>
      </c>
      <c r="N425" s="310">
        <f t="shared" si="373"/>
        <v>0</v>
      </c>
      <c r="O425" s="310">
        <f t="shared" si="373"/>
        <v>0</v>
      </c>
      <c r="P425" s="310">
        <f t="shared" si="373"/>
        <v>13025321</v>
      </c>
      <c r="Q425" s="47"/>
      <c r="R425" s="50"/>
    </row>
    <row r="426" spans="1:19" ht="93" thickTop="1" thickBot="1" x14ac:dyDescent="0.25">
      <c r="A426" s="101" t="s">
        <v>415</v>
      </c>
      <c r="B426" s="101" t="s">
        <v>235</v>
      </c>
      <c r="C426" s="101" t="s">
        <v>233</v>
      </c>
      <c r="D426" s="101" t="s">
        <v>234</v>
      </c>
      <c r="E426" s="310">
        <f>F426</f>
        <v>13025321</v>
      </c>
      <c r="F426" s="425">
        <v>13025321</v>
      </c>
      <c r="G426" s="425">
        <v>10181430</v>
      </c>
      <c r="H426" s="425">
        <v>282050</v>
      </c>
      <c r="I426" s="425"/>
      <c r="J426" s="310">
        <f>L426+O426</f>
        <v>0</v>
      </c>
      <c r="K426" s="425"/>
      <c r="L426" s="425"/>
      <c r="M426" s="425"/>
      <c r="N426" s="425"/>
      <c r="O426" s="422">
        <f>K426</f>
        <v>0</v>
      </c>
      <c r="P426" s="310">
        <f>E426+J426</f>
        <v>13025321</v>
      </c>
      <c r="Q426" s="47"/>
      <c r="R426" s="50"/>
      <c r="S426" s="47"/>
    </row>
    <row r="427" spans="1:19" ht="93" hidden="1" thickTop="1" thickBot="1" x14ac:dyDescent="0.25">
      <c r="A427" s="126" t="s">
        <v>625</v>
      </c>
      <c r="B427" s="126" t="s">
        <v>358</v>
      </c>
      <c r="C427" s="126" t="s">
        <v>616</v>
      </c>
      <c r="D427" s="126" t="s">
        <v>617</v>
      </c>
      <c r="E427" s="150">
        <f>F427</f>
        <v>0</v>
      </c>
      <c r="F427" s="127"/>
      <c r="G427" s="127"/>
      <c r="H427" s="127"/>
      <c r="I427" s="127"/>
      <c r="J427" s="125">
        <f t="shared" ref="J427" si="374">L427+O427</f>
        <v>0</v>
      </c>
      <c r="K427" s="127"/>
      <c r="L427" s="128"/>
      <c r="M427" s="128"/>
      <c r="N427" s="128"/>
      <c r="O427" s="130">
        <f t="shared" ref="O427" si="375">K427</f>
        <v>0</v>
      </c>
      <c r="P427" s="125">
        <f t="shared" ref="P427" si="376">+J427+E427</f>
        <v>0</v>
      </c>
      <c r="Q427" s="47"/>
      <c r="R427" s="50"/>
    </row>
    <row r="428" spans="1:19" ht="47.25" hidden="1" thickTop="1" thickBot="1" x14ac:dyDescent="0.25">
      <c r="A428" s="134" t="s">
        <v>1163</v>
      </c>
      <c r="B428" s="134" t="s">
        <v>679</v>
      </c>
      <c r="C428" s="134"/>
      <c r="D428" s="134" t="s">
        <v>677</v>
      </c>
      <c r="E428" s="162">
        <f>E429</f>
        <v>0</v>
      </c>
      <c r="F428" s="162">
        <f t="shared" ref="F428:P429" si="377">F429</f>
        <v>0</v>
      </c>
      <c r="G428" s="162">
        <f t="shared" si="377"/>
        <v>0</v>
      </c>
      <c r="H428" s="162">
        <f t="shared" si="377"/>
        <v>0</v>
      </c>
      <c r="I428" s="162">
        <f t="shared" si="377"/>
        <v>0</v>
      </c>
      <c r="J428" s="162">
        <f t="shared" si="377"/>
        <v>0</v>
      </c>
      <c r="K428" s="162">
        <f t="shared" si="377"/>
        <v>0</v>
      </c>
      <c r="L428" s="162">
        <f t="shared" si="377"/>
        <v>0</v>
      </c>
      <c r="M428" s="162">
        <f t="shared" si="377"/>
        <v>0</v>
      </c>
      <c r="N428" s="162">
        <f t="shared" si="377"/>
        <v>0</v>
      </c>
      <c r="O428" s="162">
        <f t="shared" si="377"/>
        <v>0</v>
      </c>
      <c r="P428" s="162">
        <f t="shared" si="377"/>
        <v>0</v>
      </c>
      <c r="Q428" s="47"/>
      <c r="R428" s="50"/>
    </row>
    <row r="429" spans="1:19" ht="48" hidden="1" thickTop="1" thickBot="1" x14ac:dyDescent="0.25">
      <c r="A429" s="138" t="s">
        <v>1164</v>
      </c>
      <c r="B429" s="138" t="s">
        <v>682</v>
      </c>
      <c r="C429" s="138"/>
      <c r="D429" s="138" t="s">
        <v>680</v>
      </c>
      <c r="E429" s="139">
        <f>E430</f>
        <v>0</v>
      </c>
      <c r="F429" s="139">
        <f t="shared" si="377"/>
        <v>0</v>
      </c>
      <c r="G429" s="139">
        <f t="shared" si="377"/>
        <v>0</v>
      </c>
      <c r="H429" s="139">
        <f t="shared" si="377"/>
        <v>0</v>
      </c>
      <c r="I429" s="139">
        <f t="shared" si="377"/>
        <v>0</v>
      </c>
      <c r="J429" s="139">
        <f t="shared" si="377"/>
        <v>0</v>
      </c>
      <c r="K429" s="139">
        <f t="shared" si="377"/>
        <v>0</v>
      </c>
      <c r="L429" s="139">
        <f t="shared" si="377"/>
        <v>0</v>
      </c>
      <c r="M429" s="139">
        <f t="shared" si="377"/>
        <v>0</v>
      </c>
      <c r="N429" s="139">
        <f t="shared" si="377"/>
        <v>0</v>
      </c>
      <c r="O429" s="139">
        <f t="shared" si="377"/>
        <v>0</v>
      </c>
      <c r="P429" s="139">
        <f t="shared" si="377"/>
        <v>0</v>
      </c>
      <c r="Q429" s="47"/>
      <c r="R429" s="50"/>
    </row>
    <row r="430" spans="1:19" ht="48" hidden="1" thickTop="1" thickBot="1" x14ac:dyDescent="0.25">
      <c r="A430" s="126" t="s">
        <v>1165</v>
      </c>
      <c r="B430" s="126" t="s">
        <v>255</v>
      </c>
      <c r="C430" s="126" t="s">
        <v>169</v>
      </c>
      <c r="D430" s="126" t="s">
        <v>253</v>
      </c>
      <c r="E430" s="125">
        <f t="shared" ref="E430" si="378">F430</f>
        <v>0</v>
      </c>
      <c r="F430" s="132"/>
      <c r="G430" s="132"/>
      <c r="H430" s="132"/>
      <c r="I430" s="132"/>
      <c r="J430" s="125">
        <f t="shared" ref="J430" si="379">L430+O430</f>
        <v>0</v>
      </c>
      <c r="K430" s="132"/>
      <c r="L430" s="132"/>
      <c r="M430" s="132"/>
      <c r="N430" s="132"/>
      <c r="O430" s="130">
        <f>K430</f>
        <v>0</v>
      </c>
      <c r="P430" s="125">
        <f t="shared" ref="P430" si="380">E430+J430</f>
        <v>0</v>
      </c>
      <c r="Q430" s="47"/>
      <c r="R430" s="50"/>
    </row>
    <row r="431" spans="1:19" ht="47.25" thickTop="1" thickBot="1" x14ac:dyDescent="0.25">
      <c r="A431" s="298" t="s">
        <v>829</v>
      </c>
      <c r="B431" s="298" t="s">
        <v>684</v>
      </c>
      <c r="C431" s="298"/>
      <c r="D431" s="298" t="s">
        <v>685</v>
      </c>
      <c r="E431" s="299">
        <f t="shared" ref="E431:P431" si="381">E432+E433+E435</f>
        <v>8461532</v>
      </c>
      <c r="F431" s="299">
        <f t="shared" si="381"/>
        <v>8461532</v>
      </c>
      <c r="G431" s="299">
        <f t="shared" si="381"/>
        <v>0</v>
      </c>
      <c r="H431" s="299">
        <f t="shared" si="381"/>
        <v>0</v>
      </c>
      <c r="I431" s="299">
        <f t="shared" si="381"/>
        <v>0</v>
      </c>
      <c r="J431" s="299">
        <f t="shared" si="381"/>
        <v>0</v>
      </c>
      <c r="K431" s="299">
        <f t="shared" si="381"/>
        <v>0</v>
      </c>
      <c r="L431" s="299">
        <f t="shared" si="381"/>
        <v>0</v>
      </c>
      <c r="M431" s="299">
        <f t="shared" si="381"/>
        <v>0</v>
      </c>
      <c r="N431" s="299">
        <f t="shared" si="381"/>
        <v>0</v>
      </c>
      <c r="O431" s="299">
        <f t="shared" si="381"/>
        <v>0</v>
      </c>
      <c r="P431" s="299">
        <f t="shared" si="381"/>
        <v>8461532</v>
      </c>
      <c r="Q431" s="47"/>
      <c r="R431" s="50"/>
    </row>
    <row r="432" spans="1:19" ht="47.25" thickTop="1" thickBot="1" x14ac:dyDescent="0.25">
      <c r="A432" s="644">
        <v>3718600</v>
      </c>
      <c r="B432" s="644">
        <v>8600</v>
      </c>
      <c r="C432" s="593" t="s">
        <v>358</v>
      </c>
      <c r="D432" s="644" t="s">
        <v>447</v>
      </c>
      <c r="E432" s="595">
        <f>F432</f>
        <v>773346</v>
      </c>
      <c r="F432" s="595">
        <v>773346</v>
      </c>
      <c r="G432" s="595"/>
      <c r="H432" s="595"/>
      <c r="I432" s="595"/>
      <c r="J432" s="595">
        <f>L432+O432</f>
        <v>0</v>
      </c>
      <c r="K432" s="595"/>
      <c r="L432" s="595"/>
      <c r="M432" s="595"/>
      <c r="N432" s="595"/>
      <c r="O432" s="656">
        <f>K432</f>
        <v>0</v>
      </c>
      <c r="P432" s="595">
        <f>E432+J432</f>
        <v>773346</v>
      </c>
      <c r="Q432" s="20"/>
    </row>
    <row r="433" spans="1:18" ht="47.25" thickTop="1" thickBot="1" x14ac:dyDescent="0.25">
      <c r="A433" s="644">
        <v>3718700</v>
      </c>
      <c r="B433" s="644">
        <v>8700</v>
      </c>
      <c r="C433" s="593"/>
      <c r="D433" s="644" t="s">
        <v>830</v>
      </c>
      <c r="E433" s="595">
        <f t="shared" ref="E433:P433" si="382">E434</f>
        <v>7688186</v>
      </c>
      <c r="F433" s="595">
        <f t="shared" si="382"/>
        <v>7688186</v>
      </c>
      <c r="G433" s="595">
        <f t="shared" si="382"/>
        <v>0</v>
      </c>
      <c r="H433" s="595">
        <f t="shared" si="382"/>
        <v>0</v>
      </c>
      <c r="I433" s="595">
        <f t="shared" si="382"/>
        <v>0</v>
      </c>
      <c r="J433" s="595">
        <f t="shared" si="382"/>
        <v>0</v>
      </c>
      <c r="K433" s="595">
        <f t="shared" si="382"/>
        <v>0</v>
      </c>
      <c r="L433" s="595">
        <f t="shared" si="382"/>
        <v>0</v>
      </c>
      <c r="M433" s="595">
        <f t="shared" si="382"/>
        <v>0</v>
      </c>
      <c r="N433" s="595">
        <f t="shared" si="382"/>
        <v>0</v>
      </c>
      <c r="O433" s="595">
        <f t="shared" si="382"/>
        <v>0</v>
      </c>
      <c r="P433" s="595">
        <f t="shared" si="382"/>
        <v>7688186</v>
      </c>
      <c r="Q433" s="20"/>
    </row>
    <row r="434" spans="1:18" ht="69" customHeight="1" thickTop="1" thickBot="1" x14ac:dyDescent="0.25">
      <c r="A434" s="311">
        <v>3718710</v>
      </c>
      <c r="B434" s="311">
        <v>8710</v>
      </c>
      <c r="C434" s="101" t="s">
        <v>42</v>
      </c>
      <c r="D434" s="600" t="s">
        <v>631</v>
      </c>
      <c r="E434" s="310">
        <f>F434</f>
        <v>7688186</v>
      </c>
      <c r="F434" s="425">
        <f>(12074519-2000000-3500000)+2263267-150000-200000-799600</f>
        <v>7688186</v>
      </c>
      <c r="G434" s="425"/>
      <c r="H434" s="425"/>
      <c r="I434" s="425"/>
      <c r="J434" s="310">
        <f>L434+O434</f>
        <v>0</v>
      </c>
      <c r="K434" s="425"/>
      <c r="L434" s="425"/>
      <c r="M434" s="425"/>
      <c r="N434" s="425"/>
      <c r="O434" s="422">
        <f>K434</f>
        <v>0</v>
      </c>
      <c r="P434" s="310">
        <f>E434+J434</f>
        <v>7688186</v>
      </c>
      <c r="Q434" s="20"/>
    </row>
    <row r="435" spans="1:18" ht="47.25" hidden="1" thickTop="1" thickBot="1" x14ac:dyDescent="0.25">
      <c r="A435" s="163">
        <v>3718800</v>
      </c>
      <c r="B435" s="163">
        <v>8800</v>
      </c>
      <c r="C435" s="134"/>
      <c r="D435" s="163" t="s">
        <v>838</v>
      </c>
      <c r="E435" s="135">
        <f>E436</f>
        <v>0</v>
      </c>
      <c r="F435" s="135">
        <f>F436</f>
        <v>0</v>
      </c>
      <c r="G435" s="135">
        <f t="shared" ref="G435:P436" si="383">G436</f>
        <v>0</v>
      </c>
      <c r="H435" s="135">
        <f t="shared" si="383"/>
        <v>0</v>
      </c>
      <c r="I435" s="135">
        <f t="shared" si="383"/>
        <v>0</v>
      </c>
      <c r="J435" s="135">
        <f t="shared" si="383"/>
        <v>0</v>
      </c>
      <c r="K435" s="135">
        <f t="shared" si="383"/>
        <v>0</v>
      </c>
      <c r="L435" s="135">
        <f t="shared" si="383"/>
        <v>0</v>
      </c>
      <c r="M435" s="135">
        <f t="shared" si="383"/>
        <v>0</v>
      </c>
      <c r="N435" s="135">
        <f t="shared" si="383"/>
        <v>0</v>
      </c>
      <c r="O435" s="135">
        <f t="shared" si="383"/>
        <v>0</v>
      </c>
      <c r="P435" s="135">
        <f t="shared" si="383"/>
        <v>0</v>
      </c>
      <c r="Q435" s="20"/>
    </row>
    <row r="436" spans="1:18" ht="93" hidden="1" thickTop="1" thickBot="1" x14ac:dyDescent="0.25">
      <c r="A436" s="164">
        <v>3718880</v>
      </c>
      <c r="B436" s="164">
        <v>8880</v>
      </c>
      <c r="C436" s="138"/>
      <c r="D436" s="151" t="s">
        <v>1115</v>
      </c>
      <c r="E436" s="139">
        <f>E437</f>
        <v>0</v>
      </c>
      <c r="F436" s="139">
        <f t="shared" ref="F436" si="384">F437</f>
        <v>0</v>
      </c>
      <c r="G436" s="139">
        <f t="shared" si="383"/>
        <v>0</v>
      </c>
      <c r="H436" s="139">
        <f t="shared" si="383"/>
        <v>0</v>
      </c>
      <c r="I436" s="139">
        <f t="shared" si="383"/>
        <v>0</v>
      </c>
      <c r="J436" s="139">
        <f t="shared" si="383"/>
        <v>0</v>
      </c>
      <c r="K436" s="139">
        <f t="shared" si="383"/>
        <v>0</v>
      </c>
      <c r="L436" s="139">
        <f t="shared" si="383"/>
        <v>0</v>
      </c>
      <c r="M436" s="139">
        <f t="shared" si="383"/>
        <v>0</v>
      </c>
      <c r="N436" s="139">
        <f t="shared" si="383"/>
        <v>0</v>
      </c>
      <c r="O436" s="139">
        <f t="shared" si="383"/>
        <v>0</v>
      </c>
      <c r="P436" s="139">
        <f t="shared" si="383"/>
        <v>0</v>
      </c>
      <c r="Q436" s="20"/>
    </row>
    <row r="437" spans="1:18" ht="93" hidden="1" thickTop="1" thickBot="1" x14ac:dyDescent="0.25">
      <c r="A437" s="126">
        <v>3718881</v>
      </c>
      <c r="B437" s="126">
        <v>8881</v>
      </c>
      <c r="C437" s="126" t="s">
        <v>169</v>
      </c>
      <c r="D437" s="126" t="s">
        <v>1116</v>
      </c>
      <c r="E437" s="150">
        <f>F437</f>
        <v>0</v>
      </c>
      <c r="F437" s="127">
        <f>(2500000)-2500000</f>
        <v>0</v>
      </c>
      <c r="G437" s="127"/>
      <c r="H437" s="127"/>
      <c r="I437" s="127"/>
      <c r="J437" s="125">
        <f t="shared" ref="J437" si="385">L437+O437</f>
        <v>0</v>
      </c>
      <c r="K437" s="127"/>
      <c r="L437" s="128"/>
      <c r="M437" s="128"/>
      <c r="N437" s="128"/>
      <c r="O437" s="130">
        <f t="shared" ref="O437" si="386">K437</f>
        <v>0</v>
      </c>
      <c r="P437" s="125">
        <f t="shared" ref="P437" si="387">+J437+E437</f>
        <v>0</v>
      </c>
      <c r="Q437" s="20"/>
    </row>
    <row r="438" spans="1:18" ht="47.25" thickTop="1" thickBot="1" x14ac:dyDescent="0.25">
      <c r="A438" s="298" t="s">
        <v>831</v>
      </c>
      <c r="B438" s="298" t="s">
        <v>689</v>
      </c>
      <c r="C438" s="298"/>
      <c r="D438" s="298" t="s">
        <v>690</v>
      </c>
      <c r="E438" s="310">
        <f>E439</f>
        <v>166190800</v>
      </c>
      <c r="F438" s="310">
        <f t="shared" ref="F438:P439" si="388">F439</f>
        <v>166190800</v>
      </c>
      <c r="G438" s="310">
        <f t="shared" si="388"/>
        <v>0</v>
      </c>
      <c r="H438" s="310">
        <f t="shared" si="388"/>
        <v>0</v>
      </c>
      <c r="I438" s="310">
        <f t="shared" si="388"/>
        <v>0</v>
      </c>
      <c r="J438" s="310">
        <f t="shared" si="388"/>
        <v>0</v>
      </c>
      <c r="K438" s="310">
        <f t="shared" si="388"/>
        <v>0</v>
      </c>
      <c r="L438" s="310">
        <f t="shared" si="388"/>
        <v>0</v>
      </c>
      <c r="M438" s="310">
        <f t="shared" si="388"/>
        <v>0</v>
      </c>
      <c r="N438" s="310">
        <f t="shared" si="388"/>
        <v>0</v>
      </c>
      <c r="O438" s="310">
        <f t="shared" si="388"/>
        <v>0</v>
      </c>
      <c r="P438" s="310">
        <f t="shared" si="388"/>
        <v>166190800</v>
      </c>
      <c r="Q438" s="20"/>
    </row>
    <row r="439" spans="1:18" ht="47.25" thickTop="1" thickBot="1" x14ac:dyDescent="0.25">
      <c r="A439" s="644">
        <v>3719100</v>
      </c>
      <c r="B439" s="593" t="s">
        <v>833</v>
      </c>
      <c r="C439" s="593"/>
      <c r="D439" s="593" t="s">
        <v>832</v>
      </c>
      <c r="E439" s="595">
        <f>E440</f>
        <v>166190800</v>
      </c>
      <c r="F439" s="595">
        <f t="shared" si="388"/>
        <v>166190800</v>
      </c>
      <c r="G439" s="595">
        <f t="shared" si="388"/>
        <v>0</v>
      </c>
      <c r="H439" s="595">
        <f t="shared" si="388"/>
        <v>0</v>
      </c>
      <c r="I439" s="595">
        <f t="shared" si="388"/>
        <v>0</v>
      </c>
      <c r="J439" s="595">
        <f t="shared" si="388"/>
        <v>0</v>
      </c>
      <c r="K439" s="595">
        <f t="shared" si="388"/>
        <v>0</v>
      </c>
      <c r="L439" s="595">
        <f t="shared" si="388"/>
        <v>0</v>
      </c>
      <c r="M439" s="595">
        <f t="shared" si="388"/>
        <v>0</v>
      </c>
      <c r="N439" s="595">
        <f t="shared" si="388"/>
        <v>0</v>
      </c>
      <c r="O439" s="595">
        <f t="shared" si="388"/>
        <v>0</v>
      </c>
      <c r="P439" s="595">
        <f t="shared" si="388"/>
        <v>166190800</v>
      </c>
      <c r="Q439" s="20"/>
    </row>
    <row r="440" spans="1:18" ht="48" thickTop="1" thickBot="1" x14ac:dyDescent="0.25">
      <c r="A440" s="311">
        <v>3719110</v>
      </c>
      <c r="B440" s="311">
        <v>9110</v>
      </c>
      <c r="C440" s="101" t="s">
        <v>43</v>
      </c>
      <c r="D440" s="600" t="s">
        <v>446</v>
      </c>
      <c r="E440" s="310">
        <f>F440</f>
        <v>166190800</v>
      </c>
      <c r="F440" s="425">
        <v>166190800</v>
      </c>
      <c r="G440" s="425"/>
      <c r="H440" s="425"/>
      <c r="I440" s="425"/>
      <c r="J440" s="310">
        <f>L440+O440</f>
        <v>0</v>
      </c>
      <c r="K440" s="425"/>
      <c r="L440" s="425"/>
      <c r="M440" s="425"/>
      <c r="N440" s="425"/>
      <c r="O440" s="422">
        <f>K440</f>
        <v>0</v>
      </c>
      <c r="P440" s="310">
        <f>E440+J440</f>
        <v>166190800</v>
      </c>
      <c r="Q440" s="20"/>
    </row>
    <row r="441" spans="1:18" ht="111" customHeight="1" thickTop="1" thickBot="1" x14ac:dyDescent="0.25">
      <c r="A441" s="677" t="s">
        <v>377</v>
      </c>
      <c r="B441" s="677" t="s">
        <v>377</v>
      </c>
      <c r="C441" s="677" t="s">
        <v>377</v>
      </c>
      <c r="D441" s="677" t="s">
        <v>387</v>
      </c>
      <c r="E441" s="678">
        <f t="shared" ref="E441:P441" si="389">E16+E49+E227+E112+E144+E206++E330+E356+E424+E385+E405+E415+E366+E296+E264</f>
        <v>4076017777.7400002</v>
      </c>
      <c r="F441" s="678">
        <f t="shared" si="389"/>
        <v>4076017777.7400002</v>
      </c>
      <c r="G441" s="678">
        <f t="shared" si="389"/>
        <v>1753940669</v>
      </c>
      <c r="H441" s="678">
        <f t="shared" si="389"/>
        <v>202516846.17999998</v>
      </c>
      <c r="I441" s="678">
        <f t="shared" si="389"/>
        <v>0</v>
      </c>
      <c r="J441" s="678">
        <f t="shared" si="389"/>
        <v>958604665.32000005</v>
      </c>
      <c r="K441" s="678">
        <f t="shared" si="389"/>
        <v>620179581.81000006</v>
      </c>
      <c r="L441" s="678">
        <f t="shared" si="389"/>
        <v>320460198.29999995</v>
      </c>
      <c r="M441" s="678">
        <f t="shared" si="389"/>
        <v>74032628</v>
      </c>
      <c r="N441" s="678">
        <f t="shared" si="389"/>
        <v>35651093</v>
      </c>
      <c r="O441" s="678">
        <f t="shared" si="389"/>
        <v>638144467.01999998</v>
      </c>
      <c r="P441" s="678">
        <f t="shared" si="389"/>
        <v>5034622443.0599995</v>
      </c>
      <c r="Q441" s="79" t="b">
        <f>P441=J441+E441</f>
        <v>1</v>
      </c>
    </row>
    <row r="442" spans="1:18" ht="46.5" thickTop="1" x14ac:dyDescent="0.2">
      <c r="A442" s="786" t="s">
        <v>1430</v>
      </c>
      <c r="B442" s="787"/>
      <c r="C442" s="787"/>
      <c r="D442" s="787"/>
      <c r="E442" s="787"/>
      <c r="F442" s="787"/>
      <c r="G442" s="787"/>
      <c r="H442" s="787"/>
      <c r="I442" s="787"/>
      <c r="J442" s="787"/>
      <c r="K442" s="787"/>
      <c r="L442" s="787"/>
      <c r="M442" s="787"/>
      <c r="N442" s="787"/>
      <c r="O442" s="787"/>
      <c r="P442" s="787"/>
      <c r="Q442" s="56"/>
    </row>
    <row r="443" spans="1:18" ht="60.75" hidden="1" x14ac:dyDescent="0.2">
      <c r="A443" s="15"/>
      <c r="B443" s="16"/>
      <c r="C443" s="16"/>
      <c r="D443" s="16"/>
      <c r="E443" s="468">
        <f>F443</f>
        <v>4076017777.7400002</v>
      </c>
      <c r="F443" s="468">
        <f>(((3276526950+522248400)+28847677)+151378656.38-2000000+2000000)+97082657.69-56563.33-10000</f>
        <v>4076017777.7400002</v>
      </c>
      <c r="G443" s="468">
        <f>(((2103868+106818628+100276862+811737240+3269881+60343879+123795559+54280883)+428184320)+38620705)+8196800+12718010+2868850+725184</f>
        <v>1753940669</v>
      </c>
      <c r="H443" s="468">
        <f>((5000+61019+5861100+3994556+174499778+209980+4040641+8706450+4639939)+230000+36091.86+71185.22)+47320.5+45348.93+68436.67</f>
        <v>202516846.18000001</v>
      </c>
      <c r="I443" s="468">
        <v>0</v>
      </c>
      <c r="J443" s="468">
        <f>(((476429079+[1]d2!E43+[1]d4!O29)+78699327)+195977268.48+2000000-2000000)+201670933.84+9705057+10000</f>
        <v>958604665.32000005</v>
      </c>
      <c r="K443" s="468">
        <f>(((476429079+[1]d2!F43-[1]d4!P29-268412475-5500000-2000000)+78699327-42063000)+195977268.48-7941156.97-1662549.7-3165484.81-1500074.4-200000-248677.63-3200000+2000000-2000000)+201670933.84-731698+7905090+10000</f>
        <v>620179581.81000006</v>
      </c>
      <c r="L443" s="468">
        <f>(((2289715+237626300+10030550+11983500+4350000+1105000)+42063000)+7941156.97+1662549.7-26000+200000+248677.63)+731698+254051</f>
        <v>320460198.30000001</v>
      </c>
      <c r="M443" s="468">
        <f>(891107+59655330+4670511+8781040)+34640</f>
        <v>74032628</v>
      </c>
      <c r="N443" s="468">
        <f>527653+34018360+774200+330880</f>
        <v>35651093</v>
      </c>
      <c r="O443" s="468">
        <f>(((476429079+[1]d2!F43-[1]d4!O29-268412475-5500000-2000000+895000+150000+6094110+20000+368300+1000000)+78699327-42063000)+195977268.48-7941156.97-1662549.7+26000-200000-248677.63+2000000-2000000)+201670933.84-731698+9451006+10000</f>
        <v>638144467.01999998</v>
      </c>
      <c r="P443" s="468">
        <f>(((3752956029-3887000+522248400)+107547004)+347355924.86)+298753591.53+9648493.67</f>
        <v>5034622443.0599995</v>
      </c>
      <c r="Q443" s="79" t="b">
        <f>E443+J443=P443</f>
        <v>1</v>
      </c>
      <c r="R443" s="56"/>
    </row>
    <row r="444" spans="1:18" ht="45.75" hidden="1" x14ac:dyDescent="0.65">
      <c r="A444" s="15"/>
      <c r="B444" s="16"/>
      <c r="C444" s="16"/>
      <c r="D444" s="788" t="s">
        <v>1649</v>
      </c>
      <c r="E444" s="788"/>
      <c r="F444" s="303"/>
      <c r="G444" s="2"/>
      <c r="H444" s="3"/>
      <c r="I444" s="2"/>
      <c r="J444" s="3"/>
      <c r="K444" s="2" t="s">
        <v>1650</v>
      </c>
      <c r="L444" s="2"/>
      <c r="M444" s="2"/>
      <c r="N444" s="2"/>
      <c r="O444" s="2"/>
      <c r="P444" s="2"/>
      <c r="Q444" s="56"/>
    </row>
    <row r="445" spans="1:18" ht="45.75" x14ac:dyDescent="0.65">
      <c r="A445" s="165"/>
      <c r="B445" s="166"/>
      <c r="C445" s="166"/>
      <c r="D445" s="3" t="s">
        <v>1376</v>
      </c>
      <c r="E445" s="303"/>
      <c r="F445" s="303"/>
      <c r="G445" s="2"/>
      <c r="H445" s="3"/>
      <c r="I445" s="2"/>
      <c r="J445" s="3"/>
      <c r="K445" s="3" t="s">
        <v>1377</v>
      </c>
      <c r="L445" s="193"/>
      <c r="M445" s="193"/>
      <c r="N445" s="193"/>
      <c r="O445" s="193"/>
      <c r="P445" s="193"/>
      <c r="Q445" s="56"/>
    </row>
    <row r="446" spans="1:18" ht="26.45" customHeight="1" x14ac:dyDescent="0.65">
      <c r="A446" s="15"/>
      <c r="B446" s="16"/>
      <c r="C446" s="16"/>
      <c r="D446" s="778"/>
      <c r="E446" s="778"/>
      <c r="F446" s="778"/>
      <c r="G446" s="778"/>
      <c r="H446" s="778"/>
      <c r="I446" s="778"/>
      <c r="J446" s="778"/>
      <c r="K446" s="778"/>
      <c r="L446" s="778"/>
      <c r="M446" s="778"/>
      <c r="N446" s="778"/>
      <c r="O446" s="778"/>
      <c r="P446" s="778"/>
      <c r="Q446" s="83"/>
    </row>
    <row r="447" spans="1:18" ht="50.25" customHeight="1" thickBot="1" x14ac:dyDescent="0.7">
      <c r="A447" s="15"/>
      <c r="B447" s="16"/>
      <c r="C447" s="16"/>
      <c r="D447" s="784" t="s">
        <v>516</v>
      </c>
      <c r="E447" s="785"/>
      <c r="F447" s="785"/>
      <c r="G447" s="334"/>
      <c r="H447" s="334"/>
      <c r="I447" s="2"/>
      <c r="J447" s="2"/>
      <c r="K447" s="3" t="s">
        <v>1290</v>
      </c>
      <c r="L447" s="2"/>
      <c r="M447" s="2"/>
      <c r="N447" s="2"/>
      <c r="O447" s="2"/>
      <c r="P447" s="2"/>
      <c r="Q447" s="83"/>
    </row>
    <row r="448" spans="1:18" ht="47.25" thickTop="1" thickBot="1" x14ac:dyDescent="0.7">
      <c r="A448" s="19"/>
      <c r="B448" s="19"/>
      <c r="C448" s="19"/>
      <c r="D448" s="776"/>
      <c r="E448" s="776"/>
      <c r="F448" s="776"/>
      <c r="G448" s="776"/>
      <c r="H448" s="776"/>
      <c r="I448" s="776"/>
      <c r="J448" s="776"/>
      <c r="K448" s="776"/>
      <c r="L448" s="776"/>
      <c r="M448" s="776"/>
      <c r="N448" s="776"/>
      <c r="O448" s="776"/>
      <c r="P448" s="776"/>
      <c r="Q448" s="84"/>
    </row>
    <row r="449" spans="1:18" ht="95.25" customHeight="1" thickTop="1" x14ac:dyDescent="0.55000000000000004">
      <c r="E449" s="516"/>
      <c r="G449" s="58"/>
      <c r="H449" s="58"/>
      <c r="I449" s="91"/>
      <c r="J449" s="92"/>
      <c r="K449" s="92"/>
      <c r="L449" s="91"/>
      <c r="M449" s="91"/>
      <c r="N449" s="91"/>
      <c r="O449" s="91"/>
      <c r="P449" s="92"/>
      <c r="Q449" s="82"/>
    </row>
    <row r="450" spans="1:18" x14ac:dyDescent="0.2">
      <c r="E450" s="59"/>
      <c r="F450" s="60"/>
      <c r="G450" s="58"/>
      <c r="H450" s="58"/>
      <c r="I450" s="91"/>
      <c r="J450" s="93"/>
      <c r="K450" s="93"/>
      <c r="L450" s="91"/>
      <c r="M450" s="91"/>
      <c r="N450" s="91"/>
      <c r="O450" s="91"/>
      <c r="P450" s="92"/>
    </row>
    <row r="451" spans="1:18" x14ac:dyDescent="0.2">
      <c r="E451" s="59"/>
      <c r="F451" s="60"/>
      <c r="G451" s="58"/>
      <c r="H451" s="58"/>
      <c r="I451" s="91"/>
      <c r="J451" s="93"/>
      <c r="K451" s="93"/>
      <c r="L451" s="91"/>
      <c r="M451" s="91"/>
      <c r="N451" s="91"/>
      <c r="O451" s="91"/>
      <c r="P451" s="92"/>
    </row>
    <row r="452" spans="1:18" ht="60.75" x14ac:dyDescent="0.2">
      <c r="E452" s="516" t="b">
        <f>E443=E441</f>
        <v>1</v>
      </c>
      <c r="F452" s="516" t="b">
        <f>F443=F441</f>
        <v>1</v>
      </c>
      <c r="G452" s="516" t="b">
        <f>G443=G441</f>
        <v>1</v>
      </c>
      <c r="H452" s="516" t="b">
        <f t="shared" ref="H452:O452" si="390">H443=H441</f>
        <v>1</v>
      </c>
      <c r="I452" s="516" t="b">
        <f>I443=I441</f>
        <v>1</v>
      </c>
      <c r="J452" s="516" t="b">
        <f>J443=J441</f>
        <v>1</v>
      </c>
      <c r="K452" s="516" t="b">
        <f>K443=K441</f>
        <v>1</v>
      </c>
      <c r="L452" s="516" t="b">
        <f t="shared" si="390"/>
        <v>1</v>
      </c>
      <c r="M452" s="516" t="b">
        <f t="shared" si="390"/>
        <v>1</v>
      </c>
      <c r="N452" s="516" t="b">
        <f>N443=N441</f>
        <v>1</v>
      </c>
      <c r="O452" s="516" t="b">
        <f t="shared" si="390"/>
        <v>1</v>
      </c>
      <c r="P452" s="516" t="b">
        <f>P443=P441</f>
        <v>1</v>
      </c>
    </row>
    <row r="453" spans="1:18" ht="61.5" x14ac:dyDescent="0.2">
      <c r="E453" s="516" t="b">
        <f>E441=F441</f>
        <v>1</v>
      </c>
      <c r="F453" s="517">
        <f>F434/E441</f>
        <v>1.8862003109963892E-3</v>
      </c>
      <c r="G453" s="86"/>
      <c r="H453" s="87"/>
      <c r="I453" s="88"/>
      <c r="J453" s="516" t="b">
        <f>J443=L443+O443</f>
        <v>1</v>
      </c>
      <c r="K453" s="94"/>
      <c r="L453" s="79"/>
      <c r="M453" s="88"/>
      <c r="N453" s="88"/>
      <c r="O453" s="79"/>
      <c r="P453" s="516" t="b">
        <f>E441+J441=P441</f>
        <v>1</v>
      </c>
    </row>
    <row r="454" spans="1:18" ht="60.75" x14ac:dyDescent="0.2">
      <c r="E454" s="89"/>
      <c r="F454" s="90"/>
      <c r="G454" s="518">
        <f>G443-G441</f>
        <v>0</v>
      </c>
      <c r="H454" s="518">
        <f>H443-H441</f>
        <v>0</v>
      </c>
      <c r="I454" s="89"/>
      <c r="J454" s="59"/>
      <c r="K454" s="59"/>
    </row>
    <row r="455" spans="1:18" ht="61.5" x14ac:dyDescent="0.2">
      <c r="A455" s="21"/>
      <c r="B455" s="21"/>
      <c r="C455" s="21"/>
      <c r="D455" s="22"/>
      <c r="E455" s="37">
        <f>E441-E443</f>
        <v>0</v>
      </c>
      <c r="F455" s="517">
        <f>400000/E441</f>
        <v>9.8134998866905102E-5</v>
      </c>
      <c r="G455" s="86"/>
      <c r="H455" s="61"/>
      <c r="I455" s="22"/>
      <c r="J455" s="37">
        <f>J441-J443</f>
        <v>0</v>
      </c>
      <c r="K455" s="37">
        <f>K441-K443</f>
        <v>0</v>
      </c>
      <c r="L455" s="37"/>
      <c r="M455" s="37"/>
      <c r="N455" s="37"/>
      <c r="O455" s="37">
        <f>O441-O443</f>
        <v>0</v>
      </c>
      <c r="P455" s="37">
        <f>P441-P443</f>
        <v>0</v>
      </c>
    </row>
    <row r="456" spans="1:18" ht="61.5" x14ac:dyDescent="0.2">
      <c r="D456" s="22"/>
      <c r="E456" s="37"/>
      <c r="F456" s="63"/>
      <c r="G456" s="55"/>
      <c r="H456" s="61"/>
      <c r="I456" s="22"/>
      <c r="J456" s="37"/>
      <c r="K456" s="37"/>
      <c r="L456" s="64"/>
      <c r="P456" s="55"/>
      <c r="Q456" s="85"/>
      <c r="R456" s="65"/>
    </row>
    <row r="457" spans="1:18" ht="60.75" x14ac:dyDescent="0.2">
      <c r="A457" s="21"/>
      <c r="B457" s="21"/>
      <c r="C457" s="21"/>
      <c r="D457" s="22"/>
      <c r="E457" s="26">
        <f>E441+K441-E156-E158-E169-E96-K76-E70-E64-E58-E57-d1П!C118</f>
        <v>4105271905.5500002</v>
      </c>
      <c r="F457" s="26"/>
      <c r="G457" s="26"/>
      <c r="H457" s="26"/>
      <c r="I457" s="66"/>
      <c r="J457" s="26"/>
      <c r="K457" s="26"/>
      <c r="L457" s="26"/>
      <c r="M457" s="26"/>
      <c r="N457" s="26"/>
      <c r="O457" s="26"/>
      <c r="P457" s="26"/>
      <c r="Q457" s="85"/>
      <c r="R457" s="65"/>
    </row>
    <row r="458" spans="1:18" ht="60.75" x14ac:dyDescent="0.2">
      <c r="D458" s="22"/>
      <c r="E458" s="37"/>
      <c r="F458" s="67"/>
      <c r="O458" s="55"/>
      <c r="P458" s="55"/>
    </row>
    <row r="459" spans="1:18" ht="60.75" x14ac:dyDescent="0.2">
      <c r="A459" s="21"/>
      <c r="B459" s="21"/>
      <c r="C459" s="21"/>
      <c r="D459" s="22"/>
      <c r="E459" s="37"/>
      <c r="F459" s="62"/>
      <c r="G459" s="64"/>
      <c r="I459" s="68"/>
      <c r="J459" s="59"/>
      <c r="K459" s="59"/>
      <c r="L459" s="21"/>
      <c r="M459" s="21"/>
      <c r="N459" s="21"/>
      <c r="O459" s="21"/>
      <c r="P459" s="55"/>
    </row>
    <row r="460" spans="1:18" ht="62.25" x14ac:dyDescent="0.8">
      <c r="A460" s="21"/>
      <c r="B460" s="21"/>
      <c r="C460" s="21"/>
      <c r="D460" s="21"/>
      <c r="E460" s="69"/>
      <c r="F460" s="62"/>
      <c r="J460" s="59"/>
      <c r="K460" s="59"/>
      <c r="L460" s="21"/>
      <c r="M460" s="21"/>
      <c r="N460" s="21"/>
      <c r="O460" s="21"/>
      <c r="P460" s="70"/>
    </row>
    <row r="461" spans="1:18" ht="45.75" x14ac:dyDescent="0.2">
      <c r="E461" s="71"/>
      <c r="F461" s="67"/>
    </row>
    <row r="462" spans="1:18" ht="45.75" x14ac:dyDescent="0.2">
      <c r="A462" s="21"/>
      <c r="B462" s="21"/>
      <c r="C462" s="21"/>
      <c r="D462" s="21"/>
      <c r="E462" s="69"/>
      <c r="F462" s="62"/>
      <c r="L462" s="21"/>
      <c r="M462" s="21"/>
      <c r="N462" s="21"/>
      <c r="O462" s="21"/>
      <c r="P462" s="21"/>
    </row>
    <row r="463" spans="1:18" ht="45.75" x14ac:dyDescent="0.2">
      <c r="E463" s="72"/>
      <c r="F463" s="67"/>
    </row>
    <row r="464" spans="1:18" ht="45.75" x14ac:dyDescent="0.2">
      <c r="E464" s="72"/>
      <c r="F464" s="67"/>
    </row>
    <row r="465" spans="1:16" ht="45.75" x14ac:dyDescent="0.2">
      <c r="E465" s="72"/>
      <c r="F465" s="67"/>
    </row>
    <row r="466" spans="1:16" ht="45.75" x14ac:dyDescent="0.2">
      <c r="A466" s="21"/>
      <c r="B466" s="21"/>
      <c r="C466" s="21"/>
      <c r="D466" s="21"/>
      <c r="E466" s="72"/>
      <c r="F466" s="67"/>
      <c r="G466" s="21"/>
      <c r="H466" s="21"/>
      <c r="I466" s="21"/>
      <c r="J466" s="21"/>
      <c r="K466" s="21"/>
      <c r="L466" s="21"/>
      <c r="M466" s="21"/>
      <c r="N466" s="21"/>
      <c r="O466" s="21"/>
      <c r="P466" s="21"/>
    </row>
    <row r="467" spans="1:16" ht="45.75" x14ac:dyDescent="0.2">
      <c r="A467" s="21"/>
      <c r="B467" s="21"/>
      <c r="C467" s="21"/>
      <c r="D467" s="21"/>
      <c r="E467" s="72"/>
      <c r="F467" s="67"/>
      <c r="G467" s="21"/>
      <c r="H467" s="21"/>
      <c r="I467" s="21"/>
      <c r="J467" s="21"/>
      <c r="K467" s="21"/>
      <c r="L467" s="21"/>
      <c r="M467" s="21"/>
      <c r="N467" s="21"/>
      <c r="O467" s="21"/>
      <c r="P467" s="21"/>
    </row>
    <row r="468" spans="1:16" ht="45.75" x14ac:dyDescent="0.2">
      <c r="A468" s="21"/>
      <c r="B468" s="21"/>
      <c r="C468" s="21"/>
      <c r="D468" s="21"/>
      <c r="E468" s="72"/>
      <c r="F468" s="67"/>
      <c r="G468" s="21"/>
      <c r="H468" s="21"/>
      <c r="I468" s="21"/>
      <c r="J468" s="21"/>
      <c r="K468" s="21"/>
      <c r="L468" s="21"/>
      <c r="M468" s="21"/>
      <c r="N468" s="21"/>
      <c r="O468" s="21"/>
      <c r="P468" s="21"/>
    </row>
    <row r="469" spans="1:16" ht="45.75" x14ac:dyDescent="0.2">
      <c r="A469" s="21"/>
      <c r="B469" s="21"/>
      <c r="C469" s="21"/>
      <c r="D469" s="21"/>
      <c r="E469" s="72"/>
      <c r="F469" s="67"/>
      <c r="G469" s="21"/>
      <c r="H469" s="21"/>
      <c r="I469" s="21"/>
      <c r="J469" s="21"/>
      <c r="K469" s="21"/>
      <c r="L469" s="21"/>
      <c r="M469" s="21"/>
      <c r="N469" s="21"/>
      <c r="O469" s="21"/>
      <c r="P469" s="21"/>
    </row>
  </sheetData>
  <mergeCells count="169">
    <mergeCell ref="N1:Q1"/>
    <mergeCell ref="N2:Q2"/>
    <mergeCell ref="O3:P3"/>
    <mergeCell ref="A5:P5"/>
    <mergeCell ref="A6:P6"/>
    <mergeCell ref="A8:B8"/>
    <mergeCell ref="J11:O11"/>
    <mergeCell ref="P11:P13"/>
    <mergeCell ref="E12:E13"/>
    <mergeCell ref="F12:F13"/>
    <mergeCell ref="G12:H12"/>
    <mergeCell ref="I12:I13"/>
    <mergeCell ref="J12:J13"/>
    <mergeCell ref="K12:K13"/>
    <mergeCell ref="L12:L13"/>
    <mergeCell ref="M12:N12"/>
    <mergeCell ref="O12:O13"/>
    <mergeCell ref="B175:B178"/>
    <mergeCell ref="C175:C178"/>
    <mergeCell ref="E175:E178"/>
    <mergeCell ref="F175:F178"/>
    <mergeCell ref="G175:G178"/>
    <mergeCell ref="H175:H178"/>
    <mergeCell ref="I175:I178"/>
    <mergeCell ref="J175:J178"/>
    <mergeCell ref="A9:B9"/>
    <mergeCell ref="A11:A13"/>
    <mergeCell ref="B11:B13"/>
    <mergeCell ref="C11:C13"/>
    <mergeCell ref="D11:D13"/>
    <mergeCell ref="E11:I11"/>
    <mergeCell ref="Q175:Q178"/>
    <mergeCell ref="R175:R178"/>
    <mergeCell ref="A179:A180"/>
    <mergeCell ref="B179:B180"/>
    <mergeCell ref="C179:C180"/>
    <mergeCell ref="E179:E180"/>
    <mergeCell ref="F179:F180"/>
    <mergeCell ref="G179:G180"/>
    <mergeCell ref="H179:H180"/>
    <mergeCell ref="I179:I180"/>
    <mergeCell ref="K175:K178"/>
    <mergeCell ref="L175:L178"/>
    <mergeCell ref="M175:M178"/>
    <mergeCell ref="N175:N178"/>
    <mergeCell ref="O175:O178"/>
    <mergeCell ref="P175:P178"/>
    <mergeCell ref="P179:P180"/>
    <mergeCell ref="R179:R180"/>
    <mergeCell ref="K179:K180"/>
    <mergeCell ref="L179:L180"/>
    <mergeCell ref="M179:M180"/>
    <mergeCell ref="N179:N180"/>
    <mergeCell ref="O179:O180"/>
    <mergeCell ref="A175:A178"/>
    <mergeCell ref="A181:A183"/>
    <mergeCell ref="B181:B183"/>
    <mergeCell ref="C181:C183"/>
    <mergeCell ref="E181:E183"/>
    <mergeCell ref="F181:F183"/>
    <mergeCell ref="G181:G183"/>
    <mergeCell ref="H181:H183"/>
    <mergeCell ref="I181:I183"/>
    <mergeCell ref="J179:J180"/>
    <mergeCell ref="J184:J186"/>
    <mergeCell ref="P181:P183"/>
    <mergeCell ref="R181:R183"/>
    <mergeCell ref="A184:A186"/>
    <mergeCell ref="B184:B186"/>
    <mergeCell ref="C184:C186"/>
    <mergeCell ref="E184:E186"/>
    <mergeCell ref="F184:F186"/>
    <mergeCell ref="G184:G186"/>
    <mergeCell ref="H184:H186"/>
    <mergeCell ref="I184:I186"/>
    <mergeCell ref="J181:J183"/>
    <mergeCell ref="K181:K183"/>
    <mergeCell ref="L181:L183"/>
    <mergeCell ref="M181:M183"/>
    <mergeCell ref="N181:N183"/>
    <mergeCell ref="O181:O183"/>
    <mergeCell ref="P184:P186"/>
    <mergeCell ref="R184:R186"/>
    <mergeCell ref="K184:K186"/>
    <mergeCell ref="L184:L186"/>
    <mergeCell ref="M184:M186"/>
    <mergeCell ref="N184:N186"/>
    <mergeCell ref="O184:O186"/>
    <mergeCell ref="O187:O188"/>
    <mergeCell ref="P187:P188"/>
    <mergeCell ref="A203:A204"/>
    <mergeCell ref="B203:B204"/>
    <mergeCell ref="C203:C204"/>
    <mergeCell ref="E203:E204"/>
    <mergeCell ref="F203:F204"/>
    <mergeCell ref="G203:G204"/>
    <mergeCell ref="H203:H204"/>
    <mergeCell ref="I203:I204"/>
    <mergeCell ref="I187:I188"/>
    <mergeCell ref="J187:J188"/>
    <mergeCell ref="K187:K188"/>
    <mergeCell ref="L187:L188"/>
    <mergeCell ref="M187:M188"/>
    <mergeCell ref="N187:N188"/>
    <mergeCell ref="A187:A188"/>
    <mergeCell ref="B187:B188"/>
    <mergeCell ref="C187:C188"/>
    <mergeCell ref="D187:D188"/>
    <mergeCell ref="E187:E188"/>
    <mergeCell ref="F187:F188"/>
    <mergeCell ref="G187:G188"/>
    <mergeCell ref="H187:H188"/>
    <mergeCell ref="K288:K289"/>
    <mergeCell ref="L288:L289"/>
    <mergeCell ref="M288:M289"/>
    <mergeCell ref="N288:N289"/>
    <mergeCell ref="O288:O289"/>
    <mergeCell ref="P288:P289"/>
    <mergeCell ref="P203:P204"/>
    <mergeCell ref="A288:A289"/>
    <mergeCell ref="B288:B289"/>
    <mergeCell ref="C288:C289"/>
    <mergeCell ref="E288:E289"/>
    <mergeCell ref="F288:F289"/>
    <mergeCell ref="G288:G289"/>
    <mergeCell ref="H288:H289"/>
    <mergeCell ref="I288:I289"/>
    <mergeCell ref="J288:J289"/>
    <mergeCell ref="J203:J204"/>
    <mergeCell ref="K203:K204"/>
    <mergeCell ref="L203:L204"/>
    <mergeCell ref="M203:M204"/>
    <mergeCell ref="N203:N204"/>
    <mergeCell ref="O203:O204"/>
    <mergeCell ref="N318:N319"/>
    <mergeCell ref="O318:O319"/>
    <mergeCell ref="P318:P319"/>
    <mergeCell ref="A352:A353"/>
    <mergeCell ref="B352:B353"/>
    <mergeCell ref="C352:C353"/>
    <mergeCell ref="E352:E353"/>
    <mergeCell ref="F352:F353"/>
    <mergeCell ref="G352:G353"/>
    <mergeCell ref="H352:H353"/>
    <mergeCell ref="H318:H319"/>
    <mergeCell ref="I318:I319"/>
    <mergeCell ref="J318:J319"/>
    <mergeCell ref="K318:K319"/>
    <mergeCell ref="L318:L319"/>
    <mergeCell ref="M318:M319"/>
    <mergeCell ref="A318:A319"/>
    <mergeCell ref="B318:B319"/>
    <mergeCell ref="C318:C319"/>
    <mergeCell ref="E318:E319"/>
    <mergeCell ref="F318:F319"/>
    <mergeCell ref="G318:G319"/>
    <mergeCell ref="D448:P448"/>
    <mergeCell ref="O352:O353"/>
    <mergeCell ref="P352:P353"/>
    <mergeCell ref="A442:P442"/>
    <mergeCell ref="D444:E444"/>
    <mergeCell ref="D446:P446"/>
    <mergeCell ref="D447:F447"/>
    <mergeCell ref="I352:I353"/>
    <mergeCell ref="J352:J353"/>
    <mergeCell ref="K352:K353"/>
    <mergeCell ref="L352:L353"/>
    <mergeCell ref="M352:M353"/>
    <mergeCell ref="N352:N353"/>
  </mergeCells>
  <conditionalFormatting sqref="Q356:Q364">
    <cfRule type="iconSet" priority="17">
      <iconSet iconSet="3Arrows">
        <cfvo type="percent" val="0"/>
        <cfvo type="percent" val="33"/>
        <cfvo type="percent" val="67"/>
      </iconSet>
    </cfRule>
  </conditionalFormatting>
  <conditionalFormatting sqref="Q366:Q367">
    <cfRule type="iconSet" priority="13">
      <iconSet iconSet="3Arrows">
        <cfvo type="percent" val="0"/>
        <cfvo type="percent" val="33"/>
        <cfvo type="percent" val="67"/>
      </iconSet>
    </cfRule>
  </conditionalFormatting>
  <conditionalFormatting sqref="Q368:Q383">
    <cfRule type="iconSet" priority="21">
      <iconSet iconSet="3Arrows">
        <cfvo type="percent" val="0"/>
        <cfvo type="percent" val="33"/>
        <cfvo type="percent" val="67"/>
      </iconSet>
    </cfRule>
  </conditionalFormatting>
  <conditionalFormatting sqref="Q405:Q410">
    <cfRule type="iconSet" priority="20">
      <iconSet iconSet="3Arrows">
        <cfvo type="percent" val="0"/>
        <cfvo type="percent" val="33"/>
        <cfvo type="percent" val="67"/>
      </iconSet>
    </cfRule>
  </conditionalFormatting>
  <conditionalFormatting sqref="Q411">
    <cfRule type="iconSet" priority="2">
      <iconSet iconSet="3Arrows">
        <cfvo type="percent" val="0"/>
        <cfvo type="percent" val="33"/>
        <cfvo type="percent" val="67"/>
      </iconSet>
    </cfRule>
  </conditionalFormatting>
  <conditionalFormatting sqref="Q412:Q413">
    <cfRule type="iconSet" priority="8">
      <iconSet iconSet="3Arrows">
        <cfvo type="percent" val="0"/>
        <cfvo type="percent" val="33"/>
        <cfvo type="percent" val="67"/>
      </iconSet>
    </cfRule>
  </conditionalFormatting>
  <conditionalFormatting sqref="Q415">
    <cfRule type="iconSet" priority="3">
      <iconSet iconSet="3Arrows">
        <cfvo type="percent" val="0"/>
        <cfvo type="percent" val="33"/>
        <cfvo type="percent" val="67"/>
      </iconSet>
    </cfRule>
  </conditionalFormatting>
  <conditionalFormatting sqref="Q424">
    <cfRule type="iconSet" priority="1">
      <iconSet iconSet="3Arrows">
        <cfvo type="percent" val="0"/>
        <cfvo type="percent" val="33"/>
        <cfvo type="percent" val="67"/>
      </iconSet>
    </cfRule>
  </conditionalFormatting>
  <conditionalFormatting sqref="Q425 Q427:R431 R426:S426">
    <cfRule type="iconSet" priority="16">
      <iconSet iconSet="3Arrows">
        <cfvo type="percent" val="0"/>
        <cfvo type="percent" val="33"/>
        <cfvo type="percent" val="67"/>
      </iconSet>
    </cfRule>
  </conditionalFormatting>
  <conditionalFormatting sqref="Q426">
    <cfRule type="iconSet" priority="7">
      <iconSet iconSet="3Arrows">
        <cfvo type="percent" val="0"/>
        <cfvo type="percent" val="33"/>
        <cfvo type="percent" val="67"/>
      </iconSet>
    </cfRule>
  </conditionalFormatting>
  <conditionalFormatting sqref="Q385:R392">
    <cfRule type="iconSet" priority="23">
      <iconSet iconSet="3Arrows">
        <cfvo type="percent" val="0"/>
        <cfvo type="percent" val="33"/>
        <cfvo type="percent" val="67"/>
      </iconSet>
    </cfRule>
  </conditionalFormatting>
  <conditionalFormatting sqref="R356:R357">
    <cfRule type="iconSet" priority="11">
      <iconSet iconSet="3Arrows">
        <cfvo type="percent" val="0"/>
        <cfvo type="percent" val="33"/>
        <cfvo type="percent" val="67"/>
      </iconSet>
    </cfRule>
  </conditionalFormatting>
  <conditionalFormatting sqref="R358:R364">
    <cfRule type="iconSet" priority="10">
      <iconSet iconSet="3Arrows">
        <cfvo type="percent" val="0"/>
        <cfvo type="percent" val="33"/>
        <cfvo type="percent" val="67"/>
      </iconSet>
    </cfRule>
  </conditionalFormatting>
  <conditionalFormatting sqref="R366:R367">
    <cfRule type="iconSet" priority="12">
      <iconSet iconSet="3Arrows">
        <cfvo type="percent" val="0"/>
        <cfvo type="percent" val="33"/>
        <cfvo type="percent" val="67"/>
      </iconSet>
    </cfRule>
  </conditionalFormatting>
  <conditionalFormatting sqref="R368:R383">
    <cfRule type="iconSet" priority="22">
      <iconSet iconSet="3Arrows">
        <cfvo type="percent" val="0"/>
        <cfvo type="percent" val="33"/>
        <cfvo type="percent" val="67"/>
      </iconSet>
    </cfRule>
  </conditionalFormatting>
  <conditionalFormatting sqref="R393:R403">
    <cfRule type="iconSet" priority="18">
      <iconSet iconSet="3Arrows">
        <cfvo type="percent" val="0"/>
        <cfvo type="percent" val="33"/>
        <cfvo type="percent" val="67"/>
      </iconSet>
    </cfRule>
  </conditionalFormatting>
  <conditionalFormatting sqref="R405:R406">
    <cfRule type="iconSet" priority="9">
      <iconSet iconSet="3Arrows">
        <cfvo type="percent" val="0"/>
        <cfvo type="percent" val="33"/>
        <cfvo type="percent" val="67"/>
      </iconSet>
    </cfRule>
  </conditionalFormatting>
  <conditionalFormatting sqref="R407:R410">
    <cfRule type="iconSet" priority="19">
      <iconSet iconSet="3Arrows">
        <cfvo type="percent" val="0"/>
        <cfvo type="percent" val="33"/>
        <cfvo type="percent" val="67"/>
      </iconSet>
    </cfRule>
  </conditionalFormatting>
  <conditionalFormatting sqref="R417:R419 Q416:R416 R415">
    <cfRule type="iconSet" priority="15">
      <iconSet iconSet="3Arrows">
        <cfvo type="percent" val="0"/>
        <cfvo type="percent" val="33"/>
        <cfvo type="percent" val="67"/>
      </iconSet>
    </cfRule>
  </conditionalFormatting>
  <conditionalFormatting sqref="R420">
    <cfRule type="iconSet" priority="5">
      <iconSet iconSet="3Arrows">
        <cfvo type="percent" val="0"/>
        <cfvo type="percent" val="33"/>
        <cfvo type="percent" val="67"/>
      </iconSet>
    </cfRule>
  </conditionalFormatting>
  <conditionalFormatting sqref="R422">
    <cfRule type="iconSet" priority="4">
      <iconSet iconSet="3Arrows">
        <cfvo type="percent" val="0"/>
        <cfvo type="percent" val="33"/>
        <cfvo type="percent" val="67"/>
      </iconSet>
    </cfRule>
  </conditionalFormatting>
  <conditionalFormatting sqref="R424">
    <cfRule type="iconSet" priority="6">
      <iconSet iconSet="3Arrows">
        <cfvo type="percent" val="0"/>
        <cfvo type="percent" val="33"/>
        <cfvo type="percent" val="67"/>
      </iconSet>
    </cfRule>
  </conditionalFormatting>
  <conditionalFormatting sqref="R425">
    <cfRule type="iconSet" priority="14">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3" orientation="landscape" r:id="rId1"/>
  <headerFooter alignWithMargins="0">
    <oddFooter>&amp;C&amp;"Times New Roman Cyr,курсив"Сторінка &amp;P з &amp;N</oddFooter>
  </headerFooter>
  <rowBreaks count="2" manualBreakCount="2">
    <brk id="54" max="15" man="1"/>
    <brk id="432"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sheetPr>
  <dimension ref="A1:T474"/>
  <sheetViews>
    <sheetView view="pageBreakPreview" zoomScale="25" zoomScaleNormal="25" zoomScaleSheetLayoutView="25" zoomScalePageLayoutView="10" workbookViewId="0">
      <pane ySplit="14" topLeftCell="A15" activePane="bottomLeft" state="frozen"/>
      <selection activeCell="B158" sqref="B158"/>
      <selection pane="bottomLeft" activeCell="G18" sqref="G18"/>
    </sheetView>
  </sheetViews>
  <sheetFormatPr defaultColWidth="9.140625" defaultRowHeight="12.75" x14ac:dyDescent="0.2"/>
  <cols>
    <col min="1" max="1" width="48" style="18" customWidth="1"/>
    <col min="2" max="2" width="52.5703125" style="18" customWidth="1"/>
    <col min="3" max="3" width="65.7109375" style="18" customWidth="1"/>
    <col min="4" max="4" width="255.57031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90" t="s">
        <v>488</v>
      </c>
      <c r="O1" s="791"/>
      <c r="P1" s="791"/>
      <c r="Q1" s="791"/>
    </row>
    <row r="2" spans="1:18" ht="45.75" x14ac:dyDescent="0.2">
      <c r="A2" s="76"/>
      <c r="B2" s="76"/>
      <c r="C2" s="76"/>
      <c r="D2" s="76"/>
      <c r="E2" s="77"/>
      <c r="F2" s="78"/>
      <c r="G2" s="77"/>
      <c r="H2" s="77"/>
      <c r="I2" s="77"/>
      <c r="J2" s="77"/>
      <c r="K2" s="77"/>
      <c r="L2" s="77"/>
      <c r="M2" s="77"/>
      <c r="N2" s="790" t="s">
        <v>1606</v>
      </c>
      <c r="O2" s="792"/>
      <c r="P2" s="792"/>
      <c r="Q2" s="792"/>
    </row>
    <row r="3" spans="1:18" ht="40.700000000000003" customHeight="1" x14ac:dyDescent="0.2">
      <c r="A3" s="76"/>
      <c r="B3" s="76"/>
      <c r="C3" s="76"/>
      <c r="D3" s="76"/>
      <c r="E3" s="77"/>
      <c r="F3" s="78"/>
      <c r="G3" s="77"/>
      <c r="H3" s="77"/>
      <c r="I3" s="77"/>
      <c r="J3" s="77"/>
      <c r="K3" s="77"/>
      <c r="L3" s="77"/>
      <c r="M3" s="77"/>
      <c r="N3" s="77"/>
      <c r="O3" s="790"/>
      <c r="P3" s="793"/>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94" t="s">
        <v>1744</v>
      </c>
      <c r="B5" s="794"/>
      <c r="C5" s="794"/>
      <c r="D5" s="794"/>
      <c r="E5" s="794"/>
      <c r="F5" s="794"/>
      <c r="G5" s="794"/>
      <c r="H5" s="794"/>
      <c r="I5" s="794"/>
      <c r="J5" s="794"/>
      <c r="K5" s="794"/>
      <c r="L5" s="794"/>
      <c r="M5" s="794"/>
      <c r="N5" s="794"/>
      <c r="O5" s="794"/>
      <c r="P5" s="794"/>
      <c r="Q5" s="80"/>
    </row>
    <row r="6" spans="1:18" ht="45" x14ac:dyDescent="0.2">
      <c r="A6" s="794" t="s">
        <v>1547</v>
      </c>
      <c r="B6" s="794"/>
      <c r="C6" s="794"/>
      <c r="D6" s="794"/>
      <c r="E6" s="794"/>
      <c r="F6" s="794"/>
      <c r="G6" s="794"/>
      <c r="H6" s="794"/>
      <c r="I6" s="794"/>
      <c r="J6" s="794"/>
      <c r="K6" s="794"/>
      <c r="L6" s="794"/>
      <c r="M6" s="794"/>
      <c r="N6" s="794"/>
      <c r="O6" s="794"/>
      <c r="P6" s="794"/>
      <c r="Q6" s="80"/>
    </row>
    <row r="7" spans="1:18" ht="45" x14ac:dyDescent="0.2">
      <c r="A7" s="77"/>
      <c r="B7" s="77"/>
      <c r="C7" s="77"/>
      <c r="D7" s="77"/>
      <c r="E7" s="77"/>
      <c r="F7" s="77"/>
      <c r="G7" s="77"/>
      <c r="H7" s="77"/>
      <c r="I7" s="77"/>
      <c r="J7" s="77"/>
      <c r="K7" s="77"/>
      <c r="L7" s="77"/>
      <c r="M7" s="77"/>
      <c r="N7" s="77"/>
      <c r="O7" s="77"/>
      <c r="P7" s="77"/>
      <c r="Q7" s="80"/>
    </row>
    <row r="8" spans="1:18" ht="45.75" x14ac:dyDescent="0.65">
      <c r="A8" s="795">
        <v>2256400000</v>
      </c>
      <c r="B8" s="796"/>
      <c r="C8" s="77"/>
      <c r="D8" s="365"/>
      <c r="E8" s="365"/>
      <c r="F8" s="365"/>
      <c r="G8" s="365"/>
      <c r="H8" s="365"/>
      <c r="I8" s="365"/>
      <c r="J8" s="365"/>
      <c r="K8" s="365"/>
      <c r="L8" s="365"/>
      <c r="M8" s="365"/>
      <c r="N8" s="365"/>
      <c r="O8" s="365"/>
      <c r="P8" s="365"/>
      <c r="Q8" s="13"/>
    </row>
    <row r="9" spans="1:18" ht="45.75" x14ac:dyDescent="0.2">
      <c r="A9" s="800" t="s">
        <v>485</v>
      </c>
      <c r="B9" s="801"/>
      <c r="C9" s="77"/>
      <c r="D9" s="365"/>
      <c r="E9" s="365"/>
      <c r="F9" s="365"/>
      <c r="G9" s="365"/>
      <c r="H9" s="365"/>
      <c r="I9" s="365"/>
      <c r="J9" s="365"/>
      <c r="K9" s="365"/>
      <c r="L9" s="365"/>
      <c r="M9" s="365"/>
      <c r="N9" s="365"/>
      <c r="O9" s="365"/>
      <c r="P9" s="365"/>
      <c r="Q9" s="13"/>
    </row>
    <row r="10" spans="1:18" ht="53.45" customHeight="1" thickBot="1" x14ac:dyDescent="0.25">
      <c r="A10" s="77"/>
      <c r="B10" s="77"/>
      <c r="C10" s="77"/>
      <c r="D10" s="365"/>
      <c r="E10" s="365"/>
      <c r="F10" s="366"/>
      <c r="G10" s="365"/>
      <c r="H10" s="365"/>
      <c r="I10" s="365"/>
      <c r="J10" s="365"/>
      <c r="K10" s="365"/>
      <c r="L10" s="365"/>
      <c r="M10" s="365"/>
      <c r="N10" s="365"/>
      <c r="O10" s="365"/>
      <c r="P10" s="300" t="s">
        <v>400</v>
      </c>
      <c r="Q10" s="13"/>
    </row>
    <row r="11" spans="1:18" ht="62.45" customHeight="1" thickTop="1" thickBot="1" x14ac:dyDescent="0.25">
      <c r="A11" s="799" t="s">
        <v>486</v>
      </c>
      <c r="B11" s="799" t="s">
        <v>487</v>
      </c>
      <c r="C11" s="799" t="s">
        <v>386</v>
      </c>
      <c r="D11" s="799" t="s">
        <v>566</v>
      </c>
      <c r="E11" s="797" t="s">
        <v>12</v>
      </c>
      <c r="F11" s="797"/>
      <c r="G11" s="797"/>
      <c r="H11" s="797"/>
      <c r="I11" s="797"/>
      <c r="J11" s="797" t="s">
        <v>52</v>
      </c>
      <c r="K11" s="797"/>
      <c r="L11" s="797"/>
      <c r="M11" s="797"/>
      <c r="N11" s="797"/>
      <c r="O11" s="798"/>
      <c r="P11" s="797" t="s">
        <v>11</v>
      </c>
      <c r="Q11" s="20"/>
    </row>
    <row r="12" spans="1:18" ht="96" customHeight="1" thickTop="1" thickBot="1" x14ac:dyDescent="0.25">
      <c r="A12" s="797"/>
      <c r="B12" s="802"/>
      <c r="C12" s="802"/>
      <c r="D12" s="797"/>
      <c r="E12" s="799" t="s">
        <v>380</v>
      </c>
      <c r="F12" s="799" t="s">
        <v>53</v>
      </c>
      <c r="G12" s="799" t="s">
        <v>13</v>
      </c>
      <c r="H12" s="799"/>
      <c r="I12" s="799" t="s">
        <v>55</v>
      </c>
      <c r="J12" s="799" t="s">
        <v>380</v>
      </c>
      <c r="K12" s="799" t="s">
        <v>381</v>
      </c>
      <c r="L12" s="799" t="s">
        <v>53</v>
      </c>
      <c r="M12" s="799" t="s">
        <v>13</v>
      </c>
      <c r="N12" s="799"/>
      <c r="O12" s="799" t="s">
        <v>55</v>
      </c>
      <c r="P12" s="797"/>
      <c r="Q12" s="20"/>
    </row>
    <row r="13" spans="1:18" ht="328.7" customHeight="1" thickTop="1" thickBot="1" x14ac:dyDescent="0.25">
      <c r="A13" s="802"/>
      <c r="B13" s="802"/>
      <c r="C13" s="802"/>
      <c r="D13" s="802"/>
      <c r="E13" s="799"/>
      <c r="F13" s="799"/>
      <c r="G13" s="301" t="s">
        <v>54</v>
      </c>
      <c r="H13" s="301" t="s">
        <v>15</v>
      </c>
      <c r="I13" s="799"/>
      <c r="J13" s="799"/>
      <c r="K13" s="799"/>
      <c r="L13" s="799"/>
      <c r="M13" s="301" t="s">
        <v>54</v>
      </c>
      <c r="N13" s="301" t="s">
        <v>15</v>
      </c>
      <c r="O13" s="799"/>
      <c r="P13" s="797"/>
      <c r="Q13" s="20"/>
    </row>
    <row r="14" spans="1:18" s="24" customFormat="1" ht="47.25" thickTop="1" thickBot="1" x14ac:dyDescent="0.25">
      <c r="A14" s="298" t="s">
        <v>2</v>
      </c>
      <c r="B14" s="298" t="s">
        <v>3</v>
      </c>
      <c r="C14" s="298" t="s">
        <v>14</v>
      </c>
      <c r="D14" s="298" t="s">
        <v>5</v>
      </c>
      <c r="E14" s="298" t="s">
        <v>388</v>
      </c>
      <c r="F14" s="298" t="s">
        <v>389</v>
      </c>
      <c r="G14" s="298" t="s">
        <v>390</v>
      </c>
      <c r="H14" s="298" t="s">
        <v>391</v>
      </c>
      <c r="I14" s="298" t="s">
        <v>392</v>
      </c>
      <c r="J14" s="298" t="s">
        <v>393</v>
      </c>
      <c r="K14" s="298" t="s">
        <v>394</v>
      </c>
      <c r="L14" s="298" t="s">
        <v>395</v>
      </c>
      <c r="M14" s="298" t="s">
        <v>396</v>
      </c>
      <c r="N14" s="298" t="s">
        <v>397</v>
      </c>
      <c r="O14" s="298" t="s">
        <v>398</v>
      </c>
      <c r="P14" s="298" t="s">
        <v>399</v>
      </c>
      <c r="Q14" s="124"/>
      <c r="R14" s="23"/>
    </row>
    <row r="15" spans="1:18" s="24" customFormat="1" ht="120" customHeight="1" thickTop="1" thickBot="1" x14ac:dyDescent="0.25">
      <c r="A15" s="624" t="s">
        <v>147</v>
      </c>
      <c r="B15" s="624"/>
      <c r="C15" s="624"/>
      <c r="D15" s="625" t="s">
        <v>149</v>
      </c>
      <c r="E15" s="626">
        <f>E16</f>
        <v>25660419.969999999</v>
      </c>
      <c r="F15" s="627">
        <f t="shared" ref="F15:N15" si="0">F16</f>
        <v>25660419.969999999</v>
      </c>
      <c r="G15" s="627">
        <f t="shared" si="0"/>
        <v>2495500</v>
      </c>
      <c r="H15" s="627">
        <f t="shared" si="0"/>
        <v>0</v>
      </c>
      <c r="I15" s="627">
        <f t="shared" si="0"/>
        <v>0</v>
      </c>
      <c r="J15" s="626">
        <f t="shared" si="0"/>
        <v>69947346.150000006</v>
      </c>
      <c r="K15" s="627">
        <f t="shared" si="0"/>
        <v>69251484.150000006</v>
      </c>
      <c r="L15" s="627">
        <f t="shared" si="0"/>
        <v>695862</v>
      </c>
      <c r="M15" s="627">
        <f t="shared" si="0"/>
        <v>0</v>
      </c>
      <c r="N15" s="627">
        <f t="shared" si="0"/>
        <v>0</v>
      </c>
      <c r="O15" s="626">
        <f>O16</f>
        <v>69251484.150000006</v>
      </c>
      <c r="P15" s="627">
        <f t="shared" ref="P15" si="1">P16</f>
        <v>95607766.120000005</v>
      </c>
      <c r="Q15" s="25"/>
      <c r="R15" s="25"/>
    </row>
    <row r="16" spans="1:18" s="24" customFormat="1" ht="120" customHeight="1" thickTop="1" thickBot="1" x14ac:dyDescent="0.25">
      <c r="A16" s="588" t="s">
        <v>148</v>
      </c>
      <c r="B16" s="588"/>
      <c r="C16" s="588"/>
      <c r="D16" s="589" t="s">
        <v>150</v>
      </c>
      <c r="E16" s="590">
        <f>E17+E27+E38+E44+E22</f>
        <v>25660419.969999999</v>
      </c>
      <c r="F16" s="590">
        <f>F17+F27+F38+F44+F22</f>
        <v>25660419.969999999</v>
      </c>
      <c r="G16" s="590">
        <f>G17+G27+G38+G44+G22</f>
        <v>2495500</v>
      </c>
      <c r="H16" s="590">
        <f>H17+H27+H38+H44+H22</f>
        <v>0</v>
      </c>
      <c r="I16" s="590">
        <f>I17+I27+I38+I44+I22</f>
        <v>0</v>
      </c>
      <c r="J16" s="590">
        <f>L16+O16</f>
        <v>69947346.150000006</v>
      </c>
      <c r="K16" s="590">
        <f>K17+K27+K38+K44+K22</f>
        <v>69251484.150000006</v>
      </c>
      <c r="L16" s="590">
        <f>L17+L27+L38+L44+L22</f>
        <v>695862</v>
      </c>
      <c r="M16" s="590">
        <f>M17+M27+M38+M44+M22</f>
        <v>0</v>
      </c>
      <c r="N16" s="590">
        <f>N17+N27+N38+N44+N22</f>
        <v>0</v>
      </c>
      <c r="O16" s="590">
        <f>O17+O27+O38+O44+O22</f>
        <v>69251484.150000006</v>
      </c>
      <c r="P16" s="590">
        <f>E16+J16</f>
        <v>95607766.120000005</v>
      </c>
      <c r="Q16" s="474" t="b">
        <f>P16=P18+P21+P26+P29+P34+P36+P37+P40+P41+P43+P46+P47+P48+P24+P32</f>
        <v>1</v>
      </c>
      <c r="R16" s="26"/>
    </row>
    <row r="17" spans="1:18" s="28" customFormat="1" ht="47.25" thickTop="1" thickBot="1" x14ac:dyDescent="0.25">
      <c r="A17" s="298" t="s">
        <v>671</v>
      </c>
      <c r="B17" s="298" t="s">
        <v>672</v>
      </c>
      <c r="C17" s="298"/>
      <c r="D17" s="298" t="s">
        <v>673</v>
      </c>
      <c r="E17" s="310">
        <f>'d3'!E17-d3П!E17</f>
        <v>2994254</v>
      </c>
      <c r="F17" s="310">
        <f>'d3'!F17-d3П!F17</f>
        <v>2994254</v>
      </c>
      <c r="G17" s="310">
        <f>'d3'!G17-d3П!G17</f>
        <v>2495500</v>
      </c>
      <c r="H17" s="310">
        <f>'d3'!H17-d3П!H17</f>
        <v>0</v>
      </c>
      <c r="I17" s="310">
        <f>'d3'!I17-d3П!I17</f>
        <v>0</v>
      </c>
      <c r="J17" s="310">
        <f>'d3'!J17-d3П!J17</f>
        <v>0</v>
      </c>
      <c r="K17" s="310">
        <f>'d3'!K17-d3П!K17</f>
        <v>0</v>
      </c>
      <c r="L17" s="310">
        <f>'d3'!L17-d3П!L17</f>
        <v>0</v>
      </c>
      <c r="M17" s="310">
        <f>'d3'!M17-d3П!M17</f>
        <v>0</v>
      </c>
      <c r="N17" s="310">
        <f>'d3'!N17-d3П!N17</f>
        <v>0</v>
      </c>
      <c r="O17" s="310">
        <f>'d3'!O17-d3П!O17</f>
        <v>0</v>
      </c>
      <c r="P17" s="310">
        <f>'d3'!P17-d3П!P17</f>
        <v>2994254</v>
      </c>
      <c r="Q17" s="31"/>
      <c r="R17" s="27"/>
    </row>
    <row r="18" spans="1:18" ht="173.25" customHeight="1" thickTop="1" thickBot="1" x14ac:dyDescent="0.25">
      <c r="A18" s="101" t="s">
        <v>231</v>
      </c>
      <c r="B18" s="101" t="s">
        <v>232</v>
      </c>
      <c r="C18" s="101" t="s">
        <v>233</v>
      </c>
      <c r="D18" s="101" t="s">
        <v>230</v>
      </c>
      <c r="E18" s="310">
        <f>'d3'!E18-d3П!E18</f>
        <v>2994254</v>
      </c>
      <c r="F18" s="310">
        <f>'d3'!F18-d3П!F18</f>
        <v>2994254</v>
      </c>
      <c r="G18" s="310">
        <f>'d3'!G18-d3П!G18</f>
        <v>2495500</v>
      </c>
      <c r="H18" s="310">
        <f>'d3'!H18-d3П!H18</f>
        <v>0</v>
      </c>
      <c r="I18" s="310">
        <f>'d3'!I18-d3П!I18</f>
        <v>0</v>
      </c>
      <c r="J18" s="310">
        <f>'d3'!J18-d3П!J18</f>
        <v>0</v>
      </c>
      <c r="K18" s="310">
        <f>'d3'!K18-d3П!K18</f>
        <v>0</v>
      </c>
      <c r="L18" s="310">
        <f>'d3'!L18-d3П!L18</f>
        <v>0</v>
      </c>
      <c r="M18" s="310">
        <f>'d3'!M18-d3П!M18</f>
        <v>0</v>
      </c>
      <c r="N18" s="310">
        <f>'d3'!N18-d3П!N18</f>
        <v>0</v>
      </c>
      <c r="O18" s="310">
        <f>'d3'!O18-d3П!O18</f>
        <v>0</v>
      </c>
      <c r="P18" s="310">
        <f>'d3'!P18-d3П!P18</f>
        <v>2994254</v>
      </c>
      <c r="Q18" s="131"/>
      <c r="R18" s="29"/>
    </row>
    <row r="19" spans="1:18" ht="93" hidden="1" thickTop="1" thickBot="1" x14ac:dyDescent="0.25">
      <c r="A19" s="126" t="s">
        <v>577</v>
      </c>
      <c r="B19" s="126" t="s">
        <v>235</v>
      </c>
      <c r="C19" s="126" t="s">
        <v>233</v>
      </c>
      <c r="D19" s="126" t="s">
        <v>234</v>
      </c>
      <c r="E19" s="310">
        <f>'d3'!E19-d3П!E19</f>
        <v>0</v>
      </c>
      <c r="F19" s="310">
        <f>'d3'!F19-d3П!F19</f>
        <v>0</v>
      </c>
      <c r="G19" s="310">
        <f>'d3'!G19-d3П!G19</f>
        <v>0</v>
      </c>
      <c r="H19" s="310">
        <f>'d3'!H19-d3П!H19</f>
        <v>0</v>
      </c>
      <c r="I19" s="310">
        <f>'d3'!I19-d3П!I19</f>
        <v>0</v>
      </c>
      <c r="J19" s="310">
        <f>'d3'!J19-d3П!J19</f>
        <v>0</v>
      </c>
      <c r="K19" s="310">
        <f>'d3'!K19-d3П!K19</f>
        <v>0</v>
      </c>
      <c r="L19" s="310">
        <f>'d3'!L19-d3П!L19</f>
        <v>0</v>
      </c>
      <c r="M19" s="310">
        <f>'d3'!M19-d3П!M19</f>
        <v>0</v>
      </c>
      <c r="N19" s="310">
        <f>'d3'!N19-d3П!N19</f>
        <v>0</v>
      </c>
      <c r="O19" s="310">
        <f>'d3'!O19-d3П!O19</f>
        <v>0</v>
      </c>
      <c r="P19" s="310">
        <f>'d3'!P19-d3П!P19</f>
        <v>0</v>
      </c>
      <c r="Q19" s="131"/>
      <c r="R19" s="29"/>
    </row>
    <row r="20" spans="1:18" ht="93" hidden="1" thickTop="1" thickBot="1" x14ac:dyDescent="0.25">
      <c r="A20" s="126" t="s">
        <v>615</v>
      </c>
      <c r="B20" s="126" t="s">
        <v>358</v>
      </c>
      <c r="C20" s="126" t="s">
        <v>616</v>
      </c>
      <c r="D20" s="126" t="s">
        <v>617</v>
      </c>
      <c r="E20" s="310">
        <f>'d3'!E20-d3П!E20</f>
        <v>0</v>
      </c>
      <c r="F20" s="310">
        <f>'d3'!F20-d3П!F20</f>
        <v>0</v>
      </c>
      <c r="G20" s="310">
        <f>'d3'!G20-d3П!G20</f>
        <v>0</v>
      </c>
      <c r="H20" s="310">
        <f>'d3'!H20-d3П!H20</f>
        <v>0</v>
      </c>
      <c r="I20" s="310">
        <f>'d3'!I20-d3П!I20</f>
        <v>0</v>
      </c>
      <c r="J20" s="310">
        <f>'d3'!J20-d3П!J20</f>
        <v>0</v>
      </c>
      <c r="K20" s="310">
        <f>'d3'!K20-d3П!K20</f>
        <v>0</v>
      </c>
      <c r="L20" s="310">
        <f>'d3'!L20-d3П!L20</f>
        <v>0</v>
      </c>
      <c r="M20" s="310">
        <f>'d3'!M20-d3П!M20</f>
        <v>0</v>
      </c>
      <c r="N20" s="310">
        <f>'d3'!N20-d3П!N20</f>
        <v>0</v>
      </c>
      <c r="O20" s="310">
        <f>'d3'!O20-d3П!O20</f>
        <v>0</v>
      </c>
      <c r="P20" s="310">
        <f>'d3'!P20-d3П!P20</f>
        <v>0</v>
      </c>
      <c r="Q20" s="131"/>
      <c r="R20" s="30"/>
    </row>
    <row r="21" spans="1:18" ht="88.5" customHeight="1" thickTop="1" thickBot="1" x14ac:dyDescent="0.25">
      <c r="A21" s="101" t="s">
        <v>245</v>
      </c>
      <c r="B21" s="101" t="s">
        <v>43</v>
      </c>
      <c r="C21" s="101" t="s">
        <v>42</v>
      </c>
      <c r="D21" s="101" t="s">
        <v>246</v>
      </c>
      <c r="E21" s="310">
        <f>'d3'!E21-d3П!E21</f>
        <v>0</v>
      </c>
      <c r="F21" s="310">
        <f>'d3'!F21-d3П!F21</f>
        <v>0</v>
      </c>
      <c r="G21" s="310">
        <f>'d3'!G21-d3П!G21</f>
        <v>0</v>
      </c>
      <c r="H21" s="310">
        <f>'d3'!H21-d3П!H21</f>
        <v>0</v>
      </c>
      <c r="I21" s="310">
        <f>'d3'!I21-d3П!I21</f>
        <v>0</v>
      </c>
      <c r="J21" s="310">
        <f>'d3'!J21-d3П!J21</f>
        <v>0</v>
      </c>
      <c r="K21" s="310">
        <f>'d3'!K21-d3П!K21</f>
        <v>0</v>
      </c>
      <c r="L21" s="310">
        <f>'d3'!L21-d3П!L21</f>
        <v>0</v>
      </c>
      <c r="M21" s="310">
        <f>'d3'!M21-d3П!M21</f>
        <v>0</v>
      </c>
      <c r="N21" s="310">
        <f>'d3'!N21-d3П!N21</f>
        <v>0</v>
      </c>
      <c r="O21" s="310">
        <f>'d3'!O21-d3П!O21</f>
        <v>0</v>
      </c>
      <c r="P21" s="310">
        <f>'d3'!P21-d3П!P21</f>
        <v>0</v>
      </c>
      <c r="Q21" s="131"/>
      <c r="R21" s="30"/>
    </row>
    <row r="22" spans="1:18" ht="75.75" customHeight="1" thickTop="1" thickBot="1" x14ac:dyDescent="0.25">
      <c r="A22" s="298" t="s">
        <v>1501</v>
      </c>
      <c r="B22" s="298" t="s">
        <v>698</v>
      </c>
      <c r="C22" s="298"/>
      <c r="D22" s="298" t="s">
        <v>699</v>
      </c>
      <c r="E22" s="310">
        <f>'d3'!E22-d3П!E22</f>
        <v>1592760</v>
      </c>
      <c r="F22" s="310">
        <f>'d3'!F22-d3П!F22</f>
        <v>1592760</v>
      </c>
      <c r="G22" s="310">
        <f>'d3'!G22-d3П!G22</f>
        <v>0</v>
      </c>
      <c r="H22" s="310">
        <f>'d3'!H22-d3П!H22</f>
        <v>0</v>
      </c>
      <c r="I22" s="310">
        <f>'d3'!I22-d3П!I22</f>
        <v>0</v>
      </c>
      <c r="J22" s="310">
        <f>'d3'!J22-d3П!J22</f>
        <v>0</v>
      </c>
      <c r="K22" s="310">
        <f>'d3'!K22-d3П!K22</f>
        <v>0</v>
      </c>
      <c r="L22" s="310">
        <f>'d3'!L22-d3П!L22</f>
        <v>0</v>
      </c>
      <c r="M22" s="310">
        <f>'d3'!M22-d3П!M22</f>
        <v>0</v>
      </c>
      <c r="N22" s="310">
        <f>'d3'!N22-d3П!N22</f>
        <v>0</v>
      </c>
      <c r="O22" s="310">
        <f>'d3'!O22-d3П!O22</f>
        <v>0</v>
      </c>
      <c r="P22" s="310">
        <f>'d3'!P22-d3П!P22</f>
        <v>1592760</v>
      </c>
      <c r="Q22" s="131"/>
      <c r="R22" s="30"/>
    </row>
    <row r="23" spans="1:18" ht="79.5" customHeight="1" thickTop="1" thickBot="1" x14ac:dyDescent="0.25">
      <c r="A23" s="598" t="s">
        <v>1646</v>
      </c>
      <c r="B23" s="598" t="s">
        <v>723</v>
      </c>
      <c r="C23" s="598"/>
      <c r="D23" s="598" t="s">
        <v>724</v>
      </c>
      <c r="E23" s="310">
        <f>'d3'!E23-d3П!E23</f>
        <v>1592760</v>
      </c>
      <c r="F23" s="310">
        <f>'d3'!F23-d3П!F23</f>
        <v>1592760</v>
      </c>
      <c r="G23" s="310">
        <f>'d3'!G23-d3П!G23</f>
        <v>0</v>
      </c>
      <c r="H23" s="310">
        <f>'d3'!H23-d3П!H23</f>
        <v>0</v>
      </c>
      <c r="I23" s="310">
        <f>'d3'!I23-d3П!I23</f>
        <v>0</v>
      </c>
      <c r="J23" s="310">
        <f>'d3'!J23-d3П!J23</f>
        <v>0</v>
      </c>
      <c r="K23" s="310">
        <f>'d3'!K23-d3П!K23</f>
        <v>0</v>
      </c>
      <c r="L23" s="310">
        <f>'d3'!L23-d3П!L23</f>
        <v>0</v>
      </c>
      <c r="M23" s="310">
        <f>'d3'!M23-d3П!M23</f>
        <v>0</v>
      </c>
      <c r="N23" s="310">
        <f>'d3'!N23-d3П!N23</f>
        <v>0</v>
      </c>
      <c r="O23" s="310">
        <f>'d3'!O23-d3П!O23</f>
        <v>0</v>
      </c>
      <c r="P23" s="310">
        <f>'d3'!P23-d3П!P23</f>
        <v>1592760</v>
      </c>
      <c r="Q23" s="131"/>
      <c r="R23" s="30"/>
    </row>
    <row r="24" spans="1:18" ht="172.5" customHeight="1" thickTop="1" thickBot="1" x14ac:dyDescent="0.25">
      <c r="A24" s="101" t="s">
        <v>1643</v>
      </c>
      <c r="B24" s="101" t="s">
        <v>1644</v>
      </c>
      <c r="C24" s="101" t="s">
        <v>204</v>
      </c>
      <c r="D24" s="600" t="s">
        <v>1645</v>
      </c>
      <c r="E24" s="310">
        <f>'d3'!E24-d3П!E24</f>
        <v>1592760</v>
      </c>
      <c r="F24" s="310">
        <f>'d3'!F24-d3П!F24</f>
        <v>1592760</v>
      </c>
      <c r="G24" s="310">
        <f>'d3'!G24-d3П!G24</f>
        <v>0</v>
      </c>
      <c r="H24" s="310">
        <f>'d3'!H24-d3П!H24</f>
        <v>0</v>
      </c>
      <c r="I24" s="310">
        <f>'d3'!I24-d3П!I24</f>
        <v>0</v>
      </c>
      <c r="J24" s="310">
        <f>'d3'!J24-d3П!J24</f>
        <v>0</v>
      </c>
      <c r="K24" s="310">
        <f>'d3'!K24-d3П!K24</f>
        <v>0</v>
      </c>
      <c r="L24" s="310">
        <f>'d3'!L24-d3П!L24</f>
        <v>0</v>
      </c>
      <c r="M24" s="310">
        <f>'d3'!M24-d3П!M24</f>
        <v>0</v>
      </c>
      <c r="N24" s="310">
        <f>'d3'!N24-d3П!N24</f>
        <v>0</v>
      </c>
      <c r="O24" s="310">
        <f>'d3'!O24-d3П!O24</f>
        <v>0</v>
      </c>
      <c r="P24" s="310">
        <f>'d3'!P24-d3П!P24</f>
        <v>1592760</v>
      </c>
      <c r="Q24" s="131"/>
      <c r="R24" s="30"/>
    </row>
    <row r="25" spans="1:18" ht="69.75" customHeight="1" thickTop="1" thickBot="1" x14ac:dyDescent="0.25">
      <c r="A25" s="598" t="s">
        <v>1502</v>
      </c>
      <c r="B25" s="598" t="s">
        <v>726</v>
      </c>
      <c r="C25" s="598"/>
      <c r="D25" s="598" t="s">
        <v>727</v>
      </c>
      <c r="E25" s="310">
        <f>'d3'!E25-d3П!E25</f>
        <v>0</v>
      </c>
      <c r="F25" s="310">
        <f>'d3'!F25-d3П!F25</f>
        <v>0</v>
      </c>
      <c r="G25" s="310">
        <f>'d3'!G25-d3П!G25</f>
        <v>0</v>
      </c>
      <c r="H25" s="310">
        <f>'d3'!H25-d3П!H25</f>
        <v>0</v>
      </c>
      <c r="I25" s="310">
        <f>'d3'!I25-d3П!I25</f>
        <v>0</v>
      </c>
      <c r="J25" s="310">
        <f>'d3'!J25-d3П!J25</f>
        <v>0</v>
      </c>
      <c r="K25" s="310">
        <f>'d3'!K25-d3П!K25</f>
        <v>0</v>
      </c>
      <c r="L25" s="310">
        <f>'d3'!L25-d3П!L25</f>
        <v>0</v>
      </c>
      <c r="M25" s="310">
        <f>'d3'!M25-d3П!M25</f>
        <v>0</v>
      </c>
      <c r="N25" s="310">
        <f>'d3'!N25-d3П!N25</f>
        <v>0</v>
      </c>
      <c r="O25" s="310">
        <f>'d3'!O25-d3П!O25</f>
        <v>0</v>
      </c>
      <c r="P25" s="310">
        <f>'d3'!P25-d3П!P25</f>
        <v>0</v>
      </c>
      <c r="Q25" s="131"/>
      <c r="R25" s="30"/>
    </row>
    <row r="26" spans="1:18" ht="124.5" customHeight="1" thickTop="1" thickBot="1" x14ac:dyDescent="0.25">
      <c r="A26" s="101" t="s">
        <v>1503</v>
      </c>
      <c r="B26" s="101" t="s">
        <v>327</v>
      </c>
      <c r="C26" s="101" t="s">
        <v>190</v>
      </c>
      <c r="D26" s="600" t="s">
        <v>1621</v>
      </c>
      <c r="E26" s="310">
        <f>'d3'!E26-d3П!E26</f>
        <v>0</v>
      </c>
      <c r="F26" s="310">
        <f>'d3'!F26-d3П!F26</f>
        <v>0</v>
      </c>
      <c r="G26" s="310">
        <f>'d3'!G26-d3П!G26</f>
        <v>0</v>
      </c>
      <c r="H26" s="310">
        <f>'d3'!H26-d3П!H26</f>
        <v>0</v>
      </c>
      <c r="I26" s="310">
        <f>'d3'!I26-d3П!I26</f>
        <v>0</v>
      </c>
      <c r="J26" s="310">
        <f>'d3'!J26-d3П!J26</f>
        <v>0</v>
      </c>
      <c r="K26" s="310">
        <f>'d3'!K26-d3П!K26</f>
        <v>0</v>
      </c>
      <c r="L26" s="310">
        <f>'d3'!L26-d3П!L26</f>
        <v>0</v>
      </c>
      <c r="M26" s="310">
        <f>'d3'!M26-d3П!M26</f>
        <v>0</v>
      </c>
      <c r="N26" s="310">
        <f>'d3'!N26-d3П!N26</f>
        <v>0</v>
      </c>
      <c r="O26" s="310">
        <f>'d3'!O26-d3П!O26</f>
        <v>0</v>
      </c>
      <c r="P26" s="310">
        <f>'d3'!P26-d3П!P26</f>
        <v>0</v>
      </c>
      <c r="Q26" s="131"/>
      <c r="R26" s="30"/>
    </row>
    <row r="27" spans="1:18" s="28" customFormat="1" ht="75.75" customHeight="1" thickTop="1" thickBot="1" x14ac:dyDescent="0.3">
      <c r="A27" s="298" t="s">
        <v>734</v>
      </c>
      <c r="B27" s="298" t="s">
        <v>735</v>
      </c>
      <c r="C27" s="298"/>
      <c r="D27" s="298" t="s">
        <v>736</v>
      </c>
      <c r="E27" s="310">
        <f>'d3'!E27-d3П!E27</f>
        <v>1086205.9699999988</v>
      </c>
      <c r="F27" s="310">
        <f>'d3'!F27-d3П!F27</f>
        <v>1086205.9699999988</v>
      </c>
      <c r="G27" s="310">
        <f>'d3'!G27-d3П!G27</f>
        <v>0</v>
      </c>
      <c r="H27" s="310">
        <f>'d3'!H27-d3П!H27</f>
        <v>0</v>
      </c>
      <c r="I27" s="310">
        <f>'d3'!I27-d3П!I27</f>
        <v>0</v>
      </c>
      <c r="J27" s="310">
        <f>'d3'!J27-d3П!J27</f>
        <v>695862</v>
      </c>
      <c r="K27" s="310">
        <f>'d3'!K27-d3П!K27</f>
        <v>0</v>
      </c>
      <c r="L27" s="310">
        <f>'d3'!L27-d3П!L27</f>
        <v>695862</v>
      </c>
      <c r="M27" s="310">
        <f>'d3'!M27-d3П!M27</f>
        <v>0</v>
      </c>
      <c r="N27" s="310">
        <f>'d3'!N27-d3П!N27</f>
        <v>0</v>
      </c>
      <c r="O27" s="310">
        <f>'d3'!O27-d3П!O27</f>
        <v>0</v>
      </c>
      <c r="P27" s="310">
        <f>'d3'!P27-d3П!P27</f>
        <v>1782067.9699999988</v>
      </c>
      <c r="Q27" s="133"/>
      <c r="R27" s="31"/>
    </row>
    <row r="28" spans="1:18" s="33" customFormat="1" ht="72" customHeight="1" thickTop="1" thickBot="1" x14ac:dyDescent="0.25">
      <c r="A28" s="593" t="s">
        <v>674</v>
      </c>
      <c r="B28" s="593" t="s">
        <v>675</v>
      </c>
      <c r="C28" s="593"/>
      <c r="D28" s="593" t="s">
        <v>676</v>
      </c>
      <c r="E28" s="310">
        <f>'d3'!E28-d3П!E28</f>
        <v>500000</v>
      </c>
      <c r="F28" s="310">
        <f>'d3'!F28-d3П!F28</f>
        <v>500000</v>
      </c>
      <c r="G28" s="310">
        <f>'d3'!G28-d3П!G28</f>
        <v>0</v>
      </c>
      <c r="H28" s="310">
        <f>'d3'!H28-d3П!H28</f>
        <v>0</v>
      </c>
      <c r="I28" s="310">
        <f>'d3'!I28-d3П!I28</f>
        <v>0</v>
      </c>
      <c r="J28" s="310">
        <f>'d3'!J28-d3П!J28</f>
        <v>0</v>
      </c>
      <c r="K28" s="310">
        <f>'d3'!K28-d3П!K28</f>
        <v>0</v>
      </c>
      <c r="L28" s="310">
        <f>'d3'!L28-d3П!L28</f>
        <v>0</v>
      </c>
      <c r="M28" s="310">
        <f>'d3'!M28-d3П!M28</f>
        <v>0</v>
      </c>
      <c r="N28" s="310">
        <f>'d3'!N28-d3П!N28</f>
        <v>0</v>
      </c>
      <c r="O28" s="310">
        <f>'d3'!O28-d3П!O28</f>
        <v>0</v>
      </c>
      <c r="P28" s="310">
        <f>'d3'!P28-d3П!P28</f>
        <v>500000</v>
      </c>
      <c r="Q28" s="136"/>
      <c r="R28" s="32"/>
    </row>
    <row r="29" spans="1:18" ht="69.75" customHeight="1" thickTop="1" thickBot="1" x14ac:dyDescent="0.25">
      <c r="A29" s="101" t="s">
        <v>237</v>
      </c>
      <c r="B29" s="101" t="s">
        <v>238</v>
      </c>
      <c r="C29" s="101" t="s">
        <v>239</v>
      </c>
      <c r="D29" s="101" t="s">
        <v>236</v>
      </c>
      <c r="E29" s="310">
        <f>'d3'!E29-d3П!E29</f>
        <v>500000</v>
      </c>
      <c r="F29" s="310">
        <f>'d3'!F29-d3П!F29</f>
        <v>500000</v>
      </c>
      <c r="G29" s="310">
        <f>'d3'!G29-d3П!G29</f>
        <v>0</v>
      </c>
      <c r="H29" s="310">
        <f>'d3'!H29-d3П!H29</f>
        <v>0</v>
      </c>
      <c r="I29" s="310">
        <f>'d3'!I29-d3П!I29</f>
        <v>0</v>
      </c>
      <c r="J29" s="310">
        <f>'d3'!J29-d3П!J29</f>
        <v>0</v>
      </c>
      <c r="K29" s="310">
        <f>'d3'!K29-d3П!K29</f>
        <v>0</v>
      </c>
      <c r="L29" s="310">
        <f>'d3'!L29-d3П!L29</f>
        <v>0</v>
      </c>
      <c r="M29" s="310">
        <f>'d3'!M29-d3П!M29</f>
        <v>0</v>
      </c>
      <c r="N29" s="310">
        <f>'d3'!N29-d3П!N29</f>
        <v>0</v>
      </c>
      <c r="O29" s="310">
        <f>'d3'!O29-d3П!O29</f>
        <v>0</v>
      </c>
      <c r="P29" s="310">
        <f>'d3'!P29-d3П!P29</f>
        <v>500000</v>
      </c>
      <c r="Q29" s="131"/>
      <c r="R29" s="29"/>
    </row>
    <row r="30" spans="1:18" ht="93" hidden="1" thickTop="1" thickBot="1" x14ac:dyDescent="0.25">
      <c r="A30" s="41" t="s">
        <v>956</v>
      </c>
      <c r="B30" s="41" t="s">
        <v>957</v>
      </c>
      <c r="C30" s="41" t="s">
        <v>239</v>
      </c>
      <c r="D30" s="41" t="s">
        <v>958</v>
      </c>
      <c r="E30" s="310">
        <f>'d3'!E30-d3П!E30</f>
        <v>0</v>
      </c>
      <c r="F30" s="310">
        <f>'d3'!F30-d3П!F30</f>
        <v>0</v>
      </c>
      <c r="G30" s="310">
        <f>'d3'!G30-d3П!G30</f>
        <v>0</v>
      </c>
      <c r="H30" s="310">
        <f>'d3'!H30-d3П!H30</f>
        <v>0</v>
      </c>
      <c r="I30" s="310">
        <f>'d3'!I30-d3П!I30</f>
        <v>0</v>
      </c>
      <c r="J30" s="310">
        <f>'d3'!J30-d3П!J30</f>
        <v>0</v>
      </c>
      <c r="K30" s="310">
        <f>'d3'!K30-d3П!K30</f>
        <v>0</v>
      </c>
      <c r="L30" s="310">
        <f>'d3'!L30-d3П!L30</f>
        <v>0</v>
      </c>
      <c r="M30" s="310">
        <f>'d3'!M30-d3П!M30</f>
        <v>0</v>
      </c>
      <c r="N30" s="310">
        <f>'d3'!N30-d3П!N30</f>
        <v>0</v>
      </c>
      <c r="O30" s="310">
        <f>'d3'!O30-d3П!O30</f>
        <v>0</v>
      </c>
      <c r="P30" s="310">
        <f>'d3'!P30-d3П!P30</f>
        <v>0</v>
      </c>
      <c r="Q30" s="131"/>
      <c r="R30" s="29"/>
    </row>
    <row r="31" spans="1:18" ht="63" customHeight="1" thickTop="1" thickBot="1" x14ac:dyDescent="0.25">
      <c r="A31" s="593" t="s">
        <v>678</v>
      </c>
      <c r="B31" s="593" t="s">
        <v>679</v>
      </c>
      <c r="C31" s="593"/>
      <c r="D31" s="593" t="s">
        <v>677</v>
      </c>
      <c r="E31" s="310">
        <f>'d3'!E31-d3П!E31</f>
        <v>586205.96999999974</v>
      </c>
      <c r="F31" s="310">
        <f>'d3'!F31-d3П!F31</f>
        <v>586205.96999999974</v>
      </c>
      <c r="G31" s="310">
        <f>'d3'!G31-d3П!G31</f>
        <v>0</v>
      </c>
      <c r="H31" s="310">
        <f>'d3'!H31-d3П!H31</f>
        <v>0</v>
      </c>
      <c r="I31" s="310">
        <f>'d3'!I31-d3П!I31</f>
        <v>0</v>
      </c>
      <c r="J31" s="310">
        <f>'d3'!J31-d3П!J31</f>
        <v>695862</v>
      </c>
      <c r="K31" s="310">
        <f>'d3'!K31-d3П!K31</f>
        <v>0</v>
      </c>
      <c r="L31" s="310">
        <f>'d3'!L31-d3П!L31</f>
        <v>695862</v>
      </c>
      <c r="M31" s="310">
        <f>'d3'!M31-d3П!M31</f>
        <v>0</v>
      </c>
      <c r="N31" s="310">
        <f>'d3'!N31-d3П!N31</f>
        <v>0</v>
      </c>
      <c r="O31" s="310">
        <f>'d3'!O31-d3П!O31</f>
        <v>0</v>
      </c>
      <c r="P31" s="310">
        <f>'d3'!P31-d3П!P31</f>
        <v>1282067.9699999988</v>
      </c>
      <c r="Q31" s="137"/>
      <c r="R31" s="34"/>
    </row>
    <row r="32" spans="1:18" ht="63" customHeight="1" thickTop="1" thickBot="1" x14ac:dyDescent="0.25">
      <c r="A32" s="727" t="s">
        <v>1737</v>
      </c>
      <c r="B32" s="727" t="s">
        <v>252</v>
      </c>
      <c r="C32" s="727" t="s">
        <v>212</v>
      </c>
      <c r="D32" s="727" t="s">
        <v>251</v>
      </c>
      <c r="E32" s="310">
        <f>'d3'!E32-0</f>
        <v>586205.97</v>
      </c>
      <c r="F32" s="310">
        <f>'d3'!F32-0</f>
        <v>586205.97</v>
      </c>
      <c r="G32" s="310">
        <f>'d3'!G32-0</f>
        <v>0</v>
      </c>
      <c r="H32" s="310">
        <f>'d3'!H32-0</f>
        <v>0</v>
      </c>
      <c r="I32" s="310">
        <f>'d3'!I32-0</f>
        <v>0</v>
      </c>
      <c r="J32" s="310">
        <f>'d3'!J32-0</f>
        <v>0</v>
      </c>
      <c r="K32" s="310">
        <f>'d3'!K32-0</f>
        <v>0</v>
      </c>
      <c r="L32" s="310">
        <f>'d3'!L32-0</f>
        <v>0</v>
      </c>
      <c r="M32" s="310">
        <f>'d3'!M32-0</f>
        <v>0</v>
      </c>
      <c r="N32" s="310">
        <f>'d3'!N32-0</f>
        <v>0</v>
      </c>
      <c r="O32" s="310">
        <f>'d3'!O32-0</f>
        <v>0</v>
      </c>
      <c r="P32" s="310">
        <f>'d3'!P32-0</f>
        <v>586205.97</v>
      </c>
      <c r="Q32" s="137"/>
      <c r="R32" s="34"/>
    </row>
    <row r="33" spans="1:18" ht="48" hidden="1" thickTop="1" thickBot="1" x14ac:dyDescent="0.25">
      <c r="A33" s="101" t="s">
        <v>1341</v>
      </c>
      <c r="B33" s="101" t="s">
        <v>211</v>
      </c>
      <c r="C33" s="101" t="s">
        <v>212</v>
      </c>
      <c r="D33" s="101" t="s">
        <v>41</v>
      </c>
      <c r="E33" s="310"/>
      <c r="F33" s="425"/>
      <c r="G33" s="425"/>
      <c r="H33" s="425"/>
      <c r="I33" s="425"/>
      <c r="J33" s="310"/>
      <c r="K33" s="425"/>
      <c r="L33" s="425"/>
      <c r="M33" s="425"/>
      <c r="N33" s="425"/>
      <c r="O33" s="422"/>
      <c r="P33" s="310"/>
      <c r="Q33" s="137"/>
      <c r="R33" s="34"/>
    </row>
    <row r="34" spans="1:18" ht="76.7" customHeight="1" thickTop="1" thickBot="1" x14ac:dyDescent="0.25">
      <c r="A34" s="101" t="s">
        <v>297</v>
      </c>
      <c r="B34" s="101" t="s">
        <v>298</v>
      </c>
      <c r="C34" s="101" t="s">
        <v>169</v>
      </c>
      <c r="D34" s="101" t="s">
        <v>437</v>
      </c>
      <c r="E34" s="310">
        <f>'d3'!E34-d3П!E33</f>
        <v>0</v>
      </c>
      <c r="F34" s="310">
        <f>'d3'!F34-d3П!F33</f>
        <v>0</v>
      </c>
      <c r="G34" s="310">
        <f>'d3'!G34-d3П!G33</f>
        <v>0</v>
      </c>
      <c r="H34" s="310">
        <f>'d3'!H34-d3П!H33</f>
        <v>0</v>
      </c>
      <c r="I34" s="310">
        <f>'d3'!I34-d3П!I33</f>
        <v>0</v>
      </c>
      <c r="J34" s="310">
        <f>'d3'!J34-d3П!J33</f>
        <v>0</v>
      </c>
      <c r="K34" s="310">
        <f>'d3'!K34-d3П!K33</f>
        <v>0</v>
      </c>
      <c r="L34" s="310">
        <f>'d3'!L34-d3П!L33</f>
        <v>0</v>
      </c>
      <c r="M34" s="310">
        <f>'d3'!M34-d3П!M33</f>
        <v>0</v>
      </c>
      <c r="N34" s="310">
        <f>'d3'!N34-d3П!N33</f>
        <v>0</v>
      </c>
      <c r="O34" s="310">
        <f>'d3'!O34-d3П!O33</f>
        <v>0</v>
      </c>
      <c r="P34" s="310">
        <f>'d3'!P34-d3П!P33</f>
        <v>0</v>
      </c>
      <c r="Q34" s="131"/>
      <c r="R34" s="30"/>
    </row>
    <row r="35" spans="1:18" ht="72.75" customHeight="1" thickTop="1" thickBot="1" x14ac:dyDescent="0.25">
      <c r="A35" s="598" t="s">
        <v>681</v>
      </c>
      <c r="B35" s="598" t="s">
        <v>682</v>
      </c>
      <c r="C35" s="598"/>
      <c r="D35" s="616" t="s">
        <v>680</v>
      </c>
      <c r="E35" s="310">
        <f>'d3'!E35-d3П!E34</f>
        <v>0</v>
      </c>
      <c r="F35" s="310">
        <f>'d3'!F35-d3П!F34</f>
        <v>0</v>
      </c>
      <c r="G35" s="310">
        <f>'d3'!G35-d3П!G34</f>
        <v>0</v>
      </c>
      <c r="H35" s="310">
        <f>'d3'!H35-d3П!H34</f>
        <v>0</v>
      </c>
      <c r="I35" s="310">
        <f>'d3'!I35-d3П!I34</f>
        <v>0</v>
      </c>
      <c r="J35" s="310">
        <f>'d3'!J35-d3П!J34</f>
        <v>695862</v>
      </c>
      <c r="K35" s="310">
        <f>'d3'!K35-d3П!K34</f>
        <v>0</v>
      </c>
      <c r="L35" s="310">
        <f>'d3'!L35-d3П!L34</f>
        <v>695862</v>
      </c>
      <c r="M35" s="310">
        <f>'d3'!M35-d3П!M34</f>
        <v>0</v>
      </c>
      <c r="N35" s="310">
        <f>'d3'!N35-d3П!N34</f>
        <v>0</v>
      </c>
      <c r="O35" s="310">
        <f>'d3'!O35-d3П!O34</f>
        <v>0</v>
      </c>
      <c r="P35" s="310">
        <f>'d3'!P35-d3П!P34</f>
        <v>695862</v>
      </c>
      <c r="Q35" s="137"/>
      <c r="R35" s="35"/>
    </row>
    <row r="36" spans="1:18" s="33" customFormat="1" ht="309.75" customHeight="1" thickTop="1" thickBot="1" x14ac:dyDescent="0.25">
      <c r="A36" s="101" t="s">
        <v>336</v>
      </c>
      <c r="B36" s="101" t="s">
        <v>335</v>
      </c>
      <c r="C36" s="101" t="s">
        <v>169</v>
      </c>
      <c r="D36" s="724" t="s">
        <v>1715</v>
      </c>
      <c r="E36" s="310">
        <f>'d3'!E36-d3П!E35</f>
        <v>0</v>
      </c>
      <c r="F36" s="310">
        <f>'d3'!F36-d3П!F35</f>
        <v>0</v>
      </c>
      <c r="G36" s="310">
        <f>'d3'!G36-d3П!G35</f>
        <v>0</v>
      </c>
      <c r="H36" s="310">
        <f>'d3'!H36-d3П!H35</f>
        <v>0</v>
      </c>
      <c r="I36" s="310">
        <f>'d3'!I36-d3П!I35</f>
        <v>0</v>
      </c>
      <c r="J36" s="310">
        <f>'d3'!J36-d3П!J35</f>
        <v>695862</v>
      </c>
      <c r="K36" s="310">
        <f>'d3'!K36-d3П!K35</f>
        <v>0</v>
      </c>
      <c r="L36" s="310">
        <f>'d3'!L36-d3П!L35</f>
        <v>695862</v>
      </c>
      <c r="M36" s="310">
        <f>'d3'!M36-d3П!M35</f>
        <v>0</v>
      </c>
      <c r="N36" s="310">
        <f>'d3'!N36-d3П!N35</f>
        <v>0</v>
      </c>
      <c r="O36" s="310">
        <f>'d3'!O36-d3П!O35</f>
        <v>0</v>
      </c>
      <c r="P36" s="310">
        <f>'d3'!P36-d3П!P35</f>
        <v>695862</v>
      </c>
      <c r="Q36" s="140"/>
      <c r="R36" s="36"/>
    </row>
    <row r="37" spans="1:18" s="33" customFormat="1" ht="79.5" customHeight="1" thickTop="1" thickBot="1" x14ac:dyDescent="0.25">
      <c r="A37" s="101" t="s">
        <v>896</v>
      </c>
      <c r="B37" s="101" t="s">
        <v>255</v>
      </c>
      <c r="C37" s="101" t="s">
        <v>169</v>
      </c>
      <c r="D37" s="101" t="s">
        <v>253</v>
      </c>
      <c r="E37" s="310">
        <f>'d3'!E37-d3П!E36</f>
        <v>0</v>
      </c>
      <c r="F37" s="310">
        <f>'d3'!F37-d3П!F36</f>
        <v>0</v>
      </c>
      <c r="G37" s="310">
        <f>'d3'!G37-d3П!G36</f>
        <v>0</v>
      </c>
      <c r="H37" s="310">
        <f>'d3'!H37-d3П!H36</f>
        <v>0</v>
      </c>
      <c r="I37" s="310">
        <f>'d3'!I37-d3П!I36</f>
        <v>0</v>
      </c>
      <c r="J37" s="310">
        <f>'d3'!J37-d3П!J36</f>
        <v>0</v>
      </c>
      <c r="K37" s="310">
        <f>'d3'!K37-d3П!K36</f>
        <v>0</v>
      </c>
      <c r="L37" s="310">
        <f>'d3'!L37-d3П!L36</f>
        <v>0</v>
      </c>
      <c r="M37" s="310">
        <f>'d3'!M37-d3П!M36</f>
        <v>0</v>
      </c>
      <c r="N37" s="310">
        <f>'d3'!N37-d3П!N36</f>
        <v>0</v>
      </c>
      <c r="O37" s="310">
        <f>'d3'!O37-d3П!O36</f>
        <v>0</v>
      </c>
      <c r="P37" s="310">
        <f>'d3'!P37-d3П!P36</f>
        <v>0</v>
      </c>
      <c r="Q37" s="36"/>
      <c r="R37" s="36"/>
    </row>
    <row r="38" spans="1:18" s="33" customFormat="1" ht="65.25" customHeight="1" thickTop="1" thickBot="1" x14ac:dyDescent="0.25">
      <c r="A38" s="298" t="s">
        <v>683</v>
      </c>
      <c r="B38" s="298" t="s">
        <v>684</v>
      </c>
      <c r="C38" s="298"/>
      <c r="D38" s="298" t="s">
        <v>685</v>
      </c>
      <c r="E38" s="310">
        <f>'d3'!E38-d3П!E37</f>
        <v>6500000</v>
      </c>
      <c r="F38" s="310">
        <f>'d3'!F38-d3П!F37</f>
        <v>6500000</v>
      </c>
      <c r="G38" s="310">
        <f>'d3'!G38-d3П!G37</f>
        <v>0</v>
      </c>
      <c r="H38" s="310">
        <f>'d3'!H38-d3П!H37</f>
        <v>0</v>
      </c>
      <c r="I38" s="310">
        <f>'d3'!I38-d3П!I37</f>
        <v>0</v>
      </c>
      <c r="J38" s="310">
        <f>'d3'!J38-d3П!J37</f>
        <v>28200000</v>
      </c>
      <c r="K38" s="310">
        <f>'d3'!K38-d3П!K37</f>
        <v>28200000</v>
      </c>
      <c r="L38" s="310">
        <f>'d3'!L38-d3П!L37</f>
        <v>0</v>
      </c>
      <c r="M38" s="310">
        <f>'d3'!M38-d3П!M37</f>
        <v>0</v>
      </c>
      <c r="N38" s="310">
        <f>'d3'!N38-d3П!N37</f>
        <v>0</v>
      </c>
      <c r="O38" s="310">
        <f>'d3'!O38-d3П!O37</f>
        <v>28200000</v>
      </c>
      <c r="P38" s="310">
        <f>'d3'!P38-d3П!P37</f>
        <v>34700000</v>
      </c>
      <c r="Q38" s="36"/>
      <c r="R38" s="36"/>
    </row>
    <row r="39" spans="1:18" s="33" customFormat="1" ht="75.75" customHeight="1" thickTop="1" thickBot="1" x14ac:dyDescent="0.25">
      <c r="A39" s="593" t="s">
        <v>1144</v>
      </c>
      <c r="B39" s="593" t="s">
        <v>1145</v>
      </c>
      <c r="C39" s="593"/>
      <c r="D39" s="593" t="s">
        <v>1143</v>
      </c>
      <c r="E39" s="310">
        <f>'d3'!E39-d3П!E38</f>
        <v>6500000</v>
      </c>
      <c r="F39" s="310">
        <f>'d3'!F39-d3П!F38</f>
        <v>6500000</v>
      </c>
      <c r="G39" s="310">
        <f>'d3'!G39-d3П!G38</f>
        <v>0</v>
      </c>
      <c r="H39" s="310">
        <f>'d3'!H39-d3П!H38</f>
        <v>0</v>
      </c>
      <c r="I39" s="310">
        <f>'d3'!I39-d3П!I38</f>
        <v>0</v>
      </c>
      <c r="J39" s="310">
        <f>'d3'!J39-d3П!J38</f>
        <v>28200000</v>
      </c>
      <c r="K39" s="310">
        <f>'d3'!K39-d3П!K38</f>
        <v>28200000</v>
      </c>
      <c r="L39" s="310">
        <f>'d3'!L39-d3П!L38</f>
        <v>0</v>
      </c>
      <c r="M39" s="310">
        <f>'d3'!M39-d3П!M38</f>
        <v>0</v>
      </c>
      <c r="N39" s="310">
        <f>'d3'!N39-d3П!N38</f>
        <v>0</v>
      </c>
      <c r="O39" s="310">
        <f>'d3'!O39-d3П!O38</f>
        <v>28200000</v>
      </c>
      <c r="P39" s="310">
        <f>'d3'!P39-d3П!P38</f>
        <v>34700000</v>
      </c>
      <c r="Q39" s="36"/>
      <c r="R39" s="36"/>
    </row>
    <row r="40" spans="1:18" s="33" customFormat="1" ht="85.7" customHeight="1" thickTop="1" thickBot="1" x14ac:dyDescent="0.25">
      <c r="A40" s="101" t="s">
        <v>1171</v>
      </c>
      <c r="B40" s="101" t="s">
        <v>1172</v>
      </c>
      <c r="C40" s="101" t="s">
        <v>1147</v>
      </c>
      <c r="D40" s="101" t="s">
        <v>1173</v>
      </c>
      <c r="E40" s="310">
        <f>'d3'!E40-d3П!E39</f>
        <v>6000000</v>
      </c>
      <c r="F40" s="310">
        <f>'d3'!F40-d3П!F39</f>
        <v>6000000</v>
      </c>
      <c r="G40" s="310">
        <f>'d3'!G40-d3П!G39</f>
        <v>0</v>
      </c>
      <c r="H40" s="310">
        <f>'d3'!H40-d3П!H39</f>
        <v>0</v>
      </c>
      <c r="I40" s="310">
        <f>'d3'!I40-d3П!I39</f>
        <v>0</v>
      </c>
      <c r="J40" s="310">
        <f>'d3'!J40-d3П!J39</f>
        <v>28000000</v>
      </c>
      <c r="K40" s="310">
        <f>'d3'!K40-d3П!K39</f>
        <v>28000000</v>
      </c>
      <c r="L40" s="310">
        <f>'d3'!L40-d3П!L39</f>
        <v>0</v>
      </c>
      <c r="M40" s="310">
        <f>'d3'!M40-d3П!M39</f>
        <v>0</v>
      </c>
      <c r="N40" s="310">
        <f>'d3'!N40-d3П!N39</f>
        <v>0</v>
      </c>
      <c r="O40" s="310">
        <f>'d3'!O40-d3П!O39</f>
        <v>28000000</v>
      </c>
      <c r="P40" s="310">
        <f>'d3'!P40-d3П!P39</f>
        <v>34000000</v>
      </c>
      <c r="Q40" s="36"/>
      <c r="R40" s="36"/>
    </row>
    <row r="41" spans="1:18" s="33" customFormat="1" ht="72.75" customHeight="1" thickTop="1" thickBot="1" x14ac:dyDescent="0.25">
      <c r="A41" s="101" t="s">
        <v>1148</v>
      </c>
      <c r="B41" s="101" t="s">
        <v>1149</v>
      </c>
      <c r="C41" s="101" t="s">
        <v>1147</v>
      </c>
      <c r="D41" s="101" t="s">
        <v>1146</v>
      </c>
      <c r="E41" s="310">
        <f>'d3'!E41-d3П!E40</f>
        <v>500000</v>
      </c>
      <c r="F41" s="310">
        <f>'d3'!F41-d3П!F40</f>
        <v>500000</v>
      </c>
      <c r="G41" s="310">
        <f>'d3'!G41-d3П!G40</f>
        <v>0</v>
      </c>
      <c r="H41" s="310">
        <f>'d3'!H41-d3П!H40</f>
        <v>0</v>
      </c>
      <c r="I41" s="310">
        <f>'d3'!I41-d3П!I40</f>
        <v>0</v>
      </c>
      <c r="J41" s="310">
        <f>'d3'!J41-d3П!J40</f>
        <v>200000</v>
      </c>
      <c r="K41" s="310">
        <f>'d3'!K41-d3П!K40</f>
        <v>200000</v>
      </c>
      <c r="L41" s="310">
        <f>'d3'!L41-d3П!L40</f>
        <v>0</v>
      </c>
      <c r="M41" s="310">
        <f>'d3'!M41-d3П!M40</f>
        <v>0</v>
      </c>
      <c r="N41" s="310">
        <f>'d3'!N41-d3П!N40</f>
        <v>0</v>
      </c>
      <c r="O41" s="310">
        <f>'d3'!O41-d3П!O40</f>
        <v>200000</v>
      </c>
      <c r="P41" s="310">
        <f>'d3'!P41-d3П!P40</f>
        <v>700000</v>
      </c>
      <c r="Q41" s="36"/>
      <c r="R41" s="36"/>
    </row>
    <row r="42" spans="1:18" s="33" customFormat="1" ht="47.25" thickTop="1" thickBot="1" x14ac:dyDescent="0.25">
      <c r="A42" s="593" t="s">
        <v>686</v>
      </c>
      <c r="B42" s="593" t="s">
        <v>687</v>
      </c>
      <c r="C42" s="593"/>
      <c r="D42" s="593" t="s">
        <v>1579</v>
      </c>
      <c r="E42" s="310">
        <f>'d3'!E42-d3П!E41</f>
        <v>0</v>
      </c>
      <c r="F42" s="310">
        <f>'d3'!F42-d3П!F41</f>
        <v>0</v>
      </c>
      <c r="G42" s="310">
        <f>'d3'!G42-d3П!G41</f>
        <v>0</v>
      </c>
      <c r="H42" s="310">
        <f>'d3'!H42-d3П!H41</f>
        <v>0</v>
      </c>
      <c r="I42" s="310">
        <f>'d3'!I42-d3П!I41</f>
        <v>0</v>
      </c>
      <c r="J42" s="310">
        <f>'d3'!J42-d3П!J41</f>
        <v>0</v>
      </c>
      <c r="K42" s="310">
        <f>'d3'!K42-d3П!K41</f>
        <v>0</v>
      </c>
      <c r="L42" s="310">
        <f>'d3'!L42-d3П!L41</f>
        <v>0</v>
      </c>
      <c r="M42" s="310">
        <f>'d3'!M42-d3П!M41</f>
        <v>0</v>
      </c>
      <c r="N42" s="310">
        <f>'d3'!N42-d3П!N41</f>
        <v>0</v>
      </c>
      <c r="O42" s="310">
        <f>'d3'!O42-d3П!O41</f>
        <v>0</v>
      </c>
      <c r="P42" s="310">
        <f>'d3'!P42-d3П!P41</f>
        <v>0</v>
      </c>
      <c r="Q42" s="36"/>
    </row>
    <row r="43" spans="1:18" ht="47.25" thickTop="1" thickBot="1" x14ac:dyDescent="0.25">
      <c r="A43" s="101" t="s">
        <v>240</v>
      </c>
      <c r="B43" s="101" t="s">
        <v>241</v>
      </c>
      <c r="C43" s="101" t="s">
        <v>242</v>
      </c>
      <c r="D43" s="101" t="s">
        <v>1580</v>
      </c>
      <c r="E43" s="310">
        <f>'d3'!E43-d3П!E42</f>
        <v>0</v>
      </c>
      <c r="F43" s="310">
        <f>'d3'!F43-d3П!F42</f>
        <v>0</v>
      </c>
      <c r="G43" s="310">
        <f>'d3'!G43-d3П!G42</f>
        <v>0</v>
      </c>
      <c r="H43" s="310">
        <f>'d3'!H43-d3П!H42</f>
        <v>0</v>
      </c>
      <c r="I43" s="310">
        <f>'d3'!I43-d3П!I42</f>
        <v>0</v>
      </c>
      <c r="J43" s="310">
        <f>'d3'!J43-d3П!J42</f>
        <v>0</v>
      </c>
      <c r="K43" s="310">
        <f>'d3'!K43-d3П!K42</f>
        <v>0</v>
      </c>
      <c r="L43" s="310">
        <f>'d3'!L43-d3П!L42</f>
        <v>0</v>
      </c>
      <c r="M43" s="310">
        <f>'d3'!M43-d3П!M42</f>
        <v>0</v>
      </c>
      <c r="N43" s="310">
        <f>'d3'!N43-d3П!N42</f>
        <v>0</v>
      </c>
      <c r="O43" s="310">
        <f>'d3'!O43-d3П!O42</f>
        <v>0</v>
      </c>
      <c r="P43" s="310">
        <f>'d3'!P43-d3П!P42</f>
        <v>0</v>
      </c>
      <c r="Q43" s="20"/>
    </row>
    <row r="44" spans="1:18" ht="72" customHeight="1" thickTop="1" thickBot="1" x14ac:dyDescent="0.25">
      <c r="A44" s="298" t="s">
        <v>688</v>
      </c>
      <c r="B44" s="298" t="s">
        <v>689</v>
      </c>
      <c r="C44" s="298"/>
      <c r="D44" s="298" t="s">
        <v>690</v>
      </c>
      <c r="E44" s="310">
        <f>'d3'!E44-d3П!E43</f>
        <v>13487200</v>
      </c>
      <c r="F44" s="310">
        <f>'d3'!F44-d3П!F43</f>
        <v>13487200</v>
      </c>
      <c r="G44" s="310">
        <f>'d3'!G44-d3П!G43</f>
        <v>0</v>
      </c>
      <c r="H44" s="310">
        <f>'d3'!H44-d3П!H43</f>
        <v>0</v>
      </c>
      <c r="I44" s="310">
        <f>'d3'!I44-d3П!I43</f>
        <v>0</v>
      </c>
      <c r="J44" s="310">
        <f>'d3'!J44-d3П!J43</f>
        <v>41051484.150000006</v>
      </c>
      <c r="K44" s="310">
        <f>'d3'!K44-d3П!K43</f>
        <v>41051484.150000006</v>
      </c>
      <c r="L44" s="310">
        <f>'d3'!L44-d3П!L43</f>
        <v>0</v>
      </c>
      <c r="M44" s="310">
        <f>'d3'!M44-d3П!M43</f>
        <v>0</v>
      </c>
      <c r="N44" s="310">
        <f>'d3'!N44-d3П!N43</f>
        <v>0</v>
      </c>
      <c r="O44" s="310">
        <f>'d3'!O44-d3П!O43</f>
        <v>41051484.150000006</v>
      </c>
      <c r="P44" s="310">
        <f>'d3'!P44-d3П!P43</f>
        <v>54538684.150000006</v>
      </c>
      <c r="Q44" s="20"/>
    </row>
    <row r="45" spans="1:18" s="33" customFormat="1" ht="91.5" thickTop="1" thickBot="1" x14ac:dyDescent="0.25">
      <c r="A45" s="593" t="s">
        <v>691</v>
      </c>
      <c r="B45" s="593" t="s">
        <v>692</v>
      </c>
      <c r="C45" s="593"/>
      <c r="D45" s="593" t="s">
        <v>693</v>
      </c>
      <c r="E45" s="310">
        <f>'d3'!E45-d3П!E44</f>
        <v>0</v>
      </c>
      <c r="F45" s="310">
        <f>'d3'!F45-d3П!F44</f>
        <v>0</v>
      </c>
      <c r="G45" s="310">
        <f>'d3'!G45-d3П!G44</f>
        <v>0</v>
      </c>
      <c r="H45" s="310">
        <f>'d3'!H45-d3П!H44</f>
        <v>0</v>
      </c>
      <c r="I45" s="310">
        <f>'d3'!I45-d3П!I44</f>
        <v>0</v>
      </c>
      <c r="J45" s="310">
        <f>'d3'!J45-d3П!J44</f>
        <v>0</v>
      </c>
      <c r="K45" s="310">
        <f>'d3'!K45-d3П!K44</f>
        <v>0</v>
      </c>
      <c r="L45" s="310">
        <f>'d3'!L45-d3П!L44</f>
        <v>0</v>
      </c>
      <c r="M45" s="310">
        <f>'d3'!M45-d3П!M44</f>
        <v>0</v>
      </c>
      <c r="N45" s="310">
        <f>'d3'!N45-d3П!N44</f>
        <v>0</v>
      </c>
      <c r="O45" s="310">
        <f>'d3'!O45-d3П!O44</f>
        <v>0</v>
      </c>
      <c r="P45" s="310">
        <f>'d3'!P45-d3П!P44</f>
        <v>0</v>
      </c>
      <c r="Q45" s="36"/>
      <c r="R45" s="36"/>
    </row>
    <row r="46" spans="1:18" ht="138.75" thickTop="1" thickBot="1" x14ac:dyDescent="0.25">
      <c r="A46" s="101" t="s">
        <v>243</v>
      </c>
      <c r="B46" s="101" t="s">
        <v>244</v>
      </c>
      <c r="C46" s="101" t="s">
        <v>43</v>
      </c>
      <c r="D46" s="101" t="s">
        <v>438</v>
      </c>
      <c r="E46" s="310">
        <f>'d3'!E46-d3П!E45</f>
        <v>0</v>
      </c>
      <c r="F46" s="310">
        <f>'d3'!F46-d3П!F45</f>
        <v>0</v>
      </c>
      <c r="G46" s="310">
        <f>'d3'!G46-d3П!G45</f>
        <v>0</v>
      </c>
      <c r="H46" s="310">
        <f>'d3'!H46-d3П!H45</f>
        <v>0</v>
      </c>
      <c r="I46" s="310">
        <f>'d3'!I46-d3П!I45</f>
        <v>0</v>
      </c>
      <c r="J46" s="310">
        <f>'d3'!J46-d3П!J45</f>
        <v>0</v>
      </c>
      <c r="K46" s="310">
        <f>'d3'!K46-d3П!K45</f>
        <v>0</v>
      </c>
      <c r="L46" s="310">
        <f>'d3'!L46-d3П!L45</f>
        <v>0</v>
      </c>
      <c r="M46" s="310">
        <f>'d3'!M46-d3П!M45</f>
        <v>0</v>
      </c>
      <c r="N46" s="310">
        <f>'d3'!N46-d3П!N45</f>
        <v>0</v>
      </c>
      <c r="O46" s="310">
        <f>'d3'!O46-d3П!O45</f>
        <v>0</v>
      </c>
      <c r="P46" s="310">
        <f>'d3'!P46-d3П!P45</f>
        <v>0</v>
      </c>
      <c r="Q46" s="20"/>
    </row>
    <row r="47" spans="1:18" ht="47.25" hidden="1" thickTop="1" thickBot="1" x14ac:dyDescent="0.25">
      <c r="A47" s="709" t="s">
        <v>568</v>
      </c>
      <c r="B47" s="709" t="s">
        <v>359</v>
      </c>
      <c r="C47" s="709" t="s">
        <v>43</v>
      </c>
      <c r="D47" s="709" t="s">
        <v>360</v>
      </c>
      <c r="E47" s="310">
        <f>'d3'!E47-d3П!E46</f>
        <v>0</v>
      </c>
      <c r="F47" s="310">
        <f>'d3'!F47-d3П!F46</f>
        <v>0</v>
      </c>
      <c r="G47" s="310">
        <f>'d3'!G47-d3П!G46</f>
        <v>0</v>
      </c>
      <c r="H47" s="310">
        <f>'d3'!H47-d3П!H46</f>
        <v>0</v>
      </c>
      <c r="I47" s="310">
        <f>'d3'!I47-d3П!I46</f>
        <v>0</v>
      </c>
      <c r="J47" s="310">
        <f>'d3'!J47-d3П!J46</f>
        <v>0</v>
      </c>
      <c r="K47" s="310">
        <f>'d3'!K47-d3П!K46</f>
        <v>0</v>
      </c>
      <c r="L47" s="310">
        <f>'d3'!L47-d3П!L46</f>
        <v>0</v>
      </c>
      <c r="M47" s="310">
        <f>'d3'!M47-d3П!M46</f>
        <v>0</v>
      </c>
      <c r="N47" s="310">
        <f>'d3'!N47-d3П!N46</f>
        <v>0</v>
      </c>
      <c r="O47" s="310">
        <f>'d3'!O47-d3П!O46</f>
        <v>0</v>
      </c>
      <c r="P47" s="310">
        <f>'d3'!P47-d3П!P46</f>
        <v>0</v>
      </c>
      <c r="Q47" s="20"/>
    </row>
    <row r="48" spans="1:18" ht="117.75" customHeight="1" thickTop="1" thickBot="1" x14ac:dyDescent="0.25">
      <c r="A48" s="101" t="s">
        <v>508</v>
      </c>
      <c r="B48" s="101" t="s">
        <v>509</v>
      </c>
      <c r="C48" s="101" t="s">
        <v>43</v>
      </c>
      <c r="D48" s="101" t="s">
        <v>510</v>
      </c>
      <c r="E48" s="310">
        <f>'d3'!E48-d3П!E47</f>
        <v>13487200</v>
      </c>
      <c r="F48" s="310">
        <f>'d3'!F48-d3П!F47</f>
        <v>13487200</v>
      </c>
      <c r="G48" s="310">
        <f>'d3'!G48-d3П!G47</f>
        <v>0</v>
      </c>
      <c r="H48" s="310">
        <f>'d3'!H48-d3П!H47</f>
        <v>0</v>
      </c>
      <c r="I48" s="310">
        <f>'d3'!I48-d3П!I47</f>
        <v>0</v>
      </c>
      <c r="J48" s="310">
        <f>'d3'!J48-d3П!J47</f>
        <v>41051484.150000006</v>
      </c>
      <c r="K48" s="310">
        <f>'d3'!K48-d3П!K47</f>
        <v>41051484.150000006</v>
      </c>
      <c r="L48" s="310">
        <f>'d3'!L48-d3П!L47</f>
        <v>0</v>
      </c>
      <c r="M48" s="310">
        <f>'d3'!M48-d3П!M47</f>
        <v>0</v>
      </c>
      <c r="N48" s="310">
        <f>'d3'!N48-d3П!N47</f>
        <v>0</v>
      </c>
      <c r="O48" s="310">
        <f>'d3'!O48-d3П!O47</f>
        <v>41051484.150000006</v>
      </c>
      <c r="P48" s="310">
        <f>'d3'!P48-d3П!P47</f>
        <v>54538684.150000006</v>
      </c>
      <c r="Q48" s="20"/>
      <c r="R48" s="26"/>
    </row>
    <row r="49" spans="1:20" ht="120" customHeight="1" thickTop="1" thickBot="1" x14ac:dyDescent="0.25">
      <c r="A49" s="624" t="s">
        <v>151</v>
      </c>
      <c r="B49" s="624"/>
      <c r="C49" s="624"/>
      <c r="D49" s="625" t="s">
        <v>0</v>
      </c>
      <c r="E49" s="626">
        <f>E50</f>
        <v>257882434.2099998</v>
      </c>
      <c r="F49" s="627">
        <f t="shared" ref="F49" si="2">F50</f>
        <v>257882434.2099998</v>
      </c>
      <c r="G49" s="627">
        <f>G50</f>
        <v>224369958</v>
      </c>
      <c r="H49" s="627">
        <f>H50</f>
        <v>4180000</v>
      </c>
      <c r="I49" s="627">
        <f t="shared" ref="I49" si="3">I50</f>
        <v>0</v>
      </c>
      <c r="J49" s="626">
        <f>J50</f>
        <v>13188438.179999992</v>
      </c>
      <c r="K49" s="627">
        <f>K50</f>
        <v>13188438.179999992</v>
      </c>
      <c r="L49" s="627">
        <f>L50</f>
        <v>0</v>
      </c>
      <c r="M49" s="627">
        <f t="shared" ref="M49" si="4">M50</f>
        <v>0</v>
      </c>
      <c r="N49" s="627">
        <f>N50</f>
        <v>200000</v>
      </c>
      <c r="O49" s="626">
        <f>O50</f>
        <v>13188438.179999992</v>
      </c>
      <c r="P49" s="627">
        <f t="shared" ref="P49" si="5">P50</f>
        <v>271070872.38999981</v>
      </c>
      <c r="Q49" s="20"/>
    </row>
    <row r="50" spans="1:20" ht="120" customHeight="1" thickTop="1" thickBot="1" x14ac:dyDescent="0.25">
      <c r="A50" s="588" t="s">
        <v>152</v>
      </c>
      <c r="B50" s="588"/>
      <c r="C50" s="588"/>
      <c r="D50" s="589" t="s">
        <v>1</v>
      </c>
      <c r="E50" s="590">
        <f>E51+E98+E111+E101+E106</f>
        <v>257882434.2099998</v>
      </c>
      <c r="F50" s="590">
        <f>F51+F98+F111+F101+F106</f>
        <v>257882434.2099998</v>
      </c>
      <c r="G50" s="590">
        <f>G51+G98+G111+G101+G106</f>
        <v>224369958</v>
      </c>
      <c r="H50" s="590">
        <f>H51+H98+H111+H101+H106</f>
        <v>4180000</v>
      </c>
      <c r="I50" s="590">
        <f>I51+I98+I111+I101+I106</f>
        <v>0</v>
      </c>
      <c r="J50" s="590">
        <f>L50+O50</f>
        <v>13188438.179999992</v>
      </c>
      <c r="K50" s="590">
        <f>K51+K98+K111+K101+K106</f>
        <v>13188438.179999992</v>
      </c>
      <c r="L50" s="590">
        <f>L51+L98+L111+L101+L106</f>
        <v>0</v>
      </c>
      <c r="M50" s="590">
        <f>M51+M98+M111+M101+M106</f>
        <v>0</v>
      </c>
      <c r="N50" s="590">
        <f>N51+N98+N111+N101+N106</f>
        <v>200000</v>
      </c>
      <c r="O50" s="590">
        <f>O51+O98+O111+O101+O106</f>
        <v>13188438.179999992</v>
      </c>
      <c r="P50" s="590">
        <f>E50+J50</f>
        <v>271070872.38999981</v>
      </c>
      <c r="Q50" s="474" t="b">
        <f>P50=P52+P54+P55+P56+P58+P59+P62+P64+P65+P67+P68+P70+P72+P84+P94+P99+P105+P71+P76+P77+P78+P96+P97+P92+P93+P103+P89+P90+P108</f>
        <v>1</v>
      </c>
      <c r="R50" s="26"/>
    </row>
    <row r="51" spans="1:20" ht="47.25" thickTop="1" thickBot="1" x14ac:dyDescent="0.25">
      <c r="A51" s="298" t="s">
        <v>694</v>
      </c>
      <c r="B51" s="298" t="s">
        <v>695</v>
      </c>
      <c r="C51" s="298"/>
      <c r="D51" s="298" t="s">
        <v>696</v>
      </c>
      <c r="E51" s="310">
        <f>'d3'!E51-d3П!E50</f>
        <v>256602434.2099998</v>
      </c>
      <c r="F51" s="310">
        <f>'d3'!F51-d3П!F50</f>
        <v>256602434.2099998</v>
      </c>
      <c r="G51" s="310">
        <f>'d3'!G51-d3П!G50</f>
        <v>224369958</v>
      </c>
      <c r="H51" s="310">
        <f>'d3'!H51-d3П!H50</f>
        <v>4180000</v>
      </c>
      <c r="I51" s="310">
        <f>'d3'!I51-d3П!I50</f>
        <v>0</v>
      </c>
      <c r="J51" s="310">
        <f>'d3'!J51-d3П!J50</f>
        <v>11666516.459999979</v>
      </c>
      <c r="K51" s="310">
        <f>'d3'!K51-d3П!K50</f>
        <v>11666516.459999993</v>
      </c>
      <c r="L51" s="310">
        <f>'d3'!L51-d3П!L50</f>
        <v>0</v>
      </c>
      <c r="M51" s="310">
        <f>'d3'!M51-d3П!M50</f>
        <v>0</v>
      </c>
      <c r="N51" s="310">
        <f>'d3'!N51-d3П!N50</f>
        <v>200000</v>
      </c>
      <c r="O51" s="310">
        <f>'d3'!O51-d3П!O50</f>
        <v>11666516.459999993</v>
      </c>
      <c r="P51" s="310">
        <f>'d3'!P51-d3П!P50</f>
        <v>268268950.67000008</v>
      </c>
      <c r="Q51" s="30"/>
      <c r="R51" s="26"/>
    </row>
    <row r="52" spans="1:20" ht="72.75" customHeight="1" thickTop="1" thickBot="1" x14ac:dyDescent="0.6">
      <c r="A52" s="101" t="s">
        <v>197</v>
      </c>
      <c r="B52" s="101" t="s">
        <v>198</v>
      </c>
      <c r="C52" s="101" t="s">
        <v>200</v>
      </c>
      <c r="D52" s="101" t="s">
        <v>201</v>
      </c>
      <c r="E52" s="310">
        <f>'d3'!E52-d3П!E51</f>
        <v>20196697.169999957</v>
      </c>
      <c r="F52" s="310">
        <f>'d3'!F52-d3П!F51</f>
        <v>20196697.169999957</v>
      </c>
      <c r="G52" s="310">
        <f>'d3'!G52-d3П!G51</f>
        <v>14900700</v>
      </c>
      <c r="H52" s="310">
        <f>'d3'!H52-d3П!H51</f>
        <v>0</v>
      </c>
      <c r="I52" s="310">
        <f>'d3'!I52-d3П!I51</f>
        <v>0</v>
      </c>
      <c r="J52" s="310">
        <f>'d3'!J52-d3П!J51</f>
        <v>2109964</v>
      </c>
      <c r="K52" s="310">
        <f>'d3'!K52-d3П!K51</f>
        <v>2109964</v>
      </c>
      <c r="L52" s="310">
        <f>'d3'!L52-d3П!L51</f>
        <v>0</v>
      </c>
      <c r="M52" s="310">
        <f>'d3'!M52-d3П!M51</f>
        <v>0</v>
      </c>
      <c r="N52" s="310">
        <f>'d3'!N52-d3П!N51</f>
        <v>0</v>
      </c>
      <c r="O52" s="310">
        <f>'d3'!O52-d3П!O51</f>
        <v>2109964</v>
      </c>
      <c r="P52" s="310">
        <f>'d3'!P52-d3П!P51</f>
        <v>22306661.169999957</v>
      </c>
      <c r="Q52" s="141"/>
      <c r="R52" s="26"/>
    </row>
    <row r="53" spans="1:20" ht="69.75" customHeight="1" thickTop="1" thickBot="1" x14ac:dyDescent="0.6">
      <c r="A53" s="598" t="s">
        <v>202</v>
      </c>
      <c r="B53" s="598" t="s">
        <v>199</v>
      </c>
      <c r="C53" s="598"/>
      <c r="D53" s="598" t="s">
        <v>634</v>
      </c>
      <c r="E53" s="310">
        <f>'d3'!E53-d3П!E52</f>
        <v>-29912326.599999964</v>
      </c>
      <c r="F53" s="310">
        <f>'d3'!F53-d3П!F52</f>
        <v>-29912326.599999964</v>
      </c>
      <c r="G53" s="310">
        <f>'d3'!G53-d3П!G52</f>
        <v>-7050000</v>
      </c>
      <c r="H53" s="310">
        <f>'d3'!H53-d3П!H52</f>
        <v>4180000</v>
      </c>
      <c r="I53" s="310">
        <f>'d3'!I53-d3П!I52</f>
        <v>0</v>
      </c>
      <c r="J53" s="310">
        <f>'d3'!J53-d3П!J52</f>
        <v>3456377.6999999881</v>
      </c>
      <c r="K53" s="310">
        <f>'d3'!K53-d3П!K52</f>
        <v>3456377.7</v>
      </c>
      <c r="L53" s="310">
        <f>'d3'!L53-d3П!L52</f>
        <v>0</v>
      </c>
      <c r="M53" s="310">
        <f>'d3'!M53-d3П!M52</f>
        <v>0</v>
      </c>
      <c r="N53" s="310">
        <f>'d3'!N53-d3П!N52</f>
        <v>200000</v>
      </c>
      <c r="O53" s="310">
        <f>'d3'!O53-d3П!O52</f>
        <v>3456377.6999999993</v>
      </c>
      <c r="P53" s="310">
        <f>'d3'!P53-d3П!P52</f>
        <v>-26455948.899999976</v>
      </c>
      <c r="Q53" s="141"/>
      <c r="R53" s="37"/>
    </row>
    <row r="54" spans="1:20" ht="127.5" customHeight="1" thickTop="1" thickBot="1" x14ac:dyDescent="0.6">
      <c r="A54" s="101" t="s">
        <v>632</v>
      </c>
      <c r="B54" s="101" t="s">
        <v>633</v>
      </c>
      <c r="C54" s="101" t="s">
        <v>203</v>
      </c>
      <c r="D54" s="101" t="s">
        <v>1232</v>
      </c>
      <c r="E54" s="310">
        <f>'d3'!E54-d3П!E53</f>
        <v>-27592201.709999979</v>
      </c>
      <c r="F54" s="310">
        <f>'d3'!F54-d3П!F53</f>
        <v>-27592201.709999979</v>
      </c>
      <c r="G54" s="310">
        <f>'d3'!G54-d3П!G53</f>
        <v>-7400000</v>
      </c>
      <c r="H54" s="310">
        <f>'d3'!H54-d3П!H53</f>
        <v>4000000</v>
      </c>
      <c r="I54" s="310">
        <f>'d3'!I54-d3П!I53</f>
        <v>0</v>
      </c>
      <c r="J54" s="310">
        <f>'d3'!J54-d3П!J53</f>
        <v>3456377.6999999881</v>
      </c>
      <c r="K54" s="310">
        <f>'d3'!K54-d3П!K53</f>
        <v>3456377.7</v>
      </c>
      <c r="L54" s="310">
        <f>'d3'!L54-d3П!L53</f>
        <v>0</v>
      </c>
      <c r="M54" s="310">
        <f>'d3'!M54-d3П!M53</f>
        <v>0</v>
      </c>
      <c r="N54" s="310">
        <f>'d3'!N54-d3П!N53</f>
        <v>200000</v>
      </c>
      <c r="O54" s="310">
        <f>'d3'!O54-d3П!O53</f>
        <v>3456377.6999999993</v>
      </c>
      <c r="P54" s="310">
        <f>'d3'!P54-d3П!P53</f>
        <v>-24135824.00999999</v>
      </c>
      <c r="Q54" s="141"/>
      <c r="R54" s="26"/>
      <c r="T54" s="38"/>
    </row>
    <row r="55" spans="1:20" ht="213" customHeight="1" thickTop="1" thickBot="1" x14ac:dyDescent="0.25">
      <c r="A55" s="101" t="s">
        <v>640</v>
      </c>
      <c r="B55" s="101" t="s">
        <v>641</v>
      </c>
      <c r="C55" s="101" t="s">
        <v>206</v>
      </c>
      <c r="D55" s="101" t="s">
        <v>1584</v>
      </c>
      <c r="E55" s="310">
        <f>'d3'!E55-d3П!E54</f>
        <v>199875.1099999994</v>
      </c>
      <c r="F55" s="310">
        <f>'d3'!F55-d3П!F54</f>
        <v>199875.1099999994</v>
      </c>
      <c r="G55" s="310">
        <f>'d3'!G55-d3П!G54</f>
        <v>350000</v>
      </c>
      <c r="H55" s="310">
        <f>'d3'!H55-d3П!H54</f>
        <v>0</v>
      </c>
      <c r="I55" s="310">
        <f>'d3'!I55-d3П!I54</f>
        <v>0</v>
      </c>
      <c r="J55" s="310">
        <f>'d3'!J55-d3П!J54</f>
        <v>0</v>
      </c>
      <c r="K55" s="310">
        <f>'d3'!K55-d3П!K54</f>
        <v>0</v>
      </c>
      <c r="L55" s="310">
        <f>'d3'!L55-d3П!L54</f>
        <v>0</v>
      </c>
      <c r="M55" s="310">
        <f>'d3'!M55-d3П!M54</f>
        <v>0</v>
      </c>
      <c r="N55" s="310">
        <f>'d3'!N55-d3П!N54</f>
        <v>0</v>
      </c>
      <c r="O55" s="310">
        <f>'d3'!O55-d3П!O54</f>
        <v>0</v>
      </c>
      <c r="P55" s="310">
        <f>'d3'!P55-d3П!P54</f>
        <v>199875.1099999994</v>
      </c>
      <c r="Q55" s="20"/>
      <c r="R55" s="27"/>
    </row>
    <row r="56" spans="1:20" ht="117.75" customHeight="1" thickTop="1" thickBot="1" x14ac:dyDescent="0.25">
      <c r="A56" s="101" t="s">
        <v>974</v>
      </c>
      <c r="B56" s="101" t="s">
        <v>975</v>
      </c>
      <c r="C56" s="101" t="s">
        <v>206</v>
      </c>
      <c r="D56" s="101" t="s">
        <v>1233</v>
      </c>
      <c r="E56" s="310">
        <f>'d3'!E56-d3П!E55</f>
        <v>-2520000</v>
      </c>
      <c r="F56" s="310">
        <f>'d3'!F56-d3П!F55</f>
        <v>-2520000</v>
      </c>
      <c r="G56" s="310">
        <f>'d3'!G56-d3П!G55</f>
        <v>0</v>
      </c>
      <c r="H56" s="310">
        <f>'d3'!H56-d3П!H55</f>
        <v>180000</v>
      </c>
      <c r="I56" s="310">
        <f>'d3'!I56-d3П!I55</f>
        <v>0</v>
      </c>
      <c r="J56" s="310">
        <f>'d3'!J56-d3П!J55</f>
        <v>0</v>
      </c>
      <c r="K56" s="310">
        <f>'d3'!K56-d3П!K55</f>
        <v>0</v>
      </c>
      <c r="L56" s="310">
        <f>'d3'!L56-d3П!L55</f>
        <v>0</v>
      </c>
      <c r="M56" s="310">
        <f>'d3'!M56-d3П!M55</f>
        <v>0</v>
      </c>
      <c r="N56" s="310">
        <f>'d3'!N56-d3П!N55</f>
        <v>0</v>
      </c>
      <c r="O56" s="310">
        <f>'d3'!O56-d3П!O55</f>
        <v>0</v>
      </c>
      <c r="P56" s="310">
        <f>'d3'!P56-d3П!P55</f>
        <v>-2520000</v>
      </c>
      <c r="Q56" s="20"/>
      <c r="R56" s="27"/>
    </row>
    <row r="57" spans="1:20" ht="47.25" thickTop="1" thickBot="1" x14ac:dyDescent="0.25">
      <c r="A57" s="598" t="s">
        <v>493</v>
      </c>
      <c r="B57" s="598" t="s">
        <v>204</v>
      </c>
      <c r="C57" s="598"/>
      <c r="D57" s="598" t="s">
        <v>646</v>
      </c>
      <c r="E57" s="310">
        <f>'d3'!E57-d3П!E56</f>
        <v>255411092</v>
      </c>
      <c r="F57" s="310">
        <f>'d3'!F57-d3П!F56</f>
        <v>255411092</v>
      </c>
      <c r="G57" s="310">
        <f>'d3'!G57-d3П!G56</f>
        <v>207260000</v>
      </c>
      <c r="H57" s="310">
        <f>'d3'!H57-d3П!H56</f>
        <v>0</v>
      </c>
      <c r="I57" s="310">
        <f>'d3'!I57-d3П!I56</f>
        <v>0</v>
      </c>
      <c r="J57" s="310">
        <f>'d3'!J57-d3П!J56</f>
        <v>0</v>
      </c>
      <c r="K57" s="310">
        <f>'d3'!K57-d3П!K56</f>
        <v>0</v>
      </c>
      <c r="L57" s="310">
        <f>'d3'!L57-d3П!L56</f>
        <v>0</v>
      </c>
      <c r="M57" s="310">
        <f>'d3'!M57-d3П!M56</f>
        <v>0</v>
      </c>
      <c r="N57" s="310">
        <f>'d3'!N57-d3П!N56</f>
        <v>0</v>
      </c>
      <c r="O57" s="310">
        <f>'d3'!O57-d3П!O56</f>
        <v>0</v>
      </c>
      <c r="P57" s="310">
        <f>'d3'!P57-d3П!P56</f>
        <v>255411092</v>
      </c>
      <c r="Q57" s="21"/>
      <c r="R57" s="37"/>
    </row>
    <row r="58" spans="1:20" ht="93" thickTop="1" thickBot="1" x14ac:dyDescent="0.25">
      <c r="A58" s="101" t="s">
        <v>647</v>
      </c>
      <c r="B58" s="101" t="s">
        <v>648</v>
      </c>
      <c r="C58" s="101" t="s">
        <v>203</v>
      </c>
      <c r="D58" s="101" t="s">
        <v>1234</v>
      </c>
      <c r="E58" s="310">
        <f>'d3'!E58-d3П!E57</f>
        <v>252416892</v>
      </c>
      <c r="F58" s="310">
        <f>'d3'!F58-d3П!F57</f>
        <v>252416892</v>
      </c>
      <c r="G58" s="310">
        <f>'d3'!G58-d3П!G57</f>
        <v>204672000</v>
      </c>
      <c r="H58" s="310">
        <f>'d3'!H58-d3П!H57</f>
        <v>0</v>
      </c>
      <c r="I58" s="310">
        <f>'d3'!I58-d3П!I57</f>
        <v>0</v>
      </c>
      <c r="J58" s="310">
        <f>'d3'!J58-d3П!J57</f>
        <v>0</v>
      </c>
      <c r="K58" s="310">
        <f>'d3'!K58-d3П!K57</f>
        <v>0</v>
      </c>
      <c r="L58" s="310">
        <f>'d3'!L58-d3П!L57</f>
        <v>0</v>
      </c>
      <c r="M58" s="310">
        <f>'d3'!M58-d3П!M57</f>
        <v>0</v>
      </c>
      <c r="N58" s="310">
        <f>'d3'!N58-d3П!N57</f>
        <v>0</v>
      </c>
      <c r="O58" s="310">
        <f>'d3'!O58-d3П!O57</f>
        <v>0</v>
      </c>
      <c r="P58" s="310">
        <f>'d3'!P58-d3П!P57</f>
        <v>252416892</v>
      </c>
      <c r="Q58" s="21"/>
      <c r="R58" s="26"/>
    </row>
    <row r="59" spans="1:20" ht="93" thickTop="1" thickBot="1" x14ac:dyDescent="0.25">
      <c r="A59" s="101" t="s">
        <v>1092</v>
      </c>
      <c r="B59" s="318" t="s">
        <v>1093</v>
      </c>
      <c r="C59" s="101" t="s">
        <v>206</v>
      </c>
      <c r="D59" s="101" t="s">
        <v>1235</v>
      </c>
      <c r="E59" s="310">
        <f>'d3'!E59-d3П!E58</f>
        <v>2994200</v>
      </c>
      <c r="F59" s="310">
        <f>'d3'!F59-d3П!F58</f>
        <v>2994200</v>
      </c>
      <c r="G59" s="310">
        <f>'d3'!G59-d3П!G58</f>
        <v>2588000</v>
      </c>
      <c r="H59" s="310">
        <f>'d3'!H59-d3П!H58</f>
        <v>0</v>
      </c>
      <c r="I59" s="310">
        <f>'d3'!I59-d3П!I58</f>
        <v>0</v>
      </c>
      <c r="J59" s="310">
        <f>'d3'!J59-d3П!J58</f>
        <v>0</v>
      </c>
      <c r="K59" s="310">
        <f>'d3'!K59-d3П!K58</f>
        <v>0</v>
      </c>
      <c r="L59" s="310">
        <f>'d3'!L59-d3П!L58</f>
        <v>0</v>
      </c>
      <c r="M59" s="310">
        <f>'d3'!M59-d3П!M58</f>
        <v>0</v>
      </c>
      <c r="N59" s="310">
        <f>'d3'!N59-d3П!N58</f>
        <v>0</v>
      </c>
      <c r="O59" s="310">
        <f>'d3'!O59-d3П!O58</f>
        <v>0</v>
      </c>
      <c r="P59" s="310">
        <f>'d3'!P59-d3П!P58</f>
        <v>2994200</v>
      </c>
      <c r="Q59" s="21"/>
      <c r="R59" s="26"/>
    </row>
    <row r="60" spans="1:20" ht="184.5" hidden="1" thickTop="1" thickBot="1" x14ac:dyDescent="0.25">
      <c r="A60" s="555" t="s">
        <v>910</v>
      </c>
      <c r="B60" s="555" t="s">
        <v>50</v>
      </c>
      <c r="C60" s="555"/>
      <c r="D60" s="628" t="s">
        <v>1585</v>
      </c>
      <c r="E60" s="310">
        <f>'d3'!E60-d3П!E59</f>
        <v>0</v>
      </c>
      <c r="F60" s="310">
        <f>'d3'!F60-d3П!F59</f>
        <v>0</v>
      </c>
      <c r="G60" s="310">
        <f>'d3'!G60-d3П!G59</f>
        <v>0</v>
      </c>
      <c r="H60" s="310">
        <f>'d3'!H60-d3П!H59</f>
        <v>0</v>
      </c>
      <c r="I60" s="310">
        <f>'d3'!I60-d3П!I59</f>
        <v>0</v>
      </c>
      <c r="J60" s="310">
        <f>'d3'!J60-d3П!J59</f>
        <v>0</v>
      </c>
      <c r="K60" s="310">
        <f>'d3'!K60-d3П!K59</f>
        <v>0</v>
      </c>
      <c r="L60" s="310">
        <f>'d3'!L60-d3П!L59</f>
        <v>0</v>
      </c>
      <c r="M60" s="310">
        <f>'d3'!M60-d3П!M59</f>
        <v>0</v>
      </c>
      <c r="N60" s="310">
        <f>'d3'!N60-d3П!N59</f>
        <v>0</v>
      </c>
      <c r="O60" s="310">
        <f>'d3'!O60-d3П!O59</f>
        <v>0</v>
      </c>
      <c r="P60" s="310">
        <f>'d3'!P60-d3П!P59</f>
        <v>0</v>
      </c>
      <c r="Q60" s="20"/>
      <c r="R60" s="30"/>
    </row>
    <row r="61" spans="1:20" ht="230.25" hidden="1" thickTop="1" thickBot="1" x14ac:dyDescent="0.25">
      <c r="A61" s="126" t="s">
        <v>911</v>
      </c>
      <c r="B61" s="126" t="s">
        <v>912</v>
      </c>
      <c r="C61" s="126" t="s">
        <v>203</v>
      </c>
      <c r="D61" s="101" t="s">
        <v>1586</v>
      </c>
      <c r="E61" s="310">
        <f>'d3'!E61-d3П!E60</f>
        <v>0</v>
      </c>
      <c r="F61" s="310">
        <f>'d3'!F61-d3П!F60</f>
        <v>0</v>
      </c>
      <c r="G61" s="310">
        <f>'d3'!G61-d3П!G60</f>
        <v>0</v>
      </c>
      <c r="H61" s="310">
        <f>'d3'!H61-d3П!H60</f>
        <v>0</v>
      </c>
      <c r="I61" s="310">
        <f>'d3'!I61-d3П!I60</f>
        <v>0</v>
      </c>
      <c r="J61" s="310">
        <f>'d3'!J61-d3П!J60</f>
        <v>0</v>
      </c>
      <c r="K61" s="310">
        <f>'d3'!K61-d3П!K60</f>
        <v>0</v>
      </c>
      <c r="L61" s="310">
        <f>'d3'!L61-d3П!L60</f>
        <v>0</v>
      </c>
      <c r="M61" s="310">
        <f>'d3'!M61-d3П!M60</f>
        <v>0</v>
      </c>
      <c r="N61" s="310">
        <f>'d3'!N61-d3П!N60</f>
        <v>0</v>
      </c>
      <c r="O61" s="310">
        <f>'d3'!O61-d3П!O60</f>
        <v>0</v>
      </c>
      <c r="P61" s="310">
        <f>'d3'!P61-d3П!P60</f>
        <v>0</v>
      </c>
      <c r="Q61" s="20"/>
      <c r="R61" s="26"/>
    </row>
    <row r="62" spans="1:20" ht="93" thickTop="1" thickBot="1" x14ac:dyDescent="0.25">
      <c r="A62" s="101" t="s">
        <v>649</v>
      </c>
      <c r="B62" s="101" t="s">
        <v>205</v>
      </c>
      <c r="C62" s="101" t="s">
        <v>180</v>
      </c>
      <c r="D62" s="101" t="s">
        <v>494</v>
      </c>
      <c r="E62" s="310">
        <f>'d3'!E62-d3П!E61</f>
        <v>-2000000</v>
      </c>
      <c r="F62" s="310">
        <f>'d3'!F62-d3П!F61</f>
        <v>-2000000</v>
      </c>
      <c r="G62" s="310">
        <f>'d3'!G62-d3П!G61</f>
        <v>-1639300</v>
      </c>
      <c r="H62" s="310">
        <f>'d3'!H62-d3П!H61</f>
        <v>0</v>
      </c>
      <c r="I62" s="310">
        <f>'d3'!I62-d3П!I61</f>
        <v>0</v>
      </c>
      <c r="J62" s="310">
        <f>'d3'!J62-d3П!J61</f>
        <v>0</v>
      </c>
      <c r="K62" s="310">
        <f>'d3'!K62-d3П!K61</f>
        <v>0</v>
      </c>
      <c r="L62" s="310">
        <f>'d3'!L62-d3П!L61</f>
        <v>0</v>
      </c>
      <c r="M62" s="310">
        <f>'d3'!M62-d3П!M61</f>
        <v>0</v>
      </c>
      <c r="N62" s="310">
        <f>'d3'!N62-d3П!N61</f>
        <v>0</v>
      </c>
      <c r="O62" s="310">
        <f>'d3'!O62-d3П!O61</f>
        <v>0</v>
      </c>
      <c r="P62" s="310">
        <f>'d3'!P62-d3П!P61</f>
        <v>-2000000</v>
      </c>
      <c r="Q62" s="20"/>
      <c r="R62" s="26"/>
    </row>
    <row r="63" spans="1:20" ht="93" thickTop="1" thickBot="1" x14ac:dyDescent="0.25">
      <c r="A63" s="598" t="s">
        <v>207</v>
      </c>
      <c r="B63" s="598" t="s">
        <v>190</v>
      </c>
      <c r="C63" s="598"/>
      <c r="D63" s="598" t="s">
        <v>495</v>
      </c>
      <c r="E63" s="310">
        <f>'d3'!E63-d3П!E62</f>
        <v>8524400</v>
      </c>
      <c r="F63" s="310">
        <f>'d3'!F63-d3П!F62</f>
        <v>8524400</v>
      </c>
      <c r="G63" s="310">
        <f>'d3'!G63-d3П!G62</f>
        <v>7410628</v>
      </c>
      <c r="H63" s="310">
        <f>'d3'!H63-d3П!H62</f>
        <v>0</v>
      </c>
      <c r="I63" s="310">
        <f>'d3'!I63-d3П!I62</f>
        <v>0</v>
      </c>
      <c r="J63" s="310">
        <f>'d3'!J63-d3П!J62</f>
        <v>1159707</v>
      </c>
      <c r="K63" s="310">
        <f>'d3'!K63-d3П!K62</f>
        <v>1159707</v>
      </c>
      <c r="L63" s="310">
        <f>'d3'!L63-d3П!L62</f>
        <v>0</v>
      </c>
      <c r="M63" s="310">
        <f>'d3'!M63-d3П!M62</f>
        <v>0</v>
      </c>
      <c r="N63" s="310">
        <f>'d3'!N63-d3П!N62</f>
        <v>0</v>
      </c>
      <c r="O63" s="310">
        <f>'d3'!O63-d3П!O62</f>
        <v>1159707</v>
      </c>
      <c r="P63" s="310">
        <f>'d3'!P63-d3П!P62</f>
        <v>9684107</v>
      </c>
      <c r="Q63" s="20"/>
      <c r="R63" s="35"/>
    </row>
    <row r="64" spans="1:20" ht="93" thickTop="1" thickBot="1" x14ac:dyDescent="0.25">
      <c r="A64" s="101" t="s">
        <v>650</v>
      </c>
      <c r="B64" s="101" t="s">
        <v>651</v>
      </c>
      <c r="C64" s="101" t="s">
        <v>208</v>
      </c>
      <c r="D64" s="101" t="s">
        <v>652</v>
      </c>
      <c r="E64" s="310">
        <f>'d3'!E64-d3П!E63</f>
        <v>684400</v>
      </c>
      <c r="F64" s="310">
        <f>'d3'!F64-d3П!F63</f>
        <v>684400</v>
      </c>
      <c r="G64" s="310">
        <f>'d3'!G64-d3П!G63</f>
        <v>984400</v>
      </c>
      <c r="H64" s="310">
        <f>'d3'!H64-d3П!H63</f>
        <v>0</v>
      </c>
      <c r="I64" s="310">
        <f>'d3'!I64-d3П!I63</f>
        <v>0</v>
      </c>
      <c r="J64" s="310">
        <f>'d3'!J64-d3П!J63</f>
        <v>1159707</v>
      </c>
      <c r="K64" s="310">
        <f>'d3'!K64-d3П!K63</f>
        <v>1159707</v>
      </c>
      <c r="L64" s="310">
        <f>'d3'!L64-d3П!L63</f>
        <v>0</v>
      </c>
      <c r="M64" s="310">
        <f>'d3'!M64-d3П!M63</f>
        <v>0</v>
      </c>
      <c r="N64" s="310">
        <f>'d3'!N64-d3П!N63</f>
        <v>0</v>
      </c>
      <c r="O64" s="310">
        <f>'d3'!O64-d3П!O63</f>
        <v>1159707</v>
      </c>
      <c r="P64" s="310">
        <f>'d3'!P64-d3П!P63</f>
        <v>1844107</v>
      </c>
      <c r="Q64" s="20"/>
      <c r="R64" s="26"/>
    </row>
    <row r="65" spans="1:18" ht="93" thickTop="1" thickBot="1" x14ac:dyDescent="0.25">
      <c r="A65" s="101" t="s">
        <v>654</v>
      </c>
      <c r="B65" s="101" t="s">
        <v>653</v>
      </c>
      <c r="C65" s="101" t="s">
        <v>208</v>
      </c>
      <c r="D65" s="101" t="s">
        <v>655</v>
      </c>
      <c r="E65" s="310">
        <f>'d3'!E65-d3П!E64</f>
        <v>7840000</v>
      </c>
      <c r="F65" s="310">
        <f>'d3'!F65-d3П!F64</f>
        <v>7840000</v>
      </c>
      <c r="G65" s="310">
        <f>'d3'!G65-d3П!G64</f>
        <v>6426228</v>
      </c>
      <c r="H65" s="310">
        <f>'d3'!H65-d3П!H64</f>
        <v>0</v>
      </c>
      <c r="I65" s="310">
        <f>'d3'!I65-d3П!I64</f>
        <v>0</v>
      </c>
      <c r="J65" s="310">
        <f>'d3'!J65-d3П!J64</f>
        <v>0</v>
      </c>
      <c r="K65" s="310">
        <f>'d3'!K65-d3П!K64</f>
        <v>0</v>
      </c>
      <c r="L65" s="310">
        <f>'d3'!L65-d3П!L64</f>
        <v>0</v>
      </c>
      <c r="M65" s="310">
        <f>'d3'!M65-d3П!M64</f>
        <v>0</v>
      </c>
      <c r="N65" s="310">
        <f>'d3'!N65-d3П!N64</f>
        <v>0</v>
      </c>
      <c r="O65" s="310">
        <f>'d3'!O65-d3П!O64</f>
        <v>0</v>
      </c>
      <c r="P65" s="310">
        <f>'d3'!P65-d3П!P64</f>
        <v>7840000</v>
      </c>
      <c r="Q65" s="20"/>
      <c r="R65" s="30"/>
    </row>
    <row r="66" spans="1:18" ht="69.75" customHeight="1" thickTop="1" thickBot="1" x14ac:dyDescent="0.25">
      <c r="A66" s="598" t="s">
        <v>657</v>
      </c>
      <c r="B66" s="598" t="s">
        <v>656</v>
      </c>
      <c r="C66" s="598"/>
      <c r="D66" s="598" t="s">
        <v>658</v>
      </c>
      <c r="E66" s="310">
        <f>'d3'!E66-d3П!E65</f>
        <v>1002515.6400000006</v>
      </c>
      <c r="F66" s="310">
        <f>'d3'!F66-d3П!F65</f>
        <v>1002515.6400000006</v>
      </c>
      <c r="G66" s="310">
        <f>'d3'!G66-d3П!G65</f>
        <v>712000</v>
      </c>
      <c r="H66" s="310">
        <f>'d3'!H66-d3П!H65</f>
        <v>0</v>
      </c>
      <c r="I66" s="310">
        <f>'d3'!I66-d3П!I65</f>
        <v>0</v>
      </c>
      <c r="J66" s="310">
        <f>'d3'!J66-d3П!J65</f>
        <v>0</v>
      </c>
      <c r="K66" s="310">
        <f>'d3'!K66-d3П!K65</f>
        <v>0</v>
      </c>
      <c r="L66" s="310">
        <f>'d3'!L66-d3П!L65</f>
        <v>0</v>
      </c>
      <c r="M66" s="310">
        <f>'d3'!M66-d3П!M65</f>
        <v>0</v>
      </c>
      <c r="N66" s="310">
        <f>'d3'!N66-d3П!N65</f>
        <v>0</v>
      </c>
      <c r="O66" s="310">
        <f>'d3'!O66-d3П!O65</f>
        <v>0</v>
      </c>
      <c r="P66" s="310">
        <f>'d3'!P66-d3П!P65</f>
        <v>1002515.6400000006</v>
      </c>
      <c r="Q66" s="20"/>
      <c r="R66" s="35"/>
    </row>
    <row r="67" spans="1:18" ht="69.75" customHeight="1" thickTop="1" thickBot="1" x14ac:dyDescent="0.25">
      <c r="A67" s="101" t="s">
        <v>659</v>
      </c>
      <c r="B67" s="101" t="s">
        <v>660</v>
      </c>
      <c r="C67" s="101" t="s">
        <v>209</v>
      </c>
      <c r="D67" s="101" t="s">
        <v>496</v>
      </c>
      <c r="E67" s="310">
        <f>'d3'!E67-d3П!E66</f>
        <v>1002515.6400000006</v>
      </c>
      <c r="F67" s="310">
        <f>'d3'!F67-d3П!F66</f>
        <v>1002515.6400000006</v>
      </c>
      <c r="G67" s="310">
        <f>'d3'!G67-d3П!G66</f>
        <v>712000</v>
      </c>
      <c r="H67" s="310">
        <f>'d3'!H67-d3П!H66</f>
        <v>0</v>
      </c>
      <c r="I67" s="310">
        <f>'d3'!I67-d3П!I66</f>
        <v>0</v>
      </c>
      <c r="J67" s="310">
        <f>'d3'!J67-d3П!J66</f>
        <v>0</v>
      </c>
      <c r="K67" s="310">
        <f>'d3'!K67-d3П!K66</f>
        <v>0</v>
      </c>
      <c r="L67" s="310">
        <f>'d3'!L67-d3П!L66</f>
        <v>0</v>
      </c>
      <c r="M67" s="310">
        <f>'d3'!M67-d3П!M66</f>
        <v>0</v>
      </c>
      <c r="N67" s="310">
        <f>'d3'!N67-d3П!N66</f>
        <v>0</v>
      </c>
      <c r="O67" s="310">
        <f>'d3'!O67-d3П!O66</f>
        <v>0</v>
      </c>
      <c r="P67" s="310">
        <f>'d3'!P67-d3П!P66</f>
        <v>1002515.6400000006</v>
      </c>
      <c r="Q67" s="20"/>
      <c r="R67" s="30"/>
    </row>
    <row r="68" spans="1:18" ht="63.75" customHeight="1" thickTop="1" thickBot="1" x14ac:dyDescent="0.25">
      <c r="A68" s="101" t="s">
        <v>661</v>
      </c>
      <c r="B68" s="101" t="s">
        <v>662</v>
      </c>
      <c r="C68" s="101" t="s">
        <v>209</v>
      </c>
      <c r="D68" s="101" t="s">
        <v>334</v>
      </c>
      <c r="E68" s="310">
        <f>'d3'!E68-d3П!E67</f>
        <v>0</v>
      </c>
      <c r="F68" s="310">
        <f>'d3'!F68-d3П!F67</f>
        <v>0</v>
      </c>
      <c r="G68" s="310">
        <f>'d3'!G68-d3П!G67</f>
        <v>0</v>
      </c>
      <c r="H68" s="310">
        <f>'d3'!H68-d3П!H67</f>
        <v>0</v>
      </c>
      <c r="I68" s="310">
        <f>'d3'!I68-d3П!I67</f>
        <v>0</v>
      </c>
      <c r="J68" s="310">
        <f>'d3'!J68-d3П!J67</f>
        <v>0</v>
      </c>
      <c r="K68" s="310">
        <f>'d3'!K68-d3П!K67</f>
        <v>0</v>
      </c>
      <c r="L68" s="310">
        <f>'d3'!L68-d3П!L67</f>
        <v>0</v>
      </c>
      <c r="M68" s="310">
        <f>'d3'!M68-d3П!M67</f>
        <v>0</v>
      </c>
      <c r="N68" s="310">
        <f>'d3'!N68-d3П!N67</f>
        <v>0</v>
      </c>
      <c r="O68" s="310">
        <f>'d3'!O68-d3П!O67</f>
        <v>0</v>
      </c>
      <c r="P68" s="310">
        <f>'d3'!P68-d3П!P67</f>
        <v>0</v>
      </c>
      <c r="Q68" s="20"/>
      <c r="R68" s="30"/>
    </row>
    <row r="69" spans="1:18" ht="66.75" customHeight="1" thickTop="1" thickBot="1" x14ac:dyDescent="0.25">
      <c r="A69" s="598" t="s">
        <v>663</v>
      </c>
      <c r="B69" s="598" t="s">
        <v>664</v>
      </c>
      <c r="C69" s="598"/>
      <c r="D69" s="598" t="s">
        <v>424</v>
      </c>
      <c r="E69" s="310">
        <f>'d3'!E69-d3П!E68</f>
        <v>1740756</v>
      </c>
      <c r="F69" s="310">
        <f>'d3'!F69-d3П!F68</f>
        <v>1740756</v>
      </c>
      <c r="G69" s="310">
        <f>'d3'!G69-d3П!G68</f>
        <v>1432230</v>
      </c>
      <c r="H69" s="310">
        <f>'d3'!H69-d3П!H68</f>
        <v>0</v>
      </c>
      <c r="I69" s="310">
        <f>'d3'!I69-d3П!I68</f>
        <v>0</v>
      </c>
      <c r="J69" s="310">
        <f>'d3'!J69-d3П!J68</f>
        <v>12560</v>
      </c>
      <c r="K69" s="310">
        <f>'d3'!K69-d3П!K68</f>
        <v>12560</v>
      </c>
      <c r="L69" s="310">
        <f>'d3'!L69-d3П!L68</f>
        <v>0</v>
      </c>
      <c r="M69" s="310">
        <f>'d3'!M69-d3П!M68</f>
        <v>0</v>
      </c>
      <c r="N69" s="310">
        <f>'d3'!N69-d3П!N68</f>
        <v>0</v>
      </c>
      <c r="O69" s="310">
        <f>'d3'!O69-d3П!O68</f>
        <v>12560</v>
      </c>
      <c r="P69" s="310">
        <f>'d3'!P69-d3П!P68</f>
        <v>1753316</v>
      </c>
      <c r="Q69" s="20"/>
      <c r="R69" s="35"/>
    </row>
    <row r="70" spans="1:18" ht="117.75" customHeight="1" thickTop="1" thickBot="1" x14ac:dyDescent="0.25">
      <c r="A70" s="101" t="s">
        <v>665</v>
      </c>
      <c r="B70" s="101" t="s">
        <v>666</v>
      </c>
      <c r="C70" s="101" t="s">
        <v>209</v>
      </c>
      <c r="D70" s="101" t="s">
        <v>667</v>
      </c>
      <c r="E70" s="310">
        <f>'d3'!E70-d3П!E69</f>
        <v>63956</v>
      </c>
      <c r="F70" s="310">
        <f>'d3'!F70-d3П!F69</f>
        <v>63956</v>
      </c>
      <c r="G70" s="310">
        <f>'d3'!G70-d3П!G69</f>
        <v>57800</v>
      </c>
      <c r="H70" s="310">
        <f>'d3'!H70-d3П!H69</f>
        <v>0</v>
      </c>
      <c r="I70" s="310">
        <f>'d3'!I70-d3П!I69</f>
        <v>0</v>
      </c>
      <c r="J70" s="310">
        <f>'d3'!J70-d3П!J69</f>
        <v>12560</v>
      </c>
      <c r="K70" s="310">
        <f>'d3'!K70-d3П!K69</f>
        <v>12560</v>
      </c>
      <c r="L70" s="310">
        <f>'d3'!L70-d3П!L69</f>
        <v>0</v>
      </c>
      <c r="M70" s="310">
        <f>'d3'!M70-d3П!M69</f>
        <v>0</v>
      </c>
      <c r="N70" s="310">
        <f>'d3'!N70-d3П!N69</f>
        <v>0</v>
      </c>
      <c r="O70" s="310">
        <f>'d3'!O70-d3П!O69</f>
        <v>12560</v>
      </c>
      <c r="P70" s="310">
        <f>'d3'!P70-d3П!P69</f>
        <v>76516</v>
      </c>
      <c r="Q70" s="20"/>
      <c r="R70" s="26"/>
    </row>
    <row r="71" spans="1:18" ht="93" thickTop="1" thickBot="1" x14ac:dyDescent="0.25">
      <c r="A71" s="101" t="s">
        <v>668</v>
      </c>
      <c r="B71" s="101" t="s">
        <v>669</v>
      </c>
      <c r="C71" s="101" t="s">
        <v>209</v>
      </c>
      <c r="D71" s="101" t="s">
        <v>670</v>
      </c>
      <c r="E71" s="310">
        <f>'d3'!E71-d3П!E70</f>
        <v>1676800</v>
      </c>
      <c r="F71" s="310">
        <f>'d3'!F71-d3П!F70</f>
        <v>1676800</v>
      </c>
      <c r="G71" s="310">
        <f>'d3'!G71-d3П!G70</f>
        <v>1374430</v>
      </c>
      <c r="H71" s="310">
        <f>'d3'!H71-d3П!H70</f>
        <v>0</v>
      </c>
      <c r="I71" s="310">
        <f>'d3'!I71-d3П!I70</f>
        <v>0</v>
      </c>
      <c r="J71" s="310">
        <f>'d3'!J71-d3П!J70</f>
        <v>0</v>
      </c>
      <c r="K71" s="310">
        <f>'d3'!K71-d3П!K70</f>
        <v>0</v>
      </c>
      <c r="L71" s="310">
        <f>'d3'!L71-d3П!L70</f>
        <v>0</v>
      </c>
      <c r="M71" s="310">
        <f>'d3'!M71-d3П!M70</f>
        <v>0</v>
      </c>
      <c r="N71" s="310">
        <f>'d3'!N71-d3П!N70</f>
        <v>0</v>
      </c>
      <c r="O71" s="310">
        <f>'d3'!O71-d3П!O70</f>
        <v>0</v>
      </c>
      <c r="P71" s="310">
        <f>'d3'!P71-d3П!P70</f>
        <v>1676800</v>
      </c>
      <c r="Q71" s="20"/>
      <c r="R71" s="30"/>
    </row>
    <row r="72" spans="1:18" ht="93" thickTop="1" thickBot="1" x14ac:dyDescent="0.25">
      <c r="A72" s="101" t="s">
        <v>637</v>
      </c>
      <c r="B72" s="101" t="s">
        <v>638</v>
      </c>
      <c r="C72" s="101" t="s">
        <v>209</v>
      </c>
      <c r="D72" s="101" t="s">
        <v>639</v>
      </c>
      <c r="E72" s="310">
        <f>'d3'!E72-d3П!E71</f>
        <v>427000</v>
      </c>
      <c r="F72" s="310">
        <f>'d3'!F72-d3П!F71</f>
        <v>427000</v>
      </c>
      <c r="G72" s="310">
        <f>'d3'!G72-d3П!G71</f>
        <v>350000</v>
      </c>
      <c r="H72" s="310">
        <f>'d3'!H72-d3П!H71</f>
        <v>0</v>
      </c>
      <c r="I72" s="310">
        <f>'d3'!I72-d3П!I71</f>
        <v>0</v>
      </c>
      <c r="J72" s="310">
        <f>'d3'!J72-d3П!J71</f>
        <v>0</v>
      </c>
      <c r="K72" s="310">
        <f>'d3'!K72-d3П!K71</f>
        <v>0</v>
      </c>
      <c r="L72" s="310">
        <f>'d3'!L72-d3П!L71</f>
        <v>0</v>
      </c>
      <c r="M72" s="310">
        <f>'d3'!M72-d3П!M71</f>
        <v>0</v>
      </c>
      <c r="N72" s="310">
        <f>'d3'!N72-d3П!N71</f>
        <v>0</v>
      </c>
      <c r="O72" s="310">
        <f>'d3'!O72-d3П!O71</f>
        <v>0</v>
      </c>
      <c r="P72" s="310">
        <f>'d3'!P72-d3П!P71</f>
        <v>427000</v>
      </c>
      <c r="Q72" s="20"/>
      <c r="R72" s="26"/>
    </row>
    <row r="73" spans="1:18" s="33" customFormat="1" ht="108.75" customHeight="1" thickTop="1" thickBot="1" x14ac:dyDescent="0.25">
      <c r="A73" s="598" t="s">
        <v>642</v>
      </c>
      <c r="B73" s="598" t="s">
        <v>643</v>
      </c>
      <c r="C73" s="598"/>
      <c r="D73" s="598" t="s">
        <v>1518</v>
      </c>
      <c r="E73" s="310">
        <f>'d3'!E73-d3П!E72</f>
        <v>0</v>
      </c>
      <c r="F73" s="310">
        <f>'d3'!F73-d3П!F72</f>
        <v>0</v>
      </c>
      <c r="G73" s="310">
        <f>'d3'!G73-d3П!G72</f>
        <v>0</v>
      </c>
      <c r="H73" s="310">
        <f>'d3'!H73-d3П!H72</f>
        <v>0</v>
      </c>
      <c r="I73" s="310">
        <f>'d3'!I73-d3П!I72</f>
        <v>0</v>
      </c>
      <c r="J73" s="310">
        <f>'d3'!J73-d3П!J72</f>
        <v>0</v>
      </c>
      <c r="K73" s="310">
        <f>'d3'!K73-d3П!K72</f>
        <v>0</v>
      </c>
      <c r="L73" s="310">
        <f>'d3'!L73-d3П!L72</f>
        <v>0</v>
      </c>
      <c r="M73" s="310">
        <f>'d3'!M73-d3П!M72</f>
        <v>0</v>
      </c>
      <c r="N73" s="310">
        <f>'d3'!N73-d3П!N72</f>
        <v>0</v>
      </c>
      <c r="O73" s="310">
        <f>'d3'!O73-d3П!O72</f>
        <v>0</v>
      </c>
      <c r="P73" s="310">
        <f>'d3'!P73-d3П!P72</f>
        <v>0</v>
      </c>
      <c r="Q73" s="36"/>
      <c r="R73" s="37"/>
    </row>
    <row r="74" spans="1:18" s="33" customFormat="1" ht="138.75" hidden="1" thickTop="1" thickBot="1" x14ac:dyDescent="0.25">
      <c r="A74" s="126" t="s">
        <v>644</v>
      </c>
      <c r="B74" s="126" t="s">
        <v>645</v>
      </c>
      <c r="C74" s="126" t="s">
        <v>209</v>
      </c>
      <c r="D74" s="126" t="s">
        <v>1519</v>
      </c>
      <c r="E74" s="310">
        <f>'d3'!E74-d3П!E73</f>
        <v>0</v>
      </c>
      <c r="F74" s="310">
        <f>'d3'!F74-d3П!F73</f>
        <v>0</v>
      </c>
      <c r="G74" s="310">
        <f>'d3'!G74-d3П!G73</f>
        <v>0</v>
      </c>
      <c r="H74" s="310">
        <f>'d3'!H74-d3П!H73</f>
        <v>0</v>
      </c>
      <c r="I74" s="310">
        <f>'d3'!I74-d3П!I73</f>
        <v>0</v>
      </c>
      <c r="J74" s="310">
        <f>'d3'!J74-d3П!J73</f>
        <v>0</v>
      </c>
      <c r="K74" s="310">
        <f>'d3'!K74-d3П!K73</f>
        <v>0</v>
      </c>
      <c r="L74" s="310">
        <f>'d3'!L74-d3П!L73</f>
        <v>0</v>
      </c>
      <c r="M74" s="310">
        <f>'d3'!M74-d3П!M73</f>
        <v>0</v>
      </c>
      <c r="N74" s="310">
        <f>'d3'!N74-d3П!N73</f>
        <v>0</v>
      </c>
      <c r="O74" s="310">
        <f>'d3'!O74-d3П!O73</f>
        <v>0</v>
      </c>
      <c r="P74" s="310">
        <f>'d3'!P74-d3П!P73</f>
        <v>0</v>
      </c>
      <c r="Q74" s="36"/>
      <c r="R74" s="26"/>
    </row>
    <row r="75" spans="1:18" s="33" customFormat="1" ht="138.75" hidden="1" thickTop="1" thickBot="1" x14ac:dyDescent="0.25">
      <c r="A75" s="126" t="s">
        <v>959</v>
      </c>
      <c r="B75" s="126" t="s">
        <v>960</v>
      </c>
      <c r="C75" s="126" t="s">
        <v>209</v>
      </c>
      <c r="D75" s="126" t="s">
        <v>1520</v>
      </c>
      <c r="E75" s="310">
        <f>'d3'!E75-d3П!E74</f>
        <v>0</v>
      </c>
      <c r="F75" s="310">
        <f>'d3'!F75-d3П!F74</f>
        <v>0</v>
      </c>
      <c r="G75" s="310">
        <f>'d3'!G75-d3П!G74</f>
        <v>0</v>
      </c>
      <c r="H75" s="310">
        <f>'d3'!H75-d3П!H74</f>
        <v>0</v>
      </c>
      <c r="I75" s="310">
        <f>'d3'!I75-d3П!I74</f>
        <v>0</v>
      </c>
      <c r="J75" s="310">
        <f>'d3'!J75-d3П!J74</f>
        <v>0</v>
      </c>
      <c r="K75" s="310">
        <f>'d3'!K75-d3П!K74</f>
        <v>0</v>
      </c>
      <c r="L75" s="310">
        <f>'d3'!L75-d3П!L74</f>
        <v>0</v>
      </c>
      <c r="M75" s="310">
        <f>'d3'!M75-d3П!M74</f>
        <v>0</v>
      </c>
      <c r="N75" s="310">
        <f>'d3'!N75-d3П!N74</f>
        <v>0</v>
      </c>
      <c r="O75" s="310">
        <f>'d3'!O75-d3П!O74</f>
        <v>0</v>
      </c>
      <c r="P75" s="310">
        <f>'d3'!P75-d3П!P74</f>
        <v>0</v>
      </c>
      <c r="Q75" s="36"/>
      <c r="R75" s="26"/>
    </row>
    <row r="76" spans="1:18" s="33" customFormat="1" ht="219" customHeight="1" thickTop="1" thickBot="1" x14ac:dyDescent="0.25">
      <c r="A76" s="101" t="s">
        <v>1633</v>
      </c>
      <c r="B76" s="101" t="s">
        <v>1635</v>
      </c>
      <c r="C76" s="101" t="s">
        <v>209</v>
      </c>
      <c r="D76" s="101" t="s">
        <v>1637</v>
      </c>
      <c r="E76" s="310">
        <f>'d3'!E76-d3П!E75</f>
        <v>0</v>
      </c>
      <c r="F76" s="310">
        <f>'d3'!F76-d3П!F75</f>
        <v>0</v>
      </c>
      <c r="G76" s="310">
        <f>'d3'!G76-d3П!G75</f>
        <v>0</v>
      </c>
      <c r="H76" s="310">
        <f>'d3'!H76-d3П!H75</f>
        <v>0</v>
      </c>
      <c r="I76" s="310">
        <f>'d3'!I76-d3П!I75</f>
        <v>0</v>
      </c>
      <c r="J76" s="310">
        <f>'d3'!J76-d3П!J75</f>
        <v>0</v>
      </c>
      <c r="K76" s="310">
        <f>'d3'!K76-d3П!K75</f>
        <v>0</v>
      </c>
      <c r="L76" s="310">
        <f>'d3'!L76-d3П!L75</f>
        <v>0</v>
      </c>
      <c r="M76" s="310">
        <f>'d3'!M76-d3П!M75</f>
        <v>0</v>
      </c>
      <c r="N76" s="310">
        <f>'d3'!N76-d3П!N75</f>
        <v>0</v>
      </c>
      <c r="O76" s="310">
        <f>'d3'!O76-d3П!O75</f>
        <v>0</v>
      </c>
      <c r="P76" s="310">
        <f>'d3'!P76-d3П!P75</f>
        <v>0</v>
      </c>
      <c r="Q76" s="36"/>
      <c r="R76" s="26"/>
    </row>
    <row r="77" spans="1:18" s="33" customFormat="1" ht="209.25" customHeight="1" thickTop="1" thickBot="1" x14ac:dyDescent="0.25">
      <c r="A77" s="101" t="s">
        <v>1634</v>
      </c>
      <c r="B77" s="101" t="s">
        <v>1636</v>
      </c>
      <c r="C77" s="101" t="s">
        <v>209</v>
      </c>
      <c r="D77" s="101" t="s">
        <v>1638</v>
      </c>
      <c r="E77" s="310">
        <f>'d3'!E77-d3П!E76</f>
        <v>0</v>
      </c>
      <c r="F77" s="310">
        <f>'d3'!F77-d3П!F76</f>
        <v>0</v>
      </c>
      <c r="G77" s="310">
        <f>'d3'!G77-d3П!G76</f>
        <v>0</v>
      </c>
      <c r="H77" s="310">
        <f>'d3'!H77-d3П!H76</f>
        <v>0</v>
      </c>
      <c r="I77" s="310">
        <f>'d3'!I77-d3П!I76</f>
        <v>0</v>
      </c>
      <c r="J77" s="310">
        <f>'d3'!J77-d3П!J76</f>
        <v>0</v>
      </c>
      <c r="K77" s="310">
        <f>'d3'!K77-d3П!K76</f>
        <v>0</v>
      </c>
      <c r="L77" s="310">
        <f>'d3'!L77-d3П!L76</f>
        <v>0</v>
      </c>
      <c r="M77" s="310">
        <f>'d3'!M77-d3П!M76</f>
        <v>0</v>
      </c>
      <c r="N77" s="310">
        <f>'d3'!N77-d3П!N76</f>
        <v>0</v>
      </c>
      <c r="O77" s="310">
        <f>'d3'!O77-d3П!O76</f>
        <v>0</v>
      </c>
      <c r="P77" s="310">
        <f>'d3'!P77-d3П!P76</f>
        <v>0</v>
      </c>
      <c r="Q77" s="36"/>
      <c r="R77" s="26"/>
    </row>
    <row r="78" spans="1:18" s="33" customFormat="1" ht="209.25" customHeight="1" thickTop="1" thickBot="1" x14ac:dyDescent="0.25">
      <c r="A78" s="101" t="s">
        <v>635</v>
      </c>
      <c r="B78" s="101" t="s">
        <v>636</v>
      </c>
      <c r="C78" s="101" t="s">
        <v>209</v>
      </c>
      <c r="D78" s="101" t="s">
        <v>1629</v>
      </c>
      <c r="E78" s="310">
        <f>'d3'!E78-d3П!E77</f>
        <v>0</v>
      </c>
      <c r="F78" s="310">
        <f>'d3'!F78-d3П!F77</f>
        <v>0</v>
      </c>
      <c r="G78" s="310">
        <f>'d3'!G78-d3П!G77</f>
        <v>0</v>
      </c>
      <c r="H78" s="310">
        <f>'d3'!H78-d3П!H77</f>
        <v>0</v>
      </c>
      <c r="I78" s="310">
        <f>'d3'!I78-d3П!I77</f>
        <v>0</v>
      </c>
      <c r="J78" s="310">
        <f>'d3'!J78-d3П!J77</f>
        <v>0</v>
      </c>
      <c r="K78" s="310">
        <f>'d3'!K78-d3П!K77</f>
        <v>0</v>
      </c>
      <c r="L78" s="310">
        <f>'d3'!L78-d3П!L77</f>
        <v>0</v>
      </c>
      <c r="M78" s="310">
        <f>'d3'!M78-d3П!M77</f>
        <v>0</v>
      </c>
      <c r="N78" s="310">
        <f>'d3'!N78-d3П!N77</f>
        <v>0</v>
      </c>
      <c r="O78" s="310">
        <f>'d3'!O78-d3П!O77</f>
        <v>0</v>
      </c>
      <c r="P78" s="310">
        <f>'d3'!P78-d3П!P77</f>
        <v>0</v>
      </c>
      <c r="Q78" s="36"/>
      <c r="R78" s="26"/>
    </row>
    <row r="79" spans="1:18" s="33" customFormat="1" ht="138.75" hidden="1" thickTop="1" thickBot="1" x14ac:dyDescent="0.25">
      <c r="A79" s="126" t="s">
        <v>921</v>
      </c>
      <c r="B79" s="126" t="s">
        <v>922</v>
      </c>
      <c r="C79" s="126" t="s">
        <v>209</v>
      </c>
      <c r="D79" s="126" t="s">
        <v>1380</v>
      </c>
      <c r="E79" s="310">
        <f>'d3'!E79-d3П!E78</f>
        <v>0</v>
      </c>
      <c r="F79" s="310">
        <f>'d3'!F79-d3П!F78</f>
        <v>0</v>
      </c>
      <c r="G79" s="310">
        <f>'d3'!G79-d3П!G78</f>
        <v>0</v>
      </c>
      <c r="H79" s="310">
        <f>'d3'!H79-d3П!H78</f>
        <v>0</v>
      </c>
      <c r="I79" s="310">
        <f>'d3'!I79-d3П!I78</f>
        <v>0</v>
      </c>
      <c r="J79" s="310">
        <f>'d3'!J79-d3П!J78</f>
        <v>0</v>
      </c>
      <c r="K79" s="310">
        <f>'d3'!K79-d3П!K78</f>
        <v>0</v>
      </c>
      <c r="L79" s="310">
        <f>'d3'!L79-d3П!L78</f>
        <v>0</v>
      </c>
      <c r="M79" s="310">
        <f>'d3'!M79-d3П!M78</f>
        <v>0</v>
      </c>
      <c r="N79" s="310">
        <f>'d3'!N79-d3П!N78</f>
        <v>0</v>
      </c>
      <c r="O79" s="310">
        <f>'d3'!O79-d3П!O78</f>
        <v>0</v>
      </c>
      <c r="P79" s="310">
        <f>'d3'!P79-d3П!P78</f>
        <v>0</v>
      </c>
      <c r="Q79" s="36"/>
      <c r="R79" s="26"/>
    </row>
    <row r="80" spans="1:18" s="33" customFormat="1" ht="93" hidden="1" thickTop="1" thickBot="1" x14ac:dyDescent="0.25">
      <c r="A80" s="138" t="s">
        <v>976</v>
      </c>
      <c r="B80" s="138" t="s">
        <v>978</v>
      </c>
      <c r="C80" s="138"/>
      <c r="D80" s="138" t="s">
        <v>1372</v>
      </c>
      <c r="E80" s="310">
        <f>'d3'!E80-d3П!E79</f>
        <v>0</v>
      </c>
      <c r="F80" s="310">
        <f>'d3'!F80-d3П!F79</f>
        <v>0</v>
      </c>
      <c r="G80" s="310">
        <f>'d3'!G80-d3П!G79</f>
        <v>0</v>
      </c>
      <c r="H80" s="310">
        <f>'d3'!H80-d3П!H79</f>
        <v>0</v>
      </c>
      <c r="I80" s="310">
        <f>'d3'!I80-d3П!I79</f>
        <v>0</v>
      </c>
      <c r="J80" s="310">
        <f>'d3'!J80-d3П!J79</f>
        <v>0</v>
      </c>
      <c r="K80" s="310">
        <f>'d3'!K80-d3П!K79</f>
        <v>0</v>
      </c>
      <c r="L80" s="310">
        <f>'d3'!L80-d3П!L79</f>
        <v>0</v>
      </c>
      <c r="M80" s="310">
        <f>'d3'!M80-d3П!M79</f>
        <v>0</v>
      </c>
      <c r="N80" s="310">
        <f>'d3'!N80-d3П!N79</f>
        <v>0</v>
      </c>
      <c r="O80" s="310">
        <f>'d3'!O80-d3П!O79</f>
        <v>0</v>
      </c>
      <c r="P80" s="310">
        <f>'d3'!P80-d3П!P79</f>
        <v>0</v>
      </c>
      <c r="Q80" s="36"/>
      <c r="R80" s="26"/>
    </row>
    <row r="81" spans="1:18" s="33" customFormat="1" ht="138.75" hidden="1" thickTop="1" thickBot="1" x14ac:dyDescent="0.25">
      <c r="A81" s="126" t="s">
        <v>977</v>
      </c>
      <c r="B81" s="126" t="s">
        <v>979</v>
      </c>
      <c r="C81" s="126" t="s">
        <v>209</v>
      </c>
      <c r="D81" s="126" t="s">
        <v>1209</v>
      </c>
      <c r="E81" s="310">
        <f>'d3'!E81-d3П!E80</f>
        <v>0</v>
      </c>
      <c r="F81" s="310">
        <f>'d3'!F81-d3П!F80</f>
        <v>0</v>
      </c>
      <c r="G81" s="310">
        <f>'d3'!G81-d3П!G80</f>
        <v>0</v>
      </c>
      <c r="H81" s="310">
        <f>'d3'!H81-d3П!H80</f>
        <v>0</v>
      </c>
      <c r="I81" s="310">
        <f>'d3'!I81-d3П!I80</f>
        <v>0</v>
      </c>
      <c r="J81" s="310">
        <f>'d3'!J81-d3П!J80</f>
        <v>0</v>
      </c>
      <c r="K81" s="310">
        <f>'d3'!K81-d3П!K80</f>
        <v>0</v>
      </c>
      <c r="L81" s="310">
        <f>'d3'!L81-d3П!L80</f>
        <v>0</v>
      </c>
      <c r="M81" s="310">
        <f>'d3'!M81-d3П!M80</f>
        <v>0</v>
      </c>
      <c r="N81" s="310">
        <f>'d3'!N81-d3П!N80</f>
        <v>0</v>
      </c>
      <c r="O81" s="310">
        <f>'d3'!O81-d3П!O80</f>
        <v>0</v>
      </c>
      <c r="P81" s="310">
        <f>'d3'!P81-d3П!P80</f>
        <v>0</v>
      </c>
      <c r="Q81" s="36"/>
      <c r="R81" s="26"/>
    </row>
    <row r="82" spans="1:18" s="33" customFormat="1" ht="138.75" hidden="1" thickTop="1" thickBot="1" x14ac:dyDescent="0.25">
      <c r="A82" s="126" t="s">
        <v>1016</v>
      </c>
      <c r="B82" s="126" t="s">
        <v>1017</v>
      </c>
      <c r="C82" s="126" t="s">
        <v>209</v>
      </c>
      <c r="D82" s="126" t="s">
        <v>1481</v>
      </c>
      <c r="E82" s="310">
        <f>'d3'!E82-d3П!E81</f>
        <v>0</v>
      </c>
      <c r="F82" s="310">
        <f>'d3'!F82-d3П!F81</f>
        <v>0</v>
      </c>
      <c r="G82" s="310">
        <f>'d3'!G82-d3П!G81</f>
        <v>0</v>
      </c>
      <c r="H82" s="310">
        <f>'d3'!H82-d3П!H81</f>
        <v>0</v>
      </c>
      <c r="I82" s="310">
        <f>'d3'!I82-d3П!I81</f>
        <v>0</v>
      </c>
      <c r="J82" s="310">
        <f>'d3'!J82-d3П!J81</f>
        <v>0</v>
      </c>
      <c r="K82" s="310">
        <f>'d3'!K82-d3П!K81</f>
        <v>0</v>
      </c>
      <c r="L82" s="310">
        <f>'d3'!L82-d3П!L81</f>
        <v>0</v>
      </c>
      <c r="M82" s="310">
        <f>'d3'!M82-d3П!M81</f>
        <v>0</v>
      </c>
      <c r="N82" s="310">
        <f>'d3'!N82-d3П!N81</f>
        <v>0</v>
      </c>
      <c r="O82" s="310">
        <f>'d3'!O82-d3П!O81</f>
        <v>0</v>
      </c>
      <c r="P82" s="310">
        <f>'d3'!P82-d3П!P81</f>
        <v>0</v>
      </c>
      <c r="Q82" s="36"/>
      <c r="R82" s="26"/>
    </row>
    <row r="83" spans="1:18" s="33" customFormat="1" ht="184.5" thickTop="1" thickBot="1" x14ac:dyDescent="0.25">
      <c r="A83" s="598" t="s">
        <v>1328</v>
      </c>
      <c r="B83" s="598" t="s">
        <v>1329</v>
      </c>
      <c r="C83" s="598"/>
      <c r="D83" s="598" t="s">
        <v>1615</v>
      </c>
      <c r="E83" s="310">
        <f>'d3'!E83-d3П!E82</f>
        <v>0</v>
      </c>
      <c r="F83" s="310">
        <f>'d3'!F83-d3П!F82</f>
        <v>0</v>
      </c>
      <c r="G83" s="310">
        <f>'d3'!G83-d3П!G82</f>
        <v>0</v>
      </c>
      <c r="H83" s="310">
        <f>'d3'!H83-d3П!H82</f>
        <v>0</v>
      </c>
      <c r="I83" s="310">
        <f>'d3'!I83-d3П!I82</f>
        <v>0</v>
      </c>
      <c r="J83" s="310">
        <f>'d3'!J83-d3П!J82</f>
        <v>12346</v>
      </c>
      <c r="K83" s="310">
        <f>'d3'!K83-d3П!K82</f>
        <v>12346</v>
      </c>
      <c r="L83" s="310">
        <f>'d3'!L83-d3П!L82</f>
        <v>0</v>
      </c>
      <c r="M83" s="310">
        <f>'d3'!M83-d3П!M82</f>
        <v>0</v>
      </c>
      <c r="N83" s="310">
        <f>'d3'!N83-d3П!N82</f>
        <v>0</v>
      </c>
      <c r="O83" s="310">
        <f>'d3'!O83-d3П!O82</f>
        <v>12346</v>
      </c>
      <c r="P83" s="310">
        <f>'d3'!P83-d3П!P82</f>
        <v>12346</v>
      </c>
      <c r="Q83" s="36"/>
      <c r="R83" s="26"/>
    </row>
    <row r="84" spans="1:18" s="33" customFormat="1" ht="276" thickTop="1" thickBot="1" x14ac:dyDescent="0.25">
      <c r="A84" s="101" t="s">
        <v>1330</v>
      </c>
      <c r="B84" s="101" t="s">
        <v>1331</v>
      </c>
      <c r="C84" s="101" t="s">
        <v>209</v>
      </c>
      <c r="D84" s="101" t="s">
        <v>1616</v>
      </c>
      <c r="E84" s="310">
        <f>'d3'!E84-d3П!E83</f>
        <v>0</v>
      </c>
      <c r="F84" s="310">
        <f>'d3'!F84-d3П!F83</f>
        <v>0</v>
      </c>
      <c r="G84" s="310">
        <f>'d3'!G84-d3П!G83</f>
        <v>0</v>
      </c>
      <c r="H84" s="310">
        <f>'d3'!H84-d3П!H83</f>
        <v>0</v>
      </c>
      <c r="I84" s="310">
        <f>'d3'!I84-d3П!I83</f>
        <v>0</v>
      </c>
      <c r="J84" s="310">
        <f>'d3'!J84-d3П!J83</f>
        <v>12346</v>
      </c>
      <c r="K84" s="310">
        <f>'d3'!K84-d3П!K83</f>
        <v>12346</v>
      </c>
      <c r="L84" s="310">
        <f>'d3'!L84-d3П!L83</f>
        <v>0</v>
      </c>
      <c r="M84" s="310">
        <f>'d3'!M84-d3П!M83</f>
        <v>0</v>
      </c>
      <c r="N84" s="310">
        <f>'d3'!N84-d3П!N83</f>
        <v>0</v>
      </c>
      <c r="O84" s="310">
        <f>'d3'!O84-d3П!O83</f>
        <v>12346</v>
      </c>
      <c r="P84" s="310">
        <f>'d3'!P84-d3П!P83</f>
        <v>12346</v>
      </c>
      <c r="Q84" s="36"/>
      <c r="R84" s="26"/>
    </row>
    <row r="85" spans="1:18" s="33" customFormat="1" ht="138.75" hidden="1" thickTop="1" thickBot="1" x14ac:dyDescent="0.25">
      <c r="A85" s="126" t="s">
        <v>1332</v>
      </c>
      <c r="B85" s="126" t="s">
        <v>1333</v>
      </c>
      <c r="C85" s="126" t="s">
        <v>209</v>
      </c>
      <c r="D85" s="126" t="s">
        <v>1334</v>
      </c>
      <c r="E85" s="310">
        <f>'d3'!E85-d3П!E84</f>
        <v>0</v>
      </c>
      <c r="F85" s="310">
        <f>'d3'!F85-d3П!F84</f>
        <v>0</v>
      </c>
      <c r="G85" s="310">
        <f>'d3'!G85-d3П!G84</f>
        <v>0</v>
      </c>
      <c r="H85" s="310">
        <f>'d3'!H85-d3П!H84</f>
        <v>0</v>
      </c>
      <c r="I85" s="310">
        <f>'d3'!I85-d3П!I84</f>
        <v>0</v>
      </c>
      <c r="J85" s="310">
        <f>'d3'!J85-d3П!J84</f>
        <v>0</v>
      </c>
      <c r="K85" s="310">
        <f>'d3'!K85-d3П!K84</f>
        <v>0</v>
      </c>
      <c r="L85" s="310">
        <f>'d3'!L85-d3П!L84</f>
        <v>0</v>
      </c>
      <c r="M85" s="310">
        <f>'d3'!M85-d3П!M84</f>
        <v>0</v>
      </c>
      <c r="N85" s="310">
        <f>'d3'!N85-d3П!N84</f>
        <v>0</v>
      </c>
      <c r="O85" s="310">
        <f>'d3'!O85-d3П!O84</f>
        <v>0</v>
      </c>
      <c r="P85" s="310">
        <f>'d3'!P85-d3П!P84</f>
        <v>0</v>
      </c>
      <c r="Q85" s="36"/>
      <c r="R85" s="26"/>
    </row>
    <row r="86" spans="1:18" s="33" customFormat="1" ht="138.75" thickTop="1" thickBot="1" x14ac:dyDescent="0.25">
      <c r="A86" s="598" t="s">
        <v>1392</v>
      </c>
      <c r="B86" s="598" t="s">
        <v>1391</v>
      </c>
      <c r="C86" s="598"/>
      <c r="D86" s="598" t="s">
        <v>1393</v>
      </c>
      <c r="E86" s="310">
        <f>'d3'!E86-d3П!E85</f>
        <v>0</v>
      </c>
      <c r="F86" s="310">
        <f>'d3'!F86-d3П!F85</f>
        <v>0</v>
      </c>
      <c r="G86" s="310">
        <f>'d3'!G86-d3П!G85</f>
        <v>0</v>
      </c>
      <c r="H86" s="310">
        <f>'d3'!H86-d3П!H85</f>
        <v>0</v>
      </c>
      <c r="I86" s="310">
        <f>'d3'!I86-d3П!I85</f>
        <v>0</v>
      </c>
      <c r="J86" s="310">
        <f>'d3'!J86-d3П!J85</f>
        <v>0</v>
      </c>
      <c r="K86" s="310">
        <f>'d3'!K86-d3П!K85</f>
        <v>0</v>
      </c>
      <c r="L86" s="310">
        <f>'d3'!L86-d3П!L85</f>
        <v>0</v>
      </c>
      <c r="M86" s="310">
        <f>'d3'!M86-d3П!M85</f>
        <v>0</v>
      </c>
      <c r="N86" s="310">
        <f>'d3'!N86-d3П!N85</f>
        <v>0</v>
      </c>
      <c r="O86" s="310">
        <f>'d3'!O86-d3П!O85</f>
        <v>0</v>
      </c>
      <c r="P86" s="310">
        <f>'d3'!P86-d3П!P85</f>
        <v>0</v>
      </c>
      <c r="Q86" s="36"/>
      <c r="R86" s="26"/>
    </row>
    <row r="87" spans="1:18" s="33" customFormat="1" ht="93" hidden="1" thickTop="1" thickBot="1" x14ac:dyDescent="0.25">
      <c r="A87" s="536" t="s">
        <v>1394</v>
      </c>
      <c r="B87" s="536" t="s">
        <v>1395</v>
      </c>
      <c r="C87" s="536" t="s">
        <v>209</v>
      </c>
      <c r="D87" s="536" t="s">
        <v>1399</v>
      </c>
      <c r="E87" s="310">
        <f>'d3'!E87-d3П!E86</f>
        <v>0</v>
      </c>
      <c r="F87" s="310">
        <f>'d3'!F87-d3П!F86</f>
        <v>0</v>
      </c>
      <c r="G87" s="310">
        <f>'d3'!G87-d3П!G86</f>
        <v>0</v>
      </c>
      <c r="H87" s="310">
        <f>'d3'!H87-d3П!H86</f>
        <v>0</v>
      </c>
      <c r="I87" s="310">
        <f>'d3'!I87-d3П!I86</f>
        <v>0</v>
      </c>
      <c r="J87" s="310">
        <f>'d3'!J87-d3П!J86</f>
        <v>0</v>
      </c>
      <c r="K87" s="310">
        <f>'d3'!K87-d3П!K86</f>
        <v>0</v>
      </c>
      <c r="L87" s="310">
        <f>'d3'!L87-d3П!L86</f>
        <v>0</v>
      </c>
      <c r="M87" s="310">
        <f>'d3'!M87-d3П!M86</f>
        <v>0</v>
      </c>
      <c r="N87" s="310">
        <f>'d3'!N87-d3П!N86</f>
        <v>0</v>
      </c>
      <c r="O87" s="310">
        <f>'d3'!O87-d3П!O86</f>
        <v>0</v>
      </c>
      <c r="P87" s="310">
        <f>'d3'!P87-d3П!P86</f>
        <v>0</v>
      </c>
      <c r="Q87" s="36"/>
      <c r="R87" s="26"/>
    </row>
    <row r="88" spans="1:18" s="33" customFormat="1" ht="138.75" hidden="1" thickTop="1" thickBot="1" x14ac:dyDescent="0.25">
      <c r="A88" s="536" t="s">
        <v>1396</v>
      </c>
      <c r="B88" s="536" t="s">
        <v>1397</v>
      </c>
      <c r="C88" s="536" t="s">
        <v>209</v>
      </c>
      <c r="D88" s="536" t="s">
        <v>1398</v>
      </c>
      <c r="E88" s="310">
        <f>'d3'!E88-d3П!E87</f>
        <v>0</v>
      </c>
      <c r="F88" s="310">
        <f>'d3'!F88-d3П!F87</f>
        <v>0</v>
      </c>
      <c r="G88" s="310">
        <f>'d3'!G88-d3П!G87</f>
        <v>0</v>
      </c>
      <c r="H88" s="310">
        <f>'d3'!H88-d3П!H87</f>
        <v>0</v>
      </c>
      <c r="I88" s="310">
        <f>'d3'!I88-d3П!I87</f>
        <v>0</v>
      </c>
      <c r="J88" s="310">
        <f>'d3'!J88-d3П!J87</f>
        <v>0</v>
      </c>
      <c r="K88" s="310">
        <f>'d3'!K88-d3П!K87</f>
        <v>0</v>
      </c>
      <c r="L88" s="310">
        <f>'d3'!L88-d3П!L87</f>
        <v>0</v>
      </c>
      <c r="M88" s="310">
        <f>'d3'!M88-d3П!M87</f>
        <v>0</v>
      </c>
      <c r="N88" s="310">
        <f>'d3'!N88-d3П!N87</f>
        <v>0</v>
      </c>
      <c r="O88" s="310">
        <f>'d3'!O88-d3П!O87</f>
        <v>0</v>
      </c>
      <c r="P88" s="310">
        <f>'d3'!P88-d3П!P87</f>
        <v>0</v>
      </c>
      <c r="Q88" s="36"/>
      <c r="R88" s="26"/>
    </row>
    <row r="89" spans="1:18" s="33" customFormat="1" ht="163.5" customHeight="1" thickTop="1" thickBot="1" x14ac:dyDescent="0.25">
      <c r="A89" s="101" t="s">
        <v>1702</v>
      </c>
      <c r="B89" s="101" t="s">
        <v>1697</v>
      </c>
      <c r="C89" s="101" t="s">
        <v>209</v>
      </c>
      <c r="D89" s="101" t="s">
        <v>1696</v>
      </c>
      <c r="E89" s="310">
        <f>'d3'!E89-d3П!E88</f>
        <v>0</v>
      </c>
      <c r="F89" s="310">
        <f>'d3'!F89-d3П!F88</f>
        <v>0</v>
      </c>
      <c r="G89" s="310">
        <f>'d3'!G89-d3П!G88</f>
        <v>0</v>
      </c>
      <c r="H89" s="310">
        <f>'d3'!H89-d3П!H88</f>
        <v>0</v>
      </c>
      <c r="I89" s="310">
        <f>'d3'!I89-d3П!I88</f>
        <v>0</v>
      </c>
      <c r="J89" s="310">
        <f>'d3'!J89-d3П!J88</f>
        <v>0</v>
      </c>
      <c r="K89" s="310">
        <f>'d3'!K89-d3П!K88</f>
        <v>0</v>
      </c>
      <c r="L89" s="310">
        <f>'d3'!L89-d3П!L88</f>
        <v>0</v>
      </c>
      <c r="M89" s="310">
        <f>'d3'!M89-d3П!M88</f>
        <v>0</v>
      </c>
      <c r="N89" s="310">
        <f>'d3'!N89-d3П!N88</f>
        <v>0</v>
      </c>
      <c r="O89" s="310">
        <f>'d3'!O89-d3П!O88</f>
        <v>0</v>
      </c>
      <c r="P89" s="310">
        <f>'d3'!P89-d3П!P88</f>
        <v>0</v>
      </c>
      <c r="Q89" s="36"/>
      <c r="R89" s="26"/>
    </row>
    <row r="90" spans="1:18" s="33" customFormat="1" ht="138.75" thickTop="1" thickBot="1" x14ac:dyDescent="0.25">
      <c r="A90" s="101" t="s">
        <v>1703</v>
      </c>
      <c r="B90" s="101" t="s">
        <v>1699</v>
      </c>
      <c r="C90" s="101" t="s">
        <v>209</v>
      </c>
      <c r="D90" s="101" t="s">
        <v>1698</v>
      </c>
      <c r="E90" s="310">
        <f>'d3'!E90-d3П!E89</f>
        <v>0</v>
      </c>
      <c r="F90" s="310">
        <f>'d3'!F90-d3П!F89</f>
        <v>0</v>
      </c>
      <c r="G90" s="310">
        <f>'d3'!G90-d3П!G89</f>
        <v>0</v>
      </c>
      <c r="H90" s="310">
        <f>'d3'!H90-d3П!H89</f>
        <v>0</v>
      </c>
      <c r="I90" s="310">
        <f>'d3'!I90-d3П!I89</f>
        <v>0</v>
      </c>
      <c r="J90" s="310">
        <f>'d3'!J90-d3П!J89</f>
        <v>0</v>
      </c>
      <c r="K90" s="310">
        <f>'d3'!K90-d3П!K89</f>
        <v>0</v>
      </c>
      <c r="L90" s="310">
        <f>'d3'!L90-d3П!L89</f>
        <v>0</v>
      </c>
      <c r="M90" s="310">
        <f>'d3'!M90-d3П!M89</f>
        <v>0</v>
      </c>
      <c r="N90" s="310">
        <f>'d3'!N90-d3П!N89</f>
        <v>0</v>
      </c>
      <c r="O90" s="310">
        <f>'d3'!O90-d3П!O89</f>
        <v>0</v>
      </c>
      <c r="P90" s="310">
        <f>'d3'!P90-d3П!P89</f>
        <v>0</v>
      </c>
      <c r="Q90" s="36"/>
      <c r="R90" s="26"/>
    </row>
    <row r="91" spans="1:18" s="33" customFormat="1" ht="209.25" customHeight="1" thickTop="1" thickBot="1" x14ac:dyDescent="0.25">
      <c r="A91" s="598" t="s">
        <v>1458</v>
      </c>
      <c r="B91" s="598" t="s">
        <v>1460</v>
      </c>
      <c r="C91" s="101"/>
      <c r="D91" s="598" t="s">
        <v>1457</v>
      </c>
      <c r="E91" s="310">
        <f>'d3'!E91-d3П!E90</f>
        <v>0</v>
      </c>
      <c r="F91" s="310">
        <f>'d3'!F91-d3П!F90</f>
        <v>0</v>
      </c>
      <c r="G91" s="310">
        <f>'d3'!G91-d3П!G90</f>
        <v>0</v>
      </c>
      <c r="H91" s="310">
        <f>'d3'!H91-d3П!H90</f>
        <v>0</v>
      </c>
      <c r="I91" s="310">
        <f>'d3'!I91-d3П!I90</f>
        <v>0</v>
      </c>
      <c r="J91" s="310">
        <f>'d3'!J91-d3П!J90</f>
        <v>0</v>
      </c>
      <c r="K91" s="310">
        <f>'d3'!K91-d3П!K90</f>
        <v>0</v>
      </c>
      <c r="L91" s="310">
        <f>'d3'!L91-d3П!L90</f>
        <v>0</v>
      </c>
      <c r="M91" s="310">
        <f>'d3'!M91-d3П!M90</f>
        <v>0</v>
      </c>
      <c r="N91" s="310">
        <f>'d3'!N91-d3П!N90</f>
        <v>0</v>
      </c>
      <c r="O91" s="310">
        <f>'d3'!O91-d3П!O90</f>
        <v>0</v>
      </c>
      <c r="P91" s="310">
        <f>'d3'!P91-d3П!P90</f>
        <v>0</v>
      </c>
      <c r="Q91" s="36"/>
      <c r="R91" s="26"/>
    </row>
    <row r="92" spans="1:18" s="33" customFormat="1" ht="230.25" thickTop="1" thickBot="1" x14ac:dyDescent="0.25">
      <c r="A92" s="101" t="s">
        <v>1461</v>
      </c>
      <c r="B92" s="101" t="s">
        <v>1459</v>
      </c>
      <c r="C92" s="101" t="s">
        <v>209</v>
      </c>
      <c r="D92" s="101" t="s">
        <v>1462</v>
      </c>
      <c r="E92" s="310">
        <f>'d3'!E92-d3П!E91</f>
        <v>0</v>
      </c>
      <c r="F92" s="310">
        <f>'d3'!F92-d3П!F91</f>
        <v>0</v>
      </c>
      <c r="G92" s="310">
        <f>'d3'!G92-d3П!G91</f>
        <v>0</v>
      </c>
      <c r="H92" s="310">
        <f>'d3'!H92-d3П!H91</f>
        <v>0</v>
      </c>
      <c r="I92" s="310">
        <f>'d3'!I92-d3П!I91</f>
        <v>0</v>
      </c>
      <c r="J92" s="310">
        <f>'d3'!J92-d3П!J91</f>
        <v>0</v>
      </c>
      <c r="K92" s="310">
        <f>'d3'!K92-d3П!K91</f>
        <v>0</v>
      </c>
      <c r="L92" s="310">
        <f>'d3'!L92-d3П!L91</f>
        <v>0</v>
      </c>
      <c r="M92" s="310">
        <f>'d3'!M92-d3П!M91</f>
        <v>0</v>
      </c>
      <c r="N92" s="310">
        <f>'d3'!N92-d3П!N91</f>
        <v>0</v>
      </c>
      <c r="O92" s="310">
        <f>'d3'!O92-d3П!O91</f>
        <v>0</v>
      </c>
      <c r="P92" s="310">
        <f>'d3'!P92-d3П!P91</f>
        <v>0</v>
      </c>
      <c r="Q92" s="36"/>
      <c r="R92" s="26"/>
    </row>
    <row r="93" spans="1:18" s="33" customFormat="1" ht="219" customHeight="1" thickTop="1" thickBot="1" x14ac:dyDescent="0.25">
      <c r="A93" s="101" t="s">
        <v>1463</v>
      </c>
      <c r="B93" s="101" t="s">
        <v>1464</v>
      </c>
      <c r="C93" s="101" t="s">
        <v>209</v>
      </c>
      <c r="D93" s="101" t="s">
        <v>1465</v>
      </c>
      <c r="E93" s="310">
        <f>'d3'!E93-d3П!E92</f>
        <v>0</v>
      </c>
      <c r="F93" s="310">
        <f>'d3'!F93-d3П!F92</f>
        <v>0</v>
      </c>
      <c r="G93" s="310">
        <f>'d3'!G93-d3П!G92</f>
        <v>0</v>
      </c>
      <c r="H93" s="310">
        <f>'d3'!H93-d3П!H92</f>
        <v>0</v>
      </c>
      <c r="I93" s="310">
        <f>'d3'!I93-d3П!I92</f>
        <v>0</v>
      </c>
      <c r="J93" s="310">
        <f>'d3'!J93-d3П!J92</f>
        <v>0</v>
      </c>
      <c r="K93" s="310">
        <f>'d3'!K93-d3П!K92</f>
        <v>0</v>
      </c>
      <c r="L93" s="310">
        <f>'d3'!L93-d3П!L92</f>
        <v>0</v>
      </c>
      <c r="M93" s="310">
        <f>'d3'!M93-d3П!M92</f>
        <v>0</v>
      </c>
      <c r="N93" s="310">
        <f>'d3'!N93-d3П!N92</f>
        <v>0</v>
      </c>
      <c r="O93" s="310">
        <f>'d3'!O93-d3П!O92</f>
        <v>0</v>
      </c>
      <c r="P93" s="310">
        <f>'d3'!P93-d3П!P92</f>
        <v>0</v>
      </c>
      <c r="Q93" s="36"/>
      <c r="R93" s="26"/>
    </row>
    <row r="94" spans="1:18" s="33" customFormat="1" ht="91.5" customHeight="1" thickTop="1" thickBot="1" x14ac:dyDescent="0.25">
      <c r="A94" s="101" t="s">
        <v>1587</v>
      </c>
      <c r="B94" s="101" t="s">
        <v>1569</v>
      </c>
      <c r="C94" s="101" t="s">
        <v>209</v>
      </c>
      <c r="D94" s="101" t="s">
        <v>1570</v>
      </c>
      <c r="E94" s="310">
        <f>'d3'!E94-d3П!E93</f>
        <v>0</v>
      </c>
      <c r="F94" s="310">
        <f>'d3'!F94-d3П!F93</f>
        <v>0</v>
      </c>
      <c r="G94" s="310">
        <f>'d3'!G94-d3П!G93</f>
        <v>0</v>
      </c>
      <c r="H94" s="310">
        <f>'d3'!H94-d3П!H93</f>
        <v>0</v>
      </c>
      <c r="I94" s="310">
        <f>'d3'!I94-d3П!I93</f>
        <v>0</v>
      </c>
      <c r="J94" s="310">
        <f>'d3'!J94-d3П!J93</f>
        <v>4915561.7599999979</v>
      </c>
      <c r="K94" s="310">
        <f>'d3'!K94-d3П!K93</f>
        <v>4915561.7599999979</v>
      </c>
      <c r="L94" s="310">
        <f>'d3'!L94-d3П!L93</f>
        <v>0</v>
      </c>
      <c r="M94" s="310">
        <f>'d3'!M94-d3П!M93</f>
        <v>0</v>
      </c>
      <c r="N94" s="310">
        <f>'d3'!N94-d3П!N93</f>
        <v>0</v>
      </c>
      <c r="O94" s="310">
        <f>'d3'!O94-d3П!O93</f>
        <v>4915561.7599999979</v>
      </c>
      <c r="P94" s="310">
        <f>'d3'!P94-d3П!P93</f>
        <v>4915561.7599999979</v>
      </c>
      <c r="Q94" s="36"/>
      <c r="R94" s="26"/>
    </row>
    <row r="95" spans="1:18" s="33" customFormat="1" ht="93" thickTop="1" thickBot="1" x14ac:dyDescent="0.25">
      <c r="A95" s="598" t="s">
        <v>1523</v>
      </c>
      <c r="B95" s="598" t="s">
        <v>1526</v>
      </c>
      <c r="C95" s="101"/>
      <c r="D95" s="598" t="s">
        <v>1527</v>
      </c>
      <c r="E95" s="310">
        <f>'d3'!E95-d3П!E94</f>
        <v>0</v>
      </c>
      <c r="F95" s="310">
        <f>'d3'!F95-d3П!F94</f>
        <v>0</v>
      </c>
      <c r="G95" s="310">
        <f>'d3'!G95-d3П!G94</f>
        <v>0</v>
      </c>
      <c r="H95" s="310">
        <f>'d3'!H95-d3П!H94</f>
        <v>0</v>
      </c>
      <c r="I95" s="310">
        <f>'d3'!I95-d3П!I94</f>
        <v>0</v>
      </c>
      <c r="J95" s="310">
        <f>'d3'!J95-d3П!J94</f>
        <v>0</v>
      </c>
      <c r="K95" s="310">
        <f>'d3'!K95-d3П!K94</f>
        <v>0</v>
      </c>
      <c r="L95" s="310">
        <f>'d3'!L95-d3П!L94</f>
        <v>0</v>
      </c>
      <c r="M95" s="310">
        <f>'d3'!M95-d3П!M94</f>
        <v>0</v>
      </c>
      <c r="N95" s="310">
        <f>'d3'!N95-d3П!N94</f>
        <v>0</v>
      </c>
      <c r="O95" s="310">
        <f>'d3'!O95-d3П!O94</f>
        <v>0</v>
      </c>
      <c r="P95" s="310">
        <f>'d3'!P95-d3П!P94</f>
        <v>0</v>
      </c>
      <c r="Q95" s="36"/>
      <c r="R95" s="26"/>
    </row>
    <row r="96" spans="1:18" s="33" customFormat="1" ht="138.75" thickTop="1" thickBot="1" x14ac:dyDescent="0.25">
      <c r="A96" s="101" t="s">
        <v>1524</v>
      </c>
      <c r="B96" s="101" t="s">
        <v>1525</v>
      </c>
      <c r="C96" s="101" t="s">
        <v>209</v>
      </c>
      <c r="D96" s="101" t="s">
        <v>1528</v>
      </c>
      <c r="E96" s="310">
        <f>'d3'!E96-d3П!E95</f>
        <v>0</v>
      </c>
      <c r="F96" s="310">
        <f>'d3'!F96-d3П!F95</f>
        <v>0</v>
      </c>
      <c r="G96" s="310">
        <f>'d3'!G96-d3П!G95</f>
        <v>0</v>
      </c>
      <c r="H96" s="310">
        <f>'d3'!H96-d3П!H95</f>
        <v>0</v>
      </c>
      <c r="I96" s="310">
        <f>'d3'!I96-d3П!I95</f>
        <v>0</v>
      </c>
      <c r="J96" s="310">
        <f>'d3'!J96-d3П!J95</f>
        <v>0</v>
      </c>
      <c r="K96" s="310">
        <f>'d3'!K96-d3П!K95</f>
        <v>0</v>
      </c>
      <c r="L96" s="310">
        <f>'d3'!L96-d3П!L95</f>
        <v>0</v>
      </c>
      <c r="M96" s="310">
        <f>'d3'!M96-d3П!M95</f>
        <v>0</v>
      </c>
      <c r="N96" s="310">
        <f>'d3'!N96-d3П!N95</f>
        <v>0</v>
      </c>
      <c r="O96" s="310">
        <f>'d3'!O96-d3П!O95</f>
        <v>0</v>
      </c>
      <c r="P96" s="310">
        <f>'d3'!P96-d3П!P95</f>
        <v>0</v>
      </c>
      <c r="Q96" s="36"/>
      <c r="R96" s="26"/>
    </row>
    <row r="97" spans="1:18" s="33" customFormat="1" ht="123" customHeight="1" thickTop="1" thickBot="1" x14ac:dyDescent="0.25">
      <c r="A97" s="101" t="s">
        <v>1630</v>
      </c>
      <c r="B97" s="101" t="s">
        <v>1631</v>
      </c>
      <c r="C97" s="101" t="s">
        <v>209</v>
      </c>
      <c r="D97" s="101" t="s">
        <v>1632</v>
      </c>
      <c r="E97" s="310">
        <f>'d3'!E97-d3П!E96</f>
        <v>1212300</v>
      </c>
      <c r="F97" s="310">
        <f>'d3'!F97-d3П!F96</f>
        <v>1212300</v>
      </c>
      <c r="G97" s="310">
        <f>'d3'!G97-d3П!G96</f>
        <v>993700</v>
      </c>
      <c r="H97" s="310">
        <f>'d3'!H97-d3П!H96</f>
        <v>0</v>
      </c>
      <c r="I97" s="310">
        <f>'d3'!I97-d3П!I96</f>
        <v>0</v>
      </c>
      <c r="J97" s="310">
        <f>'d3'!J97-d3П!J96</f>
        <v>0</v>
      </c>
      <c r="K97" s="310">
        <f>'d3'!K97-d3П!K96</f>
        <v>0</v>
      </c>
      <c r="L97" s="310">
        <f>'d3'!L97-d3П!L96</f>
        <v>0</v>
      </c>
      <c r="M97" s="310">
        <f>'d3'!M97-d3П!M96</f>
        <v>0</v>
      </c>
      <c r="N97" s="310">
        <f>'d3'!N97-d3П!N96</f>
        <v>0</v>
      </c>
      <c r="O97" s="310">
        <f>'d3'!O97-d3П!O96</f>
        <v>0</v>
      </c>
      <c r="P97" s="310">
        <f>'d3'!P97-d3П!P96</f>
        <v>1212300</v>
      </c>
      <c r="Q97" s="36"/>
      <c r="R97" s="26"/>
    </row>
    <row r="98" spans="1:18" s="33" customFormat="1" ht="47.25" thickTop="1" thickBot="1" x14ac:dyDescent="0.25">
      <c r="A98" s="298" t="s">
        <v>697</v>
      </c>
      <c r="B98" s="298" t="s">
        <v>698</v>
      </c>
      <c r="C98" s="298"/>
      <c r="D98" s="298" t="s">
        <v>699</v>
      </c>
      <c r="E98" s="310">
        <f>'d3'!E98-d3П!E97</f>
        <v>0</v>
      </c>
      <c r="F98" s="310">
        <f>'d3'!F98-d3П!F97</f>
        <v>0</v>
      </c>
      <c r="G98" s="310">
        <f>'d3'!G98-d3П!G97</f>
        <v>0</v>
      </c>
      <c r="H98" s="310">
        <f>'d3'!H98-d3П!H97</f>
        <v>0</v>
      </c>
      <c r="I98" s="310">
        <f>'d3'!I98-d3П!I97</f>
        <v>0</v>
      </c>
      <c r="J98" s="310">
        <f>'d3'!J98-d3П!J97</f>
        <v>0</v>
      </c>
      <c r="K98" s="310">
        <f>'d3'!K98-d3П!K97</f>
        <v>0</v>
      </c>
      <c r="L98" s="310">
        <f>'d3'!L98-d3П!L97</f>
        <v>0</v>
      </c>
      <c r="M98" s="310">
        <f>'d3'!M98-d3П!M97</f>
        <v>0</v>
      </c>
      <c r="N98" s="310">
        <f>'d3'!N98-d3П!N97</f>
        <v>0</v>
      </c>
      <c r="O98" s="310">
        <f>'d3'!O98-d3П!O97</f>
        <v>0</v>
      </c>
      <c r="P98" s="310">
        <f>'d3'!P98-d3П!P97</f>
        <v>0</v>
      </c>
      <c r="Q98" s="36"/>
      <c r="R98" s="26"/>
    </row>
    <row r="99" spans="1:18" s="33" customFormat="1" ht="167.25" customHeight="1" thickTop="1" thickBot="1" x14ac:dyDescent="0.25">
      <c r="A99" s="101" t="s">
        <v>426</v>
      </c>
      <c r="B99" s="101" t="s">
        <v>427</v>
      </c>
      <c r="C99" s="101" t="s">
        <v>184</v>
      </c>
      <c r="D99" s="101" t="s">
        <v>425</v>
      </c>
      <c r="E99" s="310">
        <f>'d3'!E99-d3П!E98</f>
        <v>0</v>
      </c>
      <c r="F99" s="310">
        <f>'d3'!F99-d3П!F98</f>
        <v>0</v>
      </c>
      <c r="G99" s="310">
        <f>'d3'!G99-d3П!G98</f>
        <v>0</v>
      </c>
      <c r="H99" s="310">
        <f>'d3'!H99-d3П!H98</f>
        <v>0</v>
      </c>
      <c r="I99" s="310">
        <f>'d3'!I99-d3П!I98</f>
        <v>0</v>
      </c>
      <c r="J99" s="310">
        <f>'d3'!J99-d3П!J98</f>
        <v>0</v>
      </c>
      <c r="K99" s="310">
        <f>'d3'!K99-d3П!K98</f>
        <v>0</v>
      </c>
      <c r="L99" s="310">
        <f>'d3'!L99-d3П!L98</f>
        <v>0</v>
      </c>
      <c r="M99" s="310">
        <f>'d3'!M99-d3П!M98</f>
        <v>0</v>
      </c>
      <c r="N99" s="310">
        <f>'d3'!N99-d3П!N98</f>
        <v>0</v>
      </c>
      <c r="O99" s="310">
        <f>'d3'!O99-d3П!O98</f>
        <v>0</v>
      </c>
      <c r="P99" s="310">
        <f>'d3'!P99-d3П!P98</f>
        <v>0</v>
      </c>
      <c r="Q99" s="36"/>
      <c r="R99" s="39"/>
    </row>
    <row r="100" spans="1:18" s="33" customFormat="1" ht="114.75" hidden="1" customHeight="1" thickTop="1" thickBot="1" x14ac:dyDescent="0.25">
      <c r="A100" s="126" t="s">
        <v>1192</v>
      </c>
      <c r="B100" s="126" t="s">
        <v>1159</v>
      </c>
      <c r="C100" s="126" t="s">
        <v>205</v>
      </c>
      <c r="D100" s="369" t="s">
        <v>1160</v>
      </c>
      <c r="E100" s="310">
        <f>'d3'!E100-d3П!E99</f>
        <v>0</v>
      </c>
      <c r="F100" s="310">
        <f>'d3'!F100-d3П!F99</f>
        <v>0</v>
      </c>
      <c r="G100" s="310">
        <f>'d3'!G100-d3П!G99</f>
        <v>0</v>
      </c>
      <c r="H100" s="310">
        <f>'d3'!H100-d3П!H99</f>
        <v>0</v>
      </c>
      <c r="I100" s="310">
        <f>'d3'!I100-d3П!I99</f>
        <v>0</v>
      </c>
      <c r="J100" s="310">
        <f>'d3'!J100-d3П!J99</f>
        <v>0</v>
      </c>
      <c r="K100" s="310">
        <f>'d3'!K100-d3П!K99</f>
        <v>0</v>
      </c>
      <c r="L100" s="310">
        <f>'d3'!L100-d3П!L99</f>
        <v>0</v>
      </c>
      <c r="M100" s="310">
        <f>'d3'!M100-d3П!M99</f>
        <v>0</v>
      </c>
      <c r="N100" s="310">
        <f>'d3'!N100-d3П!N99</f>
        <v>0</v>
      </c>
      <c r="O100" s="310">
        <f>'d3'!O100-d3П!O99</f>
        <v>0</v>
      </c>
      <c r="P100" s="310">
        <f>'d3'!P100-d3П!P99</f>
        <v>0</v>
      </c>
      <c r="Q100" s="36"/>
      <c r="R100" s="39"/>
    </row>
    <row r="101" spans="1:18" s="33" customFormat="1" ht="47.25" thickTop="1" thickBot="1" x14ac:dyDescent="0.25">
      <c r="A101" s="298" t="s">
        <v>1053</v>
      </c>
      <c r="B101" s="298" t="s">
        <v>735</v>
      </c>
      <c r="C101" s="298"/>
      <c r="D101" s="298" t="s">
        <v>1052</v>
      </c>
      <c r="E101" s="310">
        <f>'d3'!E101-d3П!E100</f>
        <v>0</v>
      </c>
      <c r="F101" s="310">
        <f>'d3'!F101-d3П!F100</f>
        <v>0</v>
      </c>
      <c r="G101" s="310">
        <f>'d3'!G101-d3П!G100</f>
        <v>0</v>
      </c>
      <c r="H101" s="310">
        <f>'d3'!H101-d3П!H100</f>
        <v>0</v>
      </c>
      <c r="I101" s="310">
        <f>'d3'!I101-d3П!I100</f>
        <v>0</v>
      </c>
      <c r="J101" s="310">
        <f>'d3'!J101-d3П!J100</f>
        <v>1521921.7199999997</v>
      </c>
      <c r="K101" s="310">
        <f>'d3'!K101-d3П!K100</f>
        <v>1521921.7199999997</v>
      </c>
      <c r="L101" s="310">
        <f>'d3'!L101-d3П!L100</f>
        <v>0</v>
      </c>
      <c r="M101" s="310">
        <f>'d3'!M101-d3П!M100</f>
        <v>0</v>
      </c>
      <c r="N101" s="310">
        <f>'d3'!N101-d3П!N100</f>
        <v>0</v>
      </c>
      <c r="O101" s="310">
        <f>'d3'!O101-d3П!O100</f>
        <v>1521921.7199999997</v>
      </c>
      <c r="P101" s="310">
        <f>'d3'!P101-d3П!P100</f>
        <v>1521921.7199999997</v>
      </c>
      <c r="Q101" s="36"/>
      <c r="R101" s="26"/>
    </row>
    <row r="102" spans="1:18" s="33" customFormat="1" ht="47.25" hidden="1" thickTop="1" thickBot="1" x14ac:dyDescent="0.25">
      <c r="A102" s="593" t="s">
        <v>1658</v>
      </c>
      <c r="B102" s="703" t="s">
        <v>788</v>
      </c>
      <c r="C102" s="703"/>
      <c r="D102" s="703" t="s">
        <v>1623</v>
      </c>
      <c r="E102" s="310">
        <f>'d3'!E102-d3П!E101</f>
        <v>0</v>
      </c>
      <c r="F102" s="310">
        <f>'d3'!F102-d3П!F101</f>
        <v>0</v>
      </c>
      <c r="G102" s="310">
        <f>'d3'!G102-d3П!G101</f>
        <v>0</v>
      </c>
      <c r="H102" s="310">
        <f>'d3'!H102-d3П!H101</f>
        <v>0</v>
      </c>
      <c r="I102" s="310">
        <f>'d3'!I102-d3П!I101</f>
        <v>0</v>
      </c>
      <c r="J102" s="310">
        <f>'d3'!J102-d3П!J101</f>
        <v>0</v>
      </c>
      <c r="K102" s="310">
        <f>'d3'!K102-d3П!K101</f>
        <v>0</v>
      </c>
      <c r="L102" s="310">
        <f>'d3'!L102-d3П!L101</f>
        <v>0</v>
      </c>
      <c r="M102" s="310">
        <f>'d3'!M102-d3П!M101</f>
        <v>0</v>
      </c>
      <c r="N102" s="310">
        <f>'d3'!N102-d3П!N101</f>
        <v>0</v>
      </c>
      <c r="O102" s="310">
        <f>'d3'!O102-d3П!O101</f>
        <v>0</v>
      </c>
      <c r="P102" s="310">
        <f>'d3'!P102-d3П!P101</f>
        <v>0</v>
      </c>
      <c r="Q102" s="36"/>
      <c r="R102" s="26"/>
    </row>
    <row r="103" spans="1:18" s="33" customFormat="1" ht="54" hidden="1" thickTop="1" thickBot="1" x14ac:dyDescent="0.25">
      <c r="A103" s="101" t="s">
        <v>1659</v>
      </c>
      <c r="B103" s="700" t="s">
        <v>313</v>
      </c>
      <c r="C103" s="700" t="s">
        <v>302</v>
      </c>
      <c r="D103" s="700" t="s">
        <v>1572</v>
      </c>
      <c r="E103" s="310">
        <f>'d3'!E103-d3П!E102</f>
        <v>0</v>
      </c>
      <c r="F103" s="310">
        <f>'d3'!F103-d3П!F102</f>
        <v>0</v>
      </c>
      <c r="G103" s="310">
        <f>'d3'!G103-d3П!G102</f>
        <v>0</v>
      </c>
      <c r="H103" s="310">
        <f>'d3'!H103-d3П!H102</f>
        <v>0</v>
      </c>
      <c r="I103" s="310">
        <f>'d3'!I103-d3П!I102</f>
        <v>0</v>
      </c>
      <c r="J103" s="310">
        <f>'d3'!J103-d3П!J102</f>
        <v>0</v>
      </c>
      <c r="K103" s="310">
        <f>'d3'!K103-d3П!K102</f>
        <v>0</v>
      </c>
      <c r="L103" s="310">
        <f>'d3'!L103-d3П!L102</f>
        <v>0</v>
      </c>
      <c r="M103" s="310">
        <f>'d3'!M103-d3П!M102</f>
        <v>0</v>
      </c>
      <c r="N103" s="310">
        <f>'d3'!N103-d3П!N102</f>
        <v>0</v>
      </c>
      <c r="O103" s="310">
        <f>'d3'!O103-d3П!O102</f>
        <v>0</v>
      </c>
      <c r="P103" s="310">
        <f>'d3'!P103-d3П!P102</f>
        <v>0</v>
      </c>
      <c r="Q103" s="36"/>
      <c r="R103" s="26"/>
    </row>
    <row r="104" spans="1:18" s="33" customFormat="1" ht="57" customHeight="1" thickTop="1" thickBot="1" x14ac:dyDescent="0.25">
      <c r="A104" s="593" t="s">
        <v>1054</v>
      </c>
      <c r="B104" s="593" t="s">
        <v>679</v>
      </c>
      <c r="C104" s="593"/>
      <c r="D104" s="593" t="s">
        <v>677</v>
      </c>
      <c r="E104" s="310">
        <f>'d3'!E104-d3П!E103</f>
        <v>0</v>
      </c>
      <c r="F104" s="310">
        <f>'d3'!F104-d3П!F103</f>
        <v>0</v>
      </c>
      <c r="G104" s="310">
        <f>'d3'!G104-d3П!G103</f>
        <v>0</v>
      </c>
      <c r="H104" s="310">
        <f>'d3'!H104-d3П!H103</f>
        <v>0</v>
      </c>
      <c r="I104" s="310">
        <f>'d3'!I104-d3П!I103</f>
        <v>0</v>
      </c>
      <c r="J104" s="310">
        <f>'d3'!J104-d3П!J103</f>
        <v>1521921.7199999997</v>
      </c>
      <c r="K104" s="310">
        <f>'d3'!K104-d3П!K103</f>
        <v>1521921.7199999997</v>
      </c>
      <c r="L104" s="310">
        <f>'d3'!L104-d3П!L103</f>
        <v>0</v>
      </c>
      <c r="M104" s="310">
        <f>'d3'!M104-d3П!M103</f>
        <v>0</v>
      </c>
      <c r="N104" s="310">
        <f>'d3'!N104-d3П!N103</f>
        <v>0</v>
      </c>
      <c r="O104" s="310">
        <f>'d3'!O104-d3П!O103</f>
        <v>1521921.7199999997</v>
      </c>
      <c r="P104" s="310">
        <f>'d3'!P104-d3П!P103</f>
        <v>1521921.7199999997</v>
      </c>
      <c r="Q104" s="30"/>
      <c r="R104" s="26"/>
    </row>
    <row r="105" spans="1:18" s="33" customFormat="1" ht="98.45" customHeight="1" thickTop="1" thickBot="1" x14ac:dyDescent="0.25">
      <c r="A105" s="101" t="s">
        <v>1055</v>
      </c>
      <c r="B105" s="101" t="s">
        <v>211</v>
      </c>
      <c r="C105" s="101" t="s">
        <v>212</v>
      </c>
      <c r="D105" s="101" t="s">
        <v>41</v>
      </c>
      <c r="E105" s="310">
        <f>'d3'!E105-d3П!E104</f>
        <v>0</v>
      </c>
      <c r="F105" s="310">
        <f>'d3'!F105-d3П!F104</f>
        <v>0</v>
      </c>
      <c r="G105" s="310">
        <f>'d3'!G105-d3П!G104</f>
        <v>0</v>
      </c>
      <c r="H105" s="310">
        <f>'d3'!H105-d3П!H104</f>
        <v>0</v>
      </c>
      <c r="I105" s="310">
        <f>'d3'!I105-d3П!I104</f>
        <v>0</v>
      </c>
      <c r="J105" s="310">
        <f>'d3'!J105-d3П!J104</f>
        <v>1521921.7199999997</v>
      </c>
      <c r="K105" s="310">
        <f>'d3'!K105-d3П!K104</f>
        <v>1521921.7199999997</v>
      </c>
      <c r="L105" s="310">
        <f>'d3'!L105-d3П!L104</f>
        <v>0</v>
      </c>
      <c r="M105" s="310">
        <f>'d3'!M105-d3П!M104</f>
        <v>0</v>
      </c>
      <c r="N105" s="310">
        <f>'d3'!N105-d3П!N104</f>
        <v>0</v>
      </c>
      <c r="O105" s="310">
        <f>'d3'!O105-d3П!O104</f>
        <v>1521921.7199999997</v>
      </c>
      <c r="P105" s="310">
        <f>'d3'!P105-d3П!P104</f>
        <v>1521921.7199999997</v>
      </c>
      <c r="Q105" s="30"/>
      <c r="R105" s="26"/>
    </row>
    <row r="106" spans="1:18" s="33" customFormat="1" ht="87.75" customHeight="1" thickTop="1" thickBot="1" x14ac:dyDescent="0.25">
      <c r="A106" s="298" t="s">
        <v>1183</v>
      </c>
      <c r="B106" s="298" t="s">
        <v>684</v>
      </c>
      <c r="C106" s="298"/>
      <c r="D106" s="298" t="s">
        <v>685</v>
      </c>
      <c r="E106" s="310">
        <f>'d3'!E106-d3П!E105</f>
        <v>1280000</v>
      </c>
      <c r="F106" s="310">
        <f>'d3'!F106-d3П!F105</f>
        <v>1280000</v>
      </c>
      <c r="G106" s="310">
        <f>'d3'!G106-d3П!G105</f>
        <v>0</v>
      </c>
      <c r="H106" s="310">
        <f>'d3'!H106-d3П!H105</f>
        <v>0</v>
      </c>
      <c r="I106" s="310">
        <f>'d3'!I106-d3П!I105</f>
        <v>0</v>
      </c>
      <c r="J106" s="310">
        <f>'d3'!J106-d3П!J105</f>
        <v>0</v>
      </c>
      <c r="K106" s="310">
        <f>'d3'!K106-d3П!K105</f>
        <v>0</v>
      </c>
      <c r="L106" s="310">
        <f>'d3'!L106-d3П!L105</f>
        <v>0</v>
      </c>
      <c r="M106" s="310">
        <f>'d3'!M106-d3П!M105</f>
        <v>0</v>
      </c>
      <c r="N106" s="310">
        <f>'d3'!N106-d3П!N105</f>
        <v>0</v>
      </c>
      <c r="O106" s="310">
        <f>'d3'!O106-d3П!O105</f>
        <v>0</v>
      </c>
      <c r="P106" s="310">
        <f>'d3'!P106-d3П!P105</f>
        <v>1280000</v>
      </c>
      <c r="Q106" s="30"/>
      <c r="R106" s="26"/>
    </row>
    <row r="107" spans="1:18" s="33" customFormat="1" ht="69" customHeight="1" thickTop="1" thickBot="1" x14ac:dyDescent="0.25">
      <c r="A107" s="593" t="s">
        <v>1738</v>
      </c>
      <c r="B107" s="726" t="s">
        <v>797</v>
      </c>
      <c r="C107" s="726"/>
      <c r="D107" s="726" t="s">
        <v>1236</v>
      </c>
      <c r="E107" s="310">
        <f>'d3'!E107-0</f>
        <v>1280000</v>
      </c>
      <c r="F107" s="310">
        <f>'d3'!F107-0</f>
        <v>1280000</v>
      </c>
      <c r="G107" s="310">
        <f>'d3'!G107-0</f>
        <v>0</v>
      </c>
      <c r="H107" s="310">
        <f>'d3'!H107-0</f>
        <v>0</v>
      </c>
      <c r="I107" s="310">
        <f>'d3'!I107-0</f>
        <v>0</v>
      </c>
      <c r="J107" s="310">
        <f>'d3'!J107-0</f>
        <v>0</v>
      </c>
      <c r="K107" s="310">
        <f>'d3'!K107-0</f>
        <v>0</v>
      </c>
      <c r="L107" s="310">
        <f>'d3'!L107-0</f>
        <v>0</v>
      </c>
      <c r="M107" s="310">
        <f>'d3'!M107-0</f>
        <v>0</v>
      </c>
      <c r="N107" s="310">
        <f>'d3'!N107-0</f>
        <v>0</v>
      </c>
      <c r="O107" s="310">
        <f>'d3'!O107-0</f>
        <v>0</v>
      </c>
      <c r="P107" s="310">
        <f>'d3'!P107-0</f>
        <v>1280000</v>
      </c>
      <c r="Q107" s="30"/>
      <c r="R107" s="26"/>
    </row>
    <row r="108" spans="1:18" s="33" customFormat="1" ht="93" thickTop="1" thickBot="1" x14ac:dyDescent="0.25">
      <c r="A108" s="101" t="s">
        <v>1739</v>
      </c>
      <c r="B108" s="727" t="s">
        <v>511</v>
      </c>
      <c r="C108" s="727" t="s">
        <v>249</v>
      </c>
      <c r="D108" s="727" t="s">
        <v>512</v>
      </c>
      <c r="E108" s="310">
        <f>'d3'!E108-0</f>
        <v>1280000</v>
      </c>
      <c r="F108" s="310">
        <f>'d3'!F108-0</f>
        <v>1280000</v>
      </c>
      <c r="G108" s="310">
        <f>'d3'!G108-0</f>
        <v>0</v>
      </c>
      <c r="H108" s="310">
        <f>'d3'!H108-0</f>
        <v>0</v>
      </c>
      <c r="I108" s="310">
        <f>'d3'!I108-0</f>
        <v>0</v>
      </c>
      <c r="J108" s="310">
        <f>'d3'!J108-0</f>
        <v>0</v>
      </c>
      <c r="K108" s="310">
        <f>'d3'!K108-0</f>
        <v>0</v>
      </c>
      <c r="L108" s="310">
        <f>'d3'!L108-0</f>
        <v>0</v>
      </c>
      <c r="M108" s="310">
        <f>'d3'!M108-0</f>
        <v>0</v>
      </c>
      <c r="N108" s="310">
        <f>'d3'!N108-0</f>
        <v>0</v>
      </c>
      <c r="O108" s="310">
        <f>'d3'!O108-0</f>
        <v>0</v>
      </c>
      <c r="P108" s="310">
        <f>'d3'!P108-0</f>
        <v>1280000</v>
      </c>
      <c r="Q108" s="30"/>
      <c r="R108" s="26"/>
    </row>
    <row r="109" spans="1:18" s="33" customFormat="1" ht="47.25" hidden="1" thickTop="1" thickBot="1" x14ac:dyDescent="0.25">
      <c r="A109" s="134" t="s">
        <v>1184</v>
      </c>
      <c r="B109" s="134" t="s">
        <v>1145</v>
      </c>
      <c r="C109" s="134"/>
      <c r="D109" s="134" t="s">
        <v>1143</v>
      </c>
      <c r="E109" s="135">
        <f t="shared" ref="E109:P109" si="6">E110</f>
        <v>0</v>
      </c>
      <c r="F109" s="135">
        <f t="shared" si="6"/>
        <v>0</v>
      </c>
      <c r="G109" s="135">
        <f t="shared" si="6"/>
        <v>0</v>
      </c>
      <c r="H109" s="135">
        <f t="shared" si="6"/>
        <v>0</v>
      </c>
      <c r="I109" s="135">
        <f t="shared" si="6"/>
        <v>0</v>
      </c>
      <c r="J109" s="135">
        <f t="shared" si="6"/>
        <v>0</v>
      </c>
      <c r="K109" s="135">
        <f t="shared" si="6"/>
        <v>0</v>
      </c>
      <c r="L109" s="135">
        <f t="shared" si="6"/>
        <v>0</v>
      </c>
      <c r="M109" s="135">
        <f t="shared" si="6"/>
        <v>0</v>
      </c>
      <c r="N109" s="135">
        <f t="shared" si="6"/>
        <v>0</v>
      </c>
      <c r="O109" s="135">
        <f t="shared" si="6"/>
        <v>0</v>
      </c>
      <c r="P109" s="135">
        <f t="shared" si="6"/>
        <v>0</v>
      </c>
      <c r="Q109" s="30"/>
      <c r="R109" s="26"/>
    </row>
    <row r="110" spans="1:18" s="33" customFormat="1" ht="48" hidden="1" thickTop="1" thickBot="1" x14ac:dyDescent="0.25">
      <c r="A110" s="126" t="s">
        <v>1185</v>
      </c>
      <c r="B110" s="126" t="s">
        <v>1149</v>
      </c>
      <c r="C110" s="126" t="s">
        <v>1147</v>
      </c>
      <c r="D110" s="126" t="s">
        <v>1146</v>
      </c>
      <c r="E110" s="125">
        <f>F110</f>
        <v>0</v>
      </c>
      <c r="F110" s="132"/>
      <c r="G110" s="132"/>
      <c r="H110" s="132"/>
      <c r="I110" s="132"/>
      <c r="J110" s="125">
        <f>L110+O110</f>
        <v>0</v>
      </c>
      <c r="K110" s="132">
        <v>0</v>
      </c>
      <c r="L110" s="132"/>
      <c r="M110" s="132"/>
      <c r="N110" s="132"/>
      <c r="O110" s="130">
        <f>K110</f>
        <v>0</v>
      </c>
      <c r="P110" s="125">
        <f>E110+J110</f>
        <v>0</v>
      </c>
      <c r="Q110" s="30"/>
      <c r="R110" s="26"/>
    </row>
    <row r="111" spans="1:18" s="33" customFormat="1" ht="47.25" hidden="1" thickTop="1" thickBot="1" x14ac:dyDescent="0.25">
      <c r="A111" s="144" t="s">
        <v>996</v>
      </c>
      <c r="B111" s="144" t="s">
        <v>689</v>
      </c>
      <c r="C111" s="144"/>
      <c r="D111" s="144" t="s">
        <v>690</v>
      </c>
      <c r="E111" s="42">
        <f>E112</f>
        <v>0</v>
      </c>
      <c r="F111" s="42">
        <f t="shared" ref="F111:P112" si="7">F112</f>
        <v>0</v>
      </c>
      <c r="G111" s="42">
        <f t="shared" si="7"/>
        <v>0</v>
      </c>
      <c r="H111" s="42">
        <f t="shared" si="7"/>
        <v>0</v>
      </c>
      <c r="I111" s="42">
        <f t="shared" si="7"/>
        <v>0</v>
      </c>
      <c r="J111" s="42">
        <f t="shared" si="7"/>
        <v>0</v>
      </c>
      <c r="K111" s="42">
        <f t="shared" si="7"/>
        <v>0</v>
      </c>
      <c r="L111" s="42">
        <f t="shared" si="7"/>
        <v>0</v>
      </c>
      <c r="M111" s="42">
        <f t="shared" si="7"/>
        <v>0</v>
      </c>
      <c r="N111" s="42">
        <f t="shared" si="7"/>
        <v>0</v>
      </c>
      <c r="O111" s="42">
        <f t="shared" si="7"/>
        <v>0</v>
      </c>
      <c r="P111" s="42">
        <f t="shared" si="7"/>
        <v>0</v>
      </c>
      <c r="Q111" s="36"/>
      <c r="R111" s="26"/>
    </row>
    <row r="112" spans="1:18" s="33" customFormat="1" ht="91.5" hidden="1" thickTop="1" thickBot="1" x14ac:dyDescent="0.25">
      <c r="A112" s="145" t="s">
        <v>997</v>
      </c>
      <c r="B112" s="145" t="s">
        <v>692</v>
      </c>
      <c r="C112" s="145"/>
      <c r="D112" s="145" t="s">
        <v>693</v>
      </c>
      <c r="E112" s="146">
        <f>E113</f>
        <v>0</v>
      </c>
      <c r="F112" s="146">
        <f t="shared" si="7"/>
        <v>0</v>
      </c>
      <c r="G112" s="146">
        <f t="shared" si="7"/>
        <v>0</v>
      </c>
      <c r="H112" s="146">
        <f t="shared" si="7"/>
        <v>0</v>
      </c>
      <c r="I112" s="146">
        <f t="shared" si="7"/>
        <v>0</v>
      </c>
      <c r="J112" s="146">
        <f t="shared" si="7"/>
        <v>0</v>
      </c>
      <c r="K112" s="146">
        <f t="shared" si="7"/>
        <v>0</v>
      </c>
      <c r="L112" s="146">
        <f t="shared" si="7"/>
        <v>0</v>
      </c>
      <c r="M112" s="146">
        <f t="shared" si="7"/>
        <v>0</v>
      </c>
      <c r="N112" s="146">
        <f t="shared" si="7"/>
        <v>0</v>
      </c>
      <c r="O112" s="146">
        <f t="shared" si="7"/>
        <v>0</v>
      </c>
      <c r="P112" s="146">
        <f t="shared" si="7"/>
        <v>0</v>
      </c>
      <c r="Q112" s="36"/>
      <c r="R112" s="26"/>
    </row>
    <row r="113" spans="1:18" s="33" customFormat="1" ht="48" hidden="1" thickTop="1" thickBot="1" x14ac:dyDescent="0.25">
      <c r="A113" s="41" t="s">
        <v>998</v>
      </c>
      <c r="B113" s="41" t="s">
        <v>359</v>
      </c>
      <c r="C113" s="41" t="s">
        <v>43</v>
      </c>
      <c r="D113" s="41" t="s">
        <v>360</v>
      </c>
      <c r="E113" s="42">
        <f t="shared" ref="E113" si="8">F113</f>
        <v>0</v>
      </c>
      <c r="F113" s="43"/>
      <c r="G113" s="43"/>
      <c r="H113" s="43"/>
      <c r="I113" s="43"/>
      <c r="J113" s="42">
        <f>L113+O113</f>
        <v>0</v>
      </c>
      <c r="K113" s="43"/>
      <c r="L113" s="43"/>
      <c r="M113" s="43"/>
      <c r="N113" s="43"/>
      <c r="O113" s="44">
        <f>K113</f>
        <v>0</v>
      </c>
      <c r="P113" s="42">
        <f>E113+J113</f>
        <v>0</v>
      </c>
      <c r="Q113" s="36"/>
      <c r="R113" s="26"/>
    </row>
    <row r="114" spans="1:18" ht="120" customHeight="1" thickTop="1" thickBot="1" x14ac:dyDescent="0.25">
      <c r="A114" s="624" t="s">
        <v>153</v>
      </c>
      <c r="B114" s="624"/>
      <c r="C114" s="624"/>
      <c r="D114" s="625" t="s">
        <v>18</v>
      </c>
      <c r="E114" s="626">
        <f>E115</f>
        <v>7615942</v>
      </c>
      <c r="F114" s="627">
        <f t="shared" ref="F114:G114" si="9">F115</f>
        <v>7615942</v>
      </c>
      <c r="G114" s="627">
        <f t="shared" si="9"/>
        <v>419100</v>
      </c>
      <c r="H114" s="627">
        <f>H115</f>
        <v>0</v>
      </c>
      <c r="I114" s="627">
        <f t="shared" ref="I114" si="10">I115</f>
        <v>0</v>
      </c>
      <c r="J114" s="626">
        <f>J115</f>
        <v>16517505</v>
      </c>
      <c r="K114" s="627">
        <f>K115</f>
        <v>16517505</v>
      </c>
      <c r="L114" s="627">
        <f>L115</f>
        <v>0</v>
      </c>
      <c r="M114" s="627">
        <f t="shared" ref="M114" si="11">M115</f>
        <v>0</v>
      </c>
      <c r="N114" s="627">
        <f>N115</f>
        <v>0</v>
      </c>
      <c r="O114" s="626">
        <f>O115</f>
        <v>16517505</v>
      </c>
      <c r="P114" s="627">
        <f>P115</f>
        <v>24133447</v>
      </c>
      <c r="Q114" s="20"/>
    </row>
    <row r="115" spans="1:18" ht="120" customHeight="1" thickTop="1" thickBot="1" x14ac:dyDescent="0.25">
      <c r="A115" s="588" t="s">
        <v>154</v>
      </c>
      <c r="B115" s="588"/>
      <c r="C115" s="588"/>
      <c r="D115" s="589" t="s">
        <v>36</v>
      </c>
      <c r="E115" s="590">
        <f>E116+E119+E135+E139+E145</f>
        <v>7615942</v>
      </c>
      <c r="F115" s="590">
        <f t="shared" ref="F115:P115" si="12">F116+F119+F135+F139+F145</f>
        <v>7615942</v>
      </c>
      <c r="G115" s="590">
        <f t="shared" si="12"/>
        <v>419100</v>
      </c>
      <c r="H115" s="590">
        <f t="shared" si="12"/>
        <v>0</v>
      </c>
      <c r="I115" s="590">
        <f t="shared" si="12"/>
        <v>0</v>
      </c>
      <c r="J115" s="590">
        <f t="shared" si="12"/>
        <v>16517505</v>
      </c>
      <c r="K115" s="590">
        <f t="shared" si="12"/>
        <v>16517505</v>
      </c>
      <c r="L115" s="590">
        <f t="shared" si="12"/>
        <v>0</v>
      </c>
      <c r="M115" s="590">
        <f t="shared" si="12"/>
        <v>0</v>
      </c>
      <c r="N115" s="590">
        <f t="shared" si="12"/>
        <v>0</v>
      </c>
      <c r="O115" s="590">
        <f t="shared" si="12"/>
        <v>16517505</v>
      </c>
      <c r="P115" s="590">
        <f t="shared" si="12"/>
        <v>24133447</v>
      </c>
      <c r="Q115" s="474" t="b">
        <f>P115=P117+P120+P121+P122+P123+P126+P130+P131+P138+P134+P143+P137+P147</f>
        <v>1</v>
      </c>
      <c r="R115" s="26"/>
    </row>
    <row r="116" spans="1:18" ht="90.75" customHeight="1" thickTop="1" thickBot="1" x14ac:dyDescent="0.25">
      <c r="A116" s="298" t="s">
        <v>700</v>
      </c>
      <c r="B116" s="298" t="s">
        <v>672</v>
      </c>
      <c r="C116" s="298"/>
      <c r="D116" s="298" t="s">
        <v>673</v>
      </c>
      <c r="E116" s="310">
        <f>'d3'!E116-d3П!E113</f>
        <v>513300</v>
      </c>
      <c r="F116" s="310">
        <f>'d3'!F116-d3П!F113</f>
        <v>513300</v>
      </c>
      <c r="G116" s="310">
        <f>'d3'!G116-d3П!G113</f>
        <v>419100</v>
      </c>
      <c r="H116" s="310">
        <f>'d3'!H116-d3П!H113</f>
        <v>0</v>
      </c>
      <c r="I116" s="310">
        <f>'d3'!I116-d3П!I113</f>
        <v>0</v>
      </c>
      <c r="J116" s="310">
        <f>'d3'!J116-d3П!J113</f>
        <v>0</v>
      </c>
      <c r="K116" s="310">
        <f>'d3'!K116-d3П!K113</f>
        <v>0</v>
      </c>
      <c r="L116" s="310">
        <f>'d3'!L116-d3П!L113</f>
        <v>0</v>
      </c>
      <c r="M116" s="310">
        <f>'d3'!M116-d3П!M113</f>
        <v>0</v>
      </c>
      <c r="N116" s="310">
        <f>'d3'!N116-d3П!N113</f>
        <v>0</v>
      </c>
      <c r="O116" s="310">
        <f>'d3'!O116-d3П!O113</f>
        <v>0</v>
      </c>
      <c r="P116" s="310">
        <f>'d3'!P116-d3П!P113</f>
        <v>513300</v>
      </c>
      <c r="Q116" s="30"/>
      <c r="R116" s="26"/>
    </row>
    <row r="117" spans="1:18" ht="130.69999999999999" customHeight="1" thickTop="1" thickBot="1" x14ac:dyDescent="0.25">
      <c r="A117" s="101" t="s">
        <v>411</v>
      </c>
      <c r="B117" s="101" t="s">
        <v>235</v>
      </c>
      <c r="C117" s="101" t="s">
        <v>233</v>
      </c>
      <c r="D117" s="101" t="s">
        <v>234</v>
      </c>
      <c r="E117" s="310">
        <f>'d3'!E117-d3П!E114</f>
        <v>513300</v>
      </c>
      <c r="F117" s="310">
        <f>'d3'!F117-d3П!F114</f>
        <v>513300</v>
      </c>
      <c r="G117" s="310">
        <f>'d3'!G117-d3П!G114</f>
        <v>419100</v>
      </c>
      <c r="H117" s="310">
        <f>'d3'!H117-d3П!H114</f>
        <v>0</v>
      </c>
      <c r="I117" s="310">
        <f>'d3'!I117-d3П!I114</f>
        <v>0</v>
      </c>
      <c r="J117" s="310">
        <f>'d3'!J117-d3П!J114</f>
        <v>0</v>
      </c>
      <c r="K117" s="310">
        <f>'d3'!K117-d3П!K114</f>
        <v>0</v>
      </c>
      <c r="L117" s="310">
        <f>'d3'!L117-d3П!L114</f>
        <v>0</v>
      </c>
      <c r="M117" s="310">
        <f>'d3'!M117-d3П!M114</f>
        <v>0</v>
      </c>
      <c r="N117" s="310">
        <f>'d3'!N117-d3П!N114</f>
        <v>0</v>
      </c>
      <c r="O117" s="310">
        <f>'d3'!O117-d3П!O114</f>
        <v>0</v>
      </c>
      <c r="P117" s="310">
        <f>'d3'!P117-d3П!P114</f>
        <v>513300</v>
      </c>
      <c r="Q117" s="39"/>
      <c r="R117" s="26"/>
    </row>
    <row r="118" spans="1:18" ht="93" hidden="1" thickTop="1" thickBot="1" x14ac:dyDescent="0.25">
      <c r="A118" s="126" t="s">
        <v>1215</v>
      </c>
      <c r="B118" s="126" t="s">
        <v>358</v>
      </c>
      <c r="C118" s="126" t="s">
        <v>616</v>
      </c>
      <c r="D118" s="126" t="s">
        <v>617</v>
      </c>
      <c r="E118" s="310">
        <f>'d3'!E118-d3П!E115</f>
        <v>0</v>
      </c>
      <c r="F118" s="310">
        <f>'d3'!F118-d3П!F115</f>
        <v>0</v>
      </c>
      <c r="G118" s="310">
        <f>'d3'!G118-d3П!G115</f>
        <v>0</v>
      </c>
      <c r="H118" s="310">
        <f>'d3'!H118-d3П!H115</f>
        <v>0</v>
      </c>
      <c r="I118" s="310">
        <f>'d3'!I118-d3П!I115</f>
        <v>0</v>
      </c>
      <c r="J118" s="310">
        <f>'d3'!J118-d3П!J115</f>
        <v>0</v>
      </c>
      <c r="K118" s="310">
        <f>'d3'!K118-d3П!K115</f>
        <v>0</v>
      </c>
      <c r="L118" s="310">
        <f>'d3'!L118-d3П!L115</f>
        <v>0</v>
      </c>
      <c r="M118" s="310">
        <f>'d3'!M118-d3П!M115</f>
        <v>0</v>
      </c>
      <c r="N118" s="310">
        <f>'d3'!N118-d3П!N115</f>
        <v>0</v>
      </c>
      <c r="O118" s="310">
        <f>'d3'!O118-d3П!O115</f>
        <v>0</v>
      </c>
      <c r="P118" s="310">
        <f>'d3'!P118-d3П!P115</f>
        <v>0</v>
      </c>
      <c r="Q118" s="39"/>
      <c r="R118" s="26"/>
    </row>
    <row r="119" spans="1:18" ht="90.75" customHeight="1" thickTop="1" thickBot="1" x14ac:dyDescent="0.25">
      <c r="A119" s="298" t="s">
        <v>701</v>
      </c>
      <c r="B119" s="298" t="s">
        <v>702</v>
      </c>
      <c r="C119" s="298"/>
      <c r="D119" s="298" t="s">
        <v>703</v>
      </c>
      <c r="E119" s="310">
        <f>'d3'!E119-d3П!E116</f>
        <v>7102642</v>
      </c>
      <c r="F119" s="310">
        <f>'d3'!F119-d3П!F116</f>
        <v>7102642</v>
      </c>
      <c r="G119" s="310">
        <f>'d3'!G119-d3П!G116</f>
        <v>0</v>
      </c>
      <c r="H119" s="310">
        <f>'d3'!H119-d3П!H116</f>
        <v>0</v>
      </c>
      <c r="I119" s="310">
        <f>'d3'!I119-d3П!I116</f>
        <v>0</v>
      </c>
      <c r="J119" s="310">
        <f>'d3'!J119-d3П!J116</f>
        <v>16017505</v>
      </c>
      <c r="K119" s="310">
        <f>'d3'!K119-d3П!K116</f>
        <v>16017505</v>
      </c>
      <c r="L119" s="310">
        <f>'d3'!L119-d3П!L116</f>
        <v>0</v>
      </c>
      <c r="M119" s="310">
        <f>'d3'!M119-d3П!M116</f>
        <v>0</v>
      </c>
      <c r="N119" s="310">
        <f>'d3'!N119-d3П!N116</f>
        <v>0</v>
      </c>
      <c r="O119" s="310">
        <f>'d3'!O119-d3П!O116</f>
        <v>16017505</v>
      </c>
      <c r="P119" s="310">
        <f>'d3'!P119-d3П!P116</f>
        <v>23120147</v>
      </c>
      <c r="Q119" s="39"/>
      <c r="R119" s="39"/>
    </row>
    <row r="120" spans="1:18" ht="101.25" customHeight="1" thickTop="1" thickBot="1" x14ac:dyDescent="0.25">
      <c r="A120" s="101" t="s">
        <v>213</v>
      </c>
      <c r="B120" s="101" t="s">
        <v>210</v>
      </c>
      <c r="C120" s="101" t="s">
        <v>214</v>
      </c>
      <c r="D120" s="101" t="s">
        <v>19</v>
      </c>
      <c r="E120" s="310">
        <f>'d3'!E120-d3П!E117</f>
        <v>501745</v>
      </c>
      <c r="F120" s="310">
        <f>'d3'!F120-d3П!F117</f>
        <v>501745</v>
      </c>
      <c r="G120" s="310">
        <f>'d3'!G120-d3П!G117</f>
        <v>0</v>
      </c>
      <c r="H120" s="310">
        <f>'d3'!H120-d3П!H117</f>
        <v>0</v>
      </c>
      <c r="I120" s="310">
        <f>'d3'!I120-d3П!I117</f>
        <v>0</v>
      </c>
      <c r="J120" s="310">
        <f>'d3'!J120-d3П!J117</f>
        <v>13467063</v>
      </c>
      <c r="K120" s="310">
        <f>'d3'!K120-d3П!K117</f>
        <v>13467063</v>
      </c>
      <c r="L120" s="310">
        <f>'d3'!L120-d3П!L117</f>
        <v>0</v>
      </c>
      <c r="M120" s="310">
        <f>'d3'!M120-d3П!M117</f>
        <v>0</v>
      </c>
      <c r="N120" s="310">
        <f>'d3'!N120-d3П!N117</f>
        <v>0</v>
      </c>
      <c r="O120" s="310">
        <f>'d3'!O120-d3П!O117</f>
        <v>13467063</v>
      </c>
      <c r="P120" s="310">
        <f>'d3'!P120-d3П!P117</f>
        <v>13968808</v>
      </c>
      <c r="Q120" s="20"/>
      <c r="R120" s="30"/>
    </row>
    <row r="121" spans="1:18" ht="97.5" customHeight="1" thickTop="1" thickBot="1" x14ac:dyDescent="0.25">
      <c r="A121" s="101" t="s">
        <v>500</v>
      </c>
      <c r="B121" s="101" t="s">
        <v>503</v>
      </c>
      <c r="C121" s="101" t="s">
        <v>502</v>
      </c>
      <c r="D121" s="101" t="s">
        <v>501</v>
      </c>
      <c r="E121" s="310">
        <f>'d3'!E121-d3П!E118</f>
        <v>3500000</v>
      </c>
      <c r="F121" s="310">
        <f>'d3'!F121-d3П!F118</f>
        <v>3500000</v>
      </c>
      <c r="G121" s="310">
        <f>'d3'!G121-d3П!G118</f>
        <v>0</v>
      </c>
      <c r="H121" s="310">
        <f>'d3'!H121-d3П!H118</f>
        <v>0</v>
      </c>
      <c r="I121" s="310">
        <f>'d3'!I121-d3П!I118</f>
        <v>0</v>
      </c>
      <c r="J121" s="310">
        <f>'d3'!J121-d3П!J118</f>
        <v>0</v>
      </c>
      <c r="K121" s="310">
        <f>'d3'!K121-d3П!K118</f>
        <v>0</v>
      </c>
      <c r="L121" s="310">
        <f>'d3'!L121-d3П!L118</f>
        <v>0</v>
      </c>
      <c r="M121" s="310">
        <f>'d3'!M121-d3П!M118</f>
        <v>0</v>
      </c>
      <c r="N121" s="310">
        <f>'d3'!N121-d3П!N118</f>
        <v>0</v>
      </c>
      <c r="O121" s="310">
        <f>'d3'!O121-d3П!O118</f>
        <v>0</v>
      </c>
      <c r="P121" s="310">
        <f>'d3'!P121-d3П!P118</f>
        <v>3500000</v>
      </c>
      <c r="Q121" s="20"/>
      <c r="R121" s="39"/>
    </row>
    <row r="122" spans="1:18" ht="94.7" customHeight="1" thickTop="1" thickBot="1" x14ac:dyDescent="0.25">
      <c r="A122" s="101" t="s">
        <v>215</v>
      </c>
      <c r="B122" s="101" t="s">
        <v>216</v>
      </c>
      <c r="C122" s="101" t="s">
        <v>217</v>
      </c>
      <c r="D122" s="101" t="s">
        <v>218</v>
      </c>
      <c r="E122" s="310">
        <f>'d3'!E122-d3П!E119</f>
        <v>2500000</v>
      </c>
      <c r="F122" s="310">
        <f>'d3'!F122-d3П!F119</f>
        <v>2500000</v>
      </c>
      <c r="G122" s="310">
        <f>'d3'!G122-d3П!G119</f>
        <v>0</v>
      </c>
      <c r="H122" s="310">
        <f>'d3'!H122-d3П!H119</f>
        <v>0</v>
      </c>
      <c r="I122" s="310">
        <f>'d3'!I122-d3П!I119</f>
        <v>0</v>
      </c>
      <c r="J122" s="310">
        <f>'d3'!J122-d3П!J119</f>
        <v>1732442</v>
      </c>
      <c r="K122" s="310">
        <f>'d3'!K122-d3П!K119</f>
        <v>1732442</v>
      </c>
      <c r="L122" s="310">
        <f>'d3'!L122-d3П!L119</f>
        <v>0</v>
      </c>
      <c r="M122" s="310">
        <f>'d3'!M122-d3П!M119</f>
        <v>0</v>
      </c>
      <c r="N122" s="310">
        <f>'d3'!N122-d3П!N119</f>
        <v>0</v>
      </c>
      <c r="O122" s="310">
        <f>'d3'!O122-d3П!O119</f>
        <v>1732442</v>
      </c>
      <c r="P122" s="310">
        <f>'d3'!P122-d3П!P119</f>
        <v>4232442</v>
      </c>
      <c r="Q122" s="20"/>
      <c r="R122" s="39"/>
    </row>
    <row r="123" spans="1:18" ht="93" thickTop="1" thickBot="1" x14ac:dyDescent="0.25">
      <c r="A123" s="101" t="s">
        <v>219</v>
      </c>
      <c r="B123" s="101" t="s">
        <v>220</v>
      </c>
      <c r="C123" s="101" t="s">
        <v>221</v>
      </c>
      <c r="D123" s="101" t="s">
        <v>342</v>
      </c>
      <c r="E123" s="310">
        <f>'d3'!E123-d3П!E120</f>
        <v>0</v>
      </c>
      <c r="F123" s="310">
        <f>'d3'!F123-d3П!F120</f>
        <v>0</v>
      </c>
      <c r="G123" s="310">
        <f>'d3'!G123-d3П!G120</f>
        <v>0</v>
      </c>
      <c r="H123" s="310">
        <f>'d3'!H123-d3П!H120</f>
        <v>0</v>
      </c>
      <c r="I123" s="310">
        <f>'d3'!I123-d3П!I120</f>
        <v>0</v>
      </c>
      <c r="J123" s="310">
        <f>'d3'!J123-d3П!J120</f>
        <v>818000</v>
      </c>
      <c r="K123" s="310">
        <f>'d3'!K123-d3П!K120</f>
        <v>818000</v>
      </c>
      <c r="L123" s="310">
        <f>'d3'!L123-d3П!L120</f>
        <v>0</v>
      </c>
      <c r="M123" s="310">
        <f>'d3'!M123-d3П!M120</f>
        <v>0</v>
      </c>
      <c r="N123" s="310">
        <f>'d3'!N123-d3П!N120</f>
        <v>0</v>
      </c>
      <c r="O123" s="310">
        <f>'d3'!O123-d3П!O120</f>
        <v>818000</v>
      </c>
      <c r="P123" s="310">
        <f>'d3'!P123-d3П!P120</f>
        <v>818000</v>
      </c>
      <c r="Q123" s="20"/>
      <c r="R123" s="39"/>
    </row>
    <row r="124" spans="1:18" ht="47.25" hidden="1" thickTop="1" thickBot="1" x14ac:dyDescent="0.25">
      <c r="A124" s="126" t="s">
        <v>222</v>
      </c>
      <c r="B124" s="126" t="s">
        <v>223</v>
      </c>
      <c r="C124" s="126" t="s">
        <v>224</v>
      </c>
      <c r="D124" s="126" t="s">
        <v>225</v>
      </c>
      <c r="E124" s="310">
        <f>'d3'!E124-d3П!E121</f>
        <v>0</v>
      </c>
      <c r="F124" s="310">
        <f>'d3'!F124-d3П!F121</f>
        <v>0</v>
      </c>
      <c r="G124" s="310">
        <f>'d3'!G124-d3П!G121</f>
        <v>0</v>
      </c>
      <c r="H124" s="310">
        <f>'d3'!H124-d3П!H121</f>
        <v>0</v>
      </c>
      <c r="I124" s="310">
        <f>'d3'!I124-d3П!I121</f>
        <v>0</v>
      </c>
      <c r="J124" s="310">
        <f>'d3'!J124-d3П!J121</f>
        <v>0</v>
      </c>
      <c r="K124" s="310">
        <f>'d3'!K124-d3П!K121</f>
        <v>0</v>
      </c>
      <c r="L124" s="310">
        <f>'d3'!L124-d3П!L121</f>
        <v>0</v>
      </c>
      <c r="M124" s="310">
        <f>'d3'!M124-d3П!M121</f>
        <v>0</v>
      </c>
      <c r="N124" s="310">
        <f>'d3'!N124-d3П!N121</f>
        <v>0</v>
      </c>
      <c r="O124" s="310">
        <f>'d3'!O124-d3П!O121</f>
        <v>0</v>
      </c>
      <c r="P124" s="310">
        <f>'d3'!P124-d3П!P121</f>
        <v>0</v>
      </c>
      <c r="Q124" s="20"/>
      <c r="R124" s="39"/>
    </row>
    <row r="125" spans="1:18" ht="72.75" customHeight="1" thickTop="1" thickBot="1" x14ac:dyDescent="0.25">
      <c r="A125" s="598" t="s">
        <v>704</v>
      </c>
      <c r="B125" s="598" t="s">
        <v>705</v>
      </c>
      <c r="C125" s="598"/>
      <c r="D125" s="598" t="s">
        <v>706</v>
      </c>
      <c r="E125" s="310">
        <f>'d3'!E125-d3П!E122</f>
        <v>600897</v>
      </c>
      <c r="F125" s="310">
        <f>'d3'!F125-d3П!F122</f>
        <v>600897</v>
      </c>
      <c r="G125" s="310">
        <f>'d3'!G125-d3П!G122</f>
        <v>0</v>
      </c>
      <c r="H125" s="310">
        <f>'d3'!H125-d3П!H122</f>
        <v>0</v>
      </c>
      <c r="I125" s="310">
        <f>'d3'!I125-d3П!I122</f>
        <v>0</v>
      </c>
      <c r="J125" s="310">
        <f>'d3'!J125-d3П!J122</f>
        <v>0</v>
      </c>
      <c r="K125" s="310">
        <f>'d3'!K125-d3П!K122</f>
        <v>0</v>
      </c>
      <c r="L125" s="310">
        <f>'d3'!L125-d3П!L122</f>
        <v>0</v>
      </c>
      <c r="M125" s="310">
        <f>'d3'!M125-d3П!M122</f>
        <v>0</v>
      </c>
      <c r="N125" s="310">
        <f>'d3'!N125-d3П!N122</f>
        <v>0</v>
      </c>
      <c r="O125" s="310">
        <f>'d3'!O125-d3П!O122</f>
        <v>0</v>
      </c>
      <c r="P125" s="310">
        <f>'d3'!P125-d3П!P122</f>
        <v>600897</v>
      </c>
      <c r="Q125" s="20"/>
      <c r="R125" s="39"/>
    </row>
    <row r="126" spans="1:18" ht="127.5" customHeight="1" thickTop="1" thickBot="1" x14ac:dyDescent="0.25">
      <c r="A126" s="101" t="s">
        <v>226</v>
      </c>
      <c r="B126" s="101" t="s">
        <v>227</v>
      </c>
      <c r="C126" s="101" t="s">
        <v>343</v>
      </c>
      <c r="D126" s="101" t="s">
        <v>228</v>
      </c>
      <c r="E126" s="310">
        <f>'d3'!E126-d3П!E123</f>
        <v>600897</v>
      </c>
      <c r="F126" s="310">
        <f>'d3'!F126-d3П!F123</f>
        <v>600897</v>
      </c>
      <c r="G126" s="310">
        <f>'d3'!G126-d3П!G123</f>
        <v>0</v>
      </c>
      <c r="H126" s="310">
        <f>'d3'!H126-d3П!H123</f>
        <v>0</v>
      </c>
      <c r="I126" s="310">
        <f>'d3'!I126-d3П!I123</f>
        <v>0</v>
      </c>
      <c r="J126" s="310">
        <f>'d3'!J126-d3П!J123</f>
        <v>0</v>
      </c>
      <c r="K126" s="310">
        <f>'d3'!K126-d3П!K123</f>
        <v>0</v>
      </c>
      <c r="L126" s="310">
        <f>'d3'!L126-d3П!L123</f>
        <v>0</v>
      </c>
      <c r="M126" s="310">
        <f>'d3'!M126-d3П!M123</f>
        <v>0</v>
      </c>
      <c r="N126" s="310">
        <f>'d3'!N126-d3П!N123</f>
        <v>0</v>
      </c>
      <c r="O126" s="310">
        <f>'d3'!O126-d3П!O123</f>
        <v>0</v>
      </c>
      <c r="P126" s="310">
        <f>'d3'!P126-d3П!P123</f>
        <v>600897</v>
      </c>
      <c r="Q126" s="20"/>
      <c r="R126" s="39"/>
    </row>
    <row r="127" spans="1:18" ht="47.25" hidden="1" thickTop="1" thickBot="1" x14ac:dyDescent="0.25">
      <c r="A127" s="138" t="s">
        <v>707</v>
      </c>
      <c r="B127" s="138" t="s">
        <v>708</v>
      </c>
      <c r="C127" s="138"/>
      <c r="D127" s="138" t="s">
        <v>709</v>
      </c>
      <c r="E127" s="310">
        <f>'d3'!E127-d3П!E124</f>
        <v>0</v>
      </c>
      <c r="F127" s="310">
        <f>'d3'!F127-d3П!F124</f>
        <v>0</v>
      </c>
      <c r="G127" s="310">
        <f>'d3'!G127-d3П!G124</f>
        <v>0</v>
      </c>
      <c r="H127" s="310">
        <f>'d3'!H127-d3П!H124</f>
        <v>0</v>
      </c>
      <c r="I127" s="310">
        <f>'d3'!I127-d3П!I124</f>
        <v>0</v>
      </c>
      <c r="J127" s="310">
        <f>'d3'!J127-d3П!J124</f>
        <v>0</v>
      </c>
      <c r="K127" s="310">
        <f>'d3'!K127-d3П!K124</f>
        <v>0</v>
      </c>
      <c r="L127" s="310">
        <f>'d3'!L127-d3П!L124</f>
        <v>0</v>
      </c>
      <c r="M127" s="310">
        <f>'d3'!M127-d3П!M124</f>
        <v>0</v>
      </c>
      <c r="N127" s="310">
        <f>'d3'!N127-d3П!N124</f>
        <v>0</v>
      </c>
      <c r="O127" s="310">
        <f>'d3'!O127-d3П!O124</f>
        <v>0</v>
      </c>
      <c r="P127" s="310">
        <f>'d3'!P127-d3П!P124</f>
        <v>0</v>
      </c>
      <c r="Q127" s="20"/>
      <c r="R127" s="39"/>
    </row>
    <row r="128" spans="1:18" ht="47.25" hidden="1" thickTop="1" thickBot="1" x14ac:dyDescent="0.25">
      <c r="A128" s="126" t="s">
        <v>470</v>
      </c>
      <c r="B128" s="126" t="s">
        <v>471</v>
      </c>
      <c r="C128" s="126" t="s">
        <v>229</v>
      </c>
      <c r="D128" s="126" t="s">
        <v>472</v>
      </c>
      <c r="E128" s="310">
        <f>'d3'!E128-d3П!E125</f>
        <v>0</v>
      </c>
      <c r="F128" s="310">
        <f>'d3'!F128-d3П!F125</f>
        <v>0</v>
      </c>
      <c r="G128" s="310">
        <f>'d3'!G128-d3П!G125</f>
        <v>0</v>
      </c>
      <c r="H128" s="310">
        <f>'d3'!H128-d3П!H125</f>
        <v>0</v>
      </c>
      <c r="I128" s="310">
        <f>'d3'!I128-d3П!I125</f>
        <v>0</v>
      </c>
      <c r="J128" s="310">
        <f>'d3'!J128-d3П!J125</f>
        <v>0</v>
      </c>
      <c r="K128" s="310">
        <f>'d3'!K128-d3П!K125</f>
        <v>0</v>
      </c>
      <c r="L128" s="310">
        <f>'d3'!L128-d3П!L125</f>
        <v>0</v>
      </c>
      <c r="M128" s="310">
        <f>'d3'!M128-d3П!M125</f>
        <v>0</v>
      </c>
      <c r="N128" s="310">
        <f>'d3'!N128-d3П!N125</f>
        <v>0</v>
      </c>
      <c r="O128" s="310">
        <f>'d3'!O128-d3П!O125</f>
        <v>0</v>
      </c>
      <c r="P128" s="310">
        <f>'d3'!P128-d3П!P125</f>
        <v>0</v>
      </c>
      <c r="Q128" s="20"/>
      <c r="R128" s="39"/>
    </row>
    <row r="129" spans="1:18" ht="85.7" customHeight="1" thickTop="1" thickBot="1" x14ac:dyDescent="0.25">
      <c r="A129" s="598" t="s">
        <v>710</v>
      </c>
      <c r="B129" s="598" t="s">
        <v>711</v>
      </c>
      <c r="C129" s="598"/>
      <c r="D129" s="598" t="s">
        <v>712</v>
      </c>
      <c r="E129" s="310">
        <f>'d3'!E129-d3П!E126</f>
        <v>0</v>
      </c>
      <c r="F129" s="310">
        <f>'d3'!F129-d3П!F126</f>
        <v>0</v>
      </c>
      <c r="G129" s="310">
        <f>'d3'!G129-d3П!G126</f>
        <v>0</v>
      </c>
      <c r="H129" s="310">
        <f>'d3'!H129-d3П!H126</f>
        <v>0</v>
      </c>
      <c r="I129" s="310">
        <f>'d3'!I129-d3П!I126</f>
        <v>0</v>
      </c>
      <c r="J129" s="310">
        <f>'d3'!J129-d3П!J126</f>
        <v>0</v>
      </c>
      <c r="K129" s="310">
        <f>'d3'!K129-d3П!K126</f>
        <v>0</v>
      </c>
      <c r="L129" s="310">
        <f>'d3'!L129-d3П!L126</f>
        <v>0</v>
      </c>
      <c r="M129" s="310">
        <f>'d3'!M129-d3П!M126</f>
        <v>0</v>
      </c>
      <c r="N129" s="310">
        <f>'d3'!N129-d3П!N126</f>
        <v>0</v>
      </c>
      <c r="O129" s="310">
        <f>'d3'!O129-d3П!O126</f>
        <v>0</v>
      </c>
      <c r="P129" s="310">
        <f>'d3'!P129-d3П!P126</f>
        <v>0</v>
      </c>
      <c r="Q129" s="20"/>
      <c r="R129" s="39"/>
    </row>
    <row r="130" spans="1:18" s="33" customFormat="1" ht="79.5" customHeight="1" thickTop="1" thickBot="1" x14ac:dyDescent="0.25">
      <c r="A130" s="101" t="s">
        <v>319</v>
      </c>
      <c r="B130" s="101" t="s">
        <v>321</v>
      </c>
      <c r="C130" s="101" t="s">
        <v>229</v>
      </c>
      <c r="D130" s="600" t="s">
        <v>317</v>
      </c>
      <c r="E130" s="310">
        <f>'d3'!E130-d3П!E127</f>
        <v>0</v>
      </c>
      <c r="F130" s="310">
        <f>'d3'!F130-d3П!F127</f>
        <v>0</v>
      </c>
      <c r="G130" s="310">
        <f>'d3'!G130-d3П!G127</f>
        <v>0</v>
      </c>
      <c r="H130" s="310">
        <f>'d3'!H130-d3П!H127</f>
        <v>0</v>
      </c>
      <c r="I130" s="310">
        <f>'d3'!I130-d3П!I127</f>
        <v>0</v>
      </c>
      <c r="J130" s="310">
        <f>'d3'!J130-d3П!J127</f>
        <v>0</v>
      </c>
      <c r="K130" s="310">
        <f>'d3'!K130-d3П!K127</f>
        <v>0</v>
      </c>
      <c r="L130" s="310">
        <f>'d3'!L130-d3П!L127</f>
        <v>0</v>
      </c>
      <c r="M130" s="310">
        <f>'d3'!M130-d3П!M127</f>
        <v>0</v>
      </c>
      <c r="N130" s="310">
        <f>'d3'!N130-d3П!N127</f>
        <v>0</v>
      </c>
      <c r="O130" s="310">
        <f>'d3'!O130-d3П!O127</f>
        <v>0</v>
      </c>
      <c r="P130" s="310">
        <f>'d3'!P130-d3П!P127</f>
        <v>0</v>
      </c>
      <c r="Q130" s="36"/>
      <c r="R130" s="26"/>
    </row>
    <row r="131" spans="1:18" s="33" customFormat="1" ht="91.5" customHeight="1" thickTop="1" thickBot="1" x14ac:dyDescent="0.25">
      <c r="A131" s="101" t="s">
        <v>320</v>
      </c>
      <c r="B131" s="101" t="s">
        <v>322</v>
      </c>
      <c r="C131" s="101" t="s">
        <v>229</v>
      </c>
      <c r="D131" s="600" t="s">
        <v>318</v>
      </c>
      <c r="E131" s="310">
        <f>'d3'!E131-d3П!E128</f>
        <v>0</v>
      </c>
      <c r="F131" s="310">
        <f>'d3'!F131-d3П!F128</f>
        <v>0</v>
      </c>
      <c r="G131" s="310">
        <f>'d3'!G131-d3П!G128</f>
        <v>0</v>
      </c>
      <c r="H131" s="310">
        <f>'d3'!H131-d3П!H128</f>
        <v>0</v>
      </c>
      <c r="I131" s="310">
        <f>'d3'!I131-d3П!I128</f>
        <v>0</v>
      </c>
      <c r="J131" s="310">
        <f>'d3'!J131-d3П!J128</f>
        <v>0</v>
      </c>
      <c r="K131" s="310">
        <f>'d3'!K131-d3П!K128</f>
        <v>0</v>
      </c>
      <c r="L131" s="310">
        <f>'d3'!L131-d3П!L128</f>
        <v>0</v>
      </c>
      <c r="M131" s="310">
        <f>'d3'!M131-d3П!M128</f>
        <v>0</v>
      </c>
      <c r="N131" s="310">
        <f>'d3'!N131-d3П!N128</f>
        <v>0</v>
      </c>
      <c r="O131" s="310">
        <f>'d3'!O131-d3П!O128</f>
        <v>0</v>
      </c>
      <c r="P131" s="310">
        <f>'d3'!P131-d3П!P128</f>
        <v>0</v>
      </c>
      <c r="Q131" s="36"/>
      <c r="R131" s="39"/>
    </row>
    <row r="132" spans="1:18" s="33" customFormat="1" ht="93" hidden="1" thickTop="1" thickBot="1" x14ac:dyDescent="0.25">
      <c r="A132" s="138" t="s">
        <v>1483</v>
      </c>
      <c r="B132" s="138" t="s">
        <v>1484</v>
      </c>
      <c r="C132" s="138"/>
      <c r="D132" s="138" t="s">
        <v>1482</v>
      </c>
      <c r="E132" s="310">
        <f>'d3'!E132-d3П!E129</f>
        <v>0</v>
      </c>
      <c r="F132" s="310">
        <f>'d3'!F132-d3П!F129</f>
        <v>0</v>
      </c>
      <c r="G132" s="310">
        <f>'d3'!G132-d3П!G129</f>
        <v>0</v>
      </c>
      <c r="H132" s="310">
        <f>'d3'!H132-d3П!H129</f>
        <v>0</v>
      </c>
      <c r="I132" s="310">
        <f>'d3'!I132-d3П!I129</f>
        <v>0</v>
      </c>
      <c r="J132" s="310">
        <f>'d3'!J132-d3П!J129</f>
        <v>0</v>
      </c>
      <c r="K132" s="310">
        <f>'d3'!K132-d3П!K129</f>
        <v>0</v>
      </c>
      <c r="L132" s="310">
        <f>'d3'!L132-d3П!L129</f>
        <v>0</v>
      </c>
      <c r="M132" s="310">
        <f>'d3'!M132-d3П!M129</f>
        <v>0</v>
      </c>
      <c r="N132" s="310">
        <f>'d3'!N132-d3П!N129</f>
        <v>0</v>
      </c>
      <c r="O132" s="310">
        <f>'d3'!O132-d3П!O129</f>
        <v>0</v>
      </c>
      <c r="P132" s="310">
        <f>'d3'!P132-d3П!P129</f>
        <v>0</v>
      </c>
      <c r="Q132" s="36"/>
      <c r="R132" s="39"/>
    </row>
    <row r="133" spans="1:18" s="532" customFormat="1" ht="138.75" hidden="1" thickTop="1" thickBot="1" x14ac:dyDescent="0.25">
      <c r="A133" s="126" t="s">
        <v>1486</v>
      </c>
      <c r="B133" s="126" t="s">
        <v>1487</v>
      </c>
      <c r="C133" s="126" t="s">
        <v>229</v>
      </c>
      <c r="D133" s="369" t="s">
        <v>1485</v>
      </c>
      <c r="E133" s="310">
        <f>'d3'!E133-d3П!E130</f>
        <v>0</v>
      </c>
      <c r="F133" s="310">
        <f>'d3'!F133-d3П!F130</f>
        <v>0</v>
      </c>
      <c r="G133" s="310">
        <f>'d3'!G133-d3П!G130</f>
        <v>0</v>
      </c>
      <c r="H133" s="310">
        <f>'d3'!H133-d3П!H130</f>
        <v>0</v>
      </c>
      <c r="I133" s="310">
        <f>'d3'!I133-d3П!I130</f>
        <v>0</v>
      </c>
      <c r="J133" s="310">
        <f>'d3'!J133-d3П!J130</f>
        <v>0</v>
      </c>
      <c r="K133" s="310">
        <f>'d3'!K133-d3П!K130</f>
        <v>0</v>
      </c>
      <c r="L133" s="310">
        <f>'d3'!L133-d3П!L130</f>
        <v>0</v>
      </c>
      <c r="M133" s="310">
        <f>'d3'!M133-d3П!M130</f>
        <v>0</v>
      </c>
      <c r="N133" s="310">
        <f>'d3'!N133-d3П!N130</f>
        <v>0</v>
      </c>
      <c r="O133" s="310">
        <f>'d3'!O133-d3П!O130</f>
        <v>0</v>
      </c>
      <c r="P133" s="310">
        <f>'d3'!P133-d3П!P130</f>
        <v>0</v>
      </c>
      <c r="Q133" s="530"/>
      <c r="R133" s="531"/>
    </row>
    <row r="134" spans="1:18" s="532" customFormat="1" ht="79.5" customHeight="1" thickTop="1" thickBot="1" x14ac:dyDescent="0.25">
      <c r="A134" s="101" t="s">
        <v>1661</v>
      </c>
      <c r="B134" s="101" t="s">
        <v>1662</v>
      </c>
      <c r="C134" s="101" t="s">
        <v>229</v>
      </c>
      <c r="D134" s="101" t="s">
        <v>1660</v>
      </c>
      <c r="E134" s="310">
        <f>'d3'!E134-d3П!E131</f>
        <v>0</v>
      </c>
      <c r="F134" s="310">
        <f>'d3'!F134-d3П!F131</f>
        <v>0</v>
      </c>
      <c r="G134" s="310">
        <f>'d3'!G134-d3П!G131</f>
        <v>0</v>
      </c>
      <c r="H134" s="310">
        <f>'d3'!H134-d3П!H131</f>
        <v>0</v>
      </c>
      <c r="I134" s="310">
        <f>'d3'!I134-d3П!I131</f>
        <v>0</v>
      </c>
      <c r="J134" s="310">
        <f>'d3'!J134-d3П!J131</f>
        <v>0</v>
      </c>
      <c r="K134" s="310">
        <f>'d3'!K134-d3П!K131</f>
        <v>0</v>
      </c>
      <c r="L134" s="310">
        <f>'d3'!L134-d3П!L131</f>
        <v>0</v>
      </c>
      <c r="M134" s="310">
        <f>'d3'!M134-d3П!M131</f>
        <v>0</v>
      </c>
      <c r="N134" s="310">
        <f>'d3'!N134-d3П!N131</f>
        <v>0</v>
      </c>
      <c r="O134" s="310">
        <f>'d3'!O134-d3П!O131</f>
        <v>0</v>
      </c>
      <c r="P134" s="310">
        <f>'d3'!P134-d3П!P131</f>
        <v>0</v>
      </c>
      <c r="Q134" s="530"/>
      <c r="R134" s="531"/>
    </row>
    <row r="135" spans="1:18" s="33" customFormat="1" ht="72" customHeight="1" thickTop="1" thickBot="1" x14ac:dyDescent="0.25">
      <c r="A135" s="298" t="s">
        <v>1157</v>
      </c>
      <c r="B135" s="298" t="s">
        <v>698</v>
      </c>
      <c r="C135" s="298"/>
      <c r="D135" s="298" t="s">
        <v>699</v>
      </c>
      <c r="E135" s="310">
        <f>'d3'!E135-d3П!E132</f>
        <v>0</v>
      </c>
      <c r="F135" s="310">
        <f>'d3'!F135-d3П!F132</f>
        <v>0</v>
      </c>
      <c r="G135" s="310">
        <f>'d3'!G135-d3П!G132</f>
        <v>0</v>
      </c>
      <c r="H135" s="310">
        <f>'d3'!H135-d3П!H132</f>
        <v>0</v>
      </c>
      <c r="I135" s="310">
        <f>'d3'!I135-d3П!I132</f>
        <v>0</v>
      </c>
      <c r="J135" s="310">
        <f>'d3'!J135-d3П!J132</f>
        <v>0</v>
      </c>
      <c r="K135" s="310">
        <f>'d3'!K135-d3П!K132</f>
        <v>0</v>
      </c>
      <c r="L135" s="310">
        <f>'d3'!L135-d3П!L132</f>
        <v>0</v>
      </c>
      <c r="M135" s="310">
        <f>'d3'!M135-d3П!M132</f>
        <v>0</v>
      </c>
      <c r="N135" s="310">
        <f>'d3'!N135-d3П!N132</f>
        <v>0</v>
      </c>
      <c r="O135" s="310">
        <f>'d3'!O135-d3П!O132</f>
        <v>0</v>
      </c>
      <c r="P135" s="310">
        <f>'d3'!P135-d3П!P132</f>
        <v>0</v>
      </c>
      <c r="Q135" s="36"/>
      <c r="R135" s="39"/>
    </row>
    <row r="136" spans="1:18" s="33" customFormat="1" ht="72.75" customHeight="1" thickTop="1" thickBot="1" x14ac:dyDescent="0.25">
      <c r="A136" s="598" t="s">
        <v>1700</v>
      </c>
      <c r="B136" s="598" t="s">
        <v>723</v>
      </c>
      <c r="C136" s="598"/>
      <c r="D136" s="598" t="s">
        <v>724</v>
      </c>
      <c r="E136" s="310">
        <f>'d3'!E136-d3П!E133</f>
        <v>0</v>
      </c>
      <c r="F136" s="310">
        <f>'d3'!F136-d3П!F133</f>
        <v>0</v>
      </c>
      <c r="G136" s="310">
        <f>'d3'!G136-d3П!G133</f>
        <v>0</v>
      </c>
      <c r="H136" s="310">
        <f>'d3'!H136-d3П!H133</f>
        <v>0</v>
      </c>
      <c r="I136" s="310">
        <f>'d3'!I136-d3П!I133</f>
        <v>0</v>
      </c>
      <c r="J136" s="310">
        <f>'d3'!J136-d3П!J133</f>
        <v>0</v>
      </c>
      <c r="K136" s="310">
        <f>'d3'!K136-d3П!K133</f>
        <v>0</v>
      </c>
      <c r="L136" s="310">
        <f>'d3'!L136-d3П!L133</f>
        <v>0</v>
      </c>
      <c r="M136" s="310">
        <f>'d3'!M136-d3П!M133</f>
        <v>0</v>
      </c>
      <c r="N136" s="310">
        <f>'d3'!N136-d3П!N133</f>
        <v>0</v>
      </c>
      <c r="O136" s="310">
        <f>'d3'!O136-d3П!O133</f>
        <v>0</v>
      </c>
      <c r="P136" s="310">
        <f>'d3'!P136-d3П!P133</f>
        <v>0</v>
      </c>
      <c r="Q136" s="36"/>
      <c r="R136" s="39"/>
    </row>
    <row r="137" spans="1:18" s="33" customFormat="1" ht="170.45" customHeight="1" thickTop="1" thickBot="1" x14ac:dyDescent="0.25">
      <c r="A137" s="101" t="s">
        <v>1701</v>
      </c>
      <c r="B137" s="101" t="s">
        <v>1644</v>
      </c>
      <c r="C137" s="101" t="s">
        <v>204</v>
      </c>
      <c r="D137" s="600" t="s">
        <v>1645</v>
      </c>
      <c r="E137" s="310">
        <f>'d3'!E137-d3П!E134</f>
        <v>0</v>
      </c>
      <c r="F137" s="310">
        <f>'d3'!F137-d3П!F134</f>
        <v>0</v>
      </c>
      <c r="G137" s="310">
        <f>'d3'!G137-d3П!G134</f>
        <v>0</v>
      </c>
      <c r="H137" s="310">
        <f>'d3'!H137-d3П!H134</f>
        <v>0</v>
      </c>
      <c r="I137" s="310">
        <f>'d3'!I137-d3П!I134</f>
        <v>0</v>
      </c>
      <c r="J137" s="310">
        <f>'d3'!J137-d3П!J134</f>
        <v>0</v>
      </c>
      <c r="K137" s="310">
        <f>'d3'!K137-d3П!K134</f>
        <v>0</v>
      </c>
      <c r="L137" s="310">
        <f>'d3'!L137-d3П!L134</f>
        <v>0</v>
      </c>
      <c r="M137" s="310">
        <f>'d3'!M137-d3П!M134</f>
        <v>0</v>
      </c>
      <c r="N137" s="310">
        <f>'d3'!N137-d3П!N134</f>
        <v>0</v>
      </c>
      <c r="O137" s="310">
        <f>'d3'!O137-d3П!O134</f>
        <v>0</v>
      </c>
      <c r="P137" s="310">
        <f>'d3'!P137-d3П!P134</f>
        <v>0</v>
      </c>
      <c r="Q137" s="36"/>
      <c r="R137" s="39"/>
    </row>
    <row r="138" spans="1:18" s="33" customFormat="1" ht="143.44999999999999" customHeight="1" thickTop="1" thickBot="1" x14ac:dyDescent="0.25">
      <c r="A138" s="101" t="s">
        <v>1158</v>
      </c>
      <c r="B138" s="101" t="s">
        <v>1159</v>
      </c>
      <c r="C138" s="101" t="s">
        <v>205</v>
      </c>
      <c r="D138" s="600" t="s">
        <v>1160</v>
      </c>
      <c r="E138" s="310">
        <f>'d3'!E138-d3П!E135</f>
        <v>0</v>
      </c>
      <c r="F138" s="310">
        <f>'d3'!F138-d3П!F135</f>
        <v>0</v>
      </c>
      <c r="G138" s="310">
        <f>'d3'!G138-d3П!G135</f>
        <v>0</v>
      </c>
      <c r="H138" s="310">
        <f>'d3'!H138-d3П!H135</f>
        <v>0</v>
      </c>
      <c r="I138" s="310">
        <f>'d3'!I138-d3П!I135</f>
        <v>0</v>
      </c>
      <c r="J138" s="310">
        <f>'d3'!J138-d3П!J135</f>
        <v>0</v>
      </c>
      <c r="K138" s="310">
        <f>'d3'!K138-d3П!K135</f>
        <v>0</v>
      </c>
      <c r="L138" s="310">
        <f>'d3'!L138-d3П!L135</f>
        <v>0</v>
      </c>
      <c r="M138" s="310">
        <f>'d3'!M138-d3П!M135</f>
        <v>0</v>
      </c>
      <c r="N138" s="310">
        <f>'d3'!N138-d3П!N135</f>
        <v>0</v>
      </c>
      <c r="O138" s="310">
        <f>'d3'!O138-d3П!O135</f>
        <v>0</v>
      </c>
      <c r="P138" s="310">
        <f>'d3'!P138-d3П!P135</f>
        <v>0</v>
      </c>
      <c r="Q138" s="36"/>
      <c r="R138" s="39"/>
    </row>
    <row r="139" spans="1:18" s="33" customFormat="1" ht="100.5" customHeight="1" thickTop="1" thickBot="1" x14ac:dyDescent="0.25">
      <c r="A139" s="298" t="s">
        <v>1665</v>
      </c>
      <c r="B139" s="298" t="s">
        <v>735</v>
      </c>
      <c r="C139" s="298"/>
      <c r="D139" s="298" t="s">
        <v>780</v>
      </c>
      <c r="E139" s="310">
        <f>'d3'!E139-d3П!E136</f>
        <v>0</v>
      </c>
      <c r="F139" s="310">
        <f>'d3'!F139-d3П!F136</f>
        <v>0</v>
      </c>
      <c r="G139" s="310">
        <f>'d3'!G139-d3П!G136</f>
        <v>0</v>
      </c>
      <c r="H139" s="310">
        <f>'d3'!H139-d3П!H136</f>
        <v>0</v>
      </c>
      <c r="I139" s="310">
        <f>'d3'!I139-d3П!I136</f>
        <v>0</v>
      </c>
      <c r="J139" s="310">
        <f>'d3'!J139-d3П!J136</f>
        <v>0</v>
      </c>
      <c r="K139" s="310">
        <f>'d3'!K139-d3П!K136</f>
        <v>0</v>
      </c>
      <c r="L139" s="310">
        <f>'d3'!L139-d3П!L136</f>
        <v>0</v>
      </c>
      <c r="M139" s="310">
        <f>'d3'!M139-d3П!M136</f>
        <v>0</v>
      </c>
      <c r="N139" s="310">
        <f>'d3'!N139-d3П!N136</f>
        <v>0</v>
      </c>
      <c r="O139" s="310">
        <f>'d3'!O139-d3П!O136</f>
        <v>0</v>
      </c>
      <c r="P139" s="310">
        <f>'d3'!P139-d3П!P136</f>
        <v>0</v>
      </c>
      <c r="Q139" s="36"/>
      <c r="R139" s="39"/>
    </row>
    <row r="140" spans="1:18" s="33" customFormat="1" ht="48" hidden="1" thickTop="1" thickBot="1" x14ac:dyDescent="0.25">
      <c r="A140" s="142" t="s">
        <v>1020</v>
      </c>
      <c r="B140" s="142" t="s">
        <v>1019</v>
      </c>
      <c r="C140" s="142"/>
      <c r="D140" s="142" t="s">
        <v>1018</v>
      </c>
      <c r="E140" s="143"/>
      <c r="F140" s="143"/>
      <c r="G140" s="143"/>
      <c r="H140" s="143"/>
      <c r="I140" s="143"/>
      <c r="J140" s="143"/>
      <c r="K140" s="143"/>
      <c r="L140" s="143"/>
      <c r="M140" s="143"/>
      <c r="N140" s="143"/>
      <c r="O140" s="143"/>
      <c r="P140" s="143"/>
      <c r="Q140" s="36"/>
      <c r="R140" s="39"/>
    </row>
    <row r="141" spans="1:18" s="33" customFormat="1" ht="93" hidden="1" thickTop="1" thickBot="1" x14ac:dyDescent="0.25">
      <c r="A141" s="41" t="s">
        <v>1021</v>
      </c>
      <c r="B141" s="41" t="s">
        <v>1022</v>
      </c>
      <c r="C141" s="41" t="s">
        <v>169</v>
      </c>
      <c r="D141" s="41" t="s">
        <v>1023</v>
      </c>
      <c r="E141" s="42"/>
      <c r="F141" s="43"/>
      <c r="G141" s="43"/>
      <c r="H141" s="43"/>
      <c r="I141" s="43"/>
      <c r="J141" s="42"/>
      <c r="K141" s="43"/>
      <c r="L141" s="43"/>
      <c r="M141" s="43"/>
      <c r="N141" s="43"/>
      <c r="O141" s="44"/>
      <c r="P141" s="42"/>
      <c r="Q141" s="36"/>
      <c r="R141" s="26"/>
    </row>
    <row r="142" spans="1:18" s="28" customFormat="1" ht="84.75" customHeight="1" thickTop="1" thickBot="1" x14ac:dyDescent="0.25">
      <c r="A142" s="593" t="s">
        <v>713</v>
      </c>
      <c r="B142" s="593" t="s">
        <v>679</v>
      </c>
      <c r="C142" s="593"/>
      <c r="D142" s="593" t="s">
        <v>677</v>
      </c>
      <c r="E142" s="310">
        <f>'d3'!E142-d3П!E139</f>
        <v>0</v>
      </c>
      <c r="F142" s="310">
        <f>'d3'!F142-d3П!F139</f>
        <v>0</v>
      </c>
      <c r="G142" s="310">
        <f>'d3'!G142-d3П!G139</f>
        <v>0</v>
      </c>
      <c r="H142" s="310">
        <f>'d3'!H142-d3П!H139</f>
        <v>0</v>
      </c>
      <c r="I142" s="310">
        <f>'d3'!I142-d3П!I139</f>
        <v>0</v>
      </c>
      <c r="J142" s="310">
        <f>'d3'!J142-d3П!J139</f>
        <v>0</v>
      </c>
      <c r="K142" s="310">
        <f>'d3'!K142-d3П!K139</f>
        <v>0</v>
      </c>
      <c r="L142" s="310">
        <f>'d3'!L142-d3П!L139</f>
        <v>0</v>
      </c>
      <c r="M142" s="310">
        <f>'d3'!M142-d3П!M139</f>
        <v>0</v>
      </c>
      <c r="N142" s="310">
        <f>'d3'!N142-d3П!N139</f>
        <v>0</v>
      </c>
      <c r="O142" s="310">
        <f>'d3'!O142-d3П!O139</f>
        <v>0</v>
      </c>
      <c r="P142" s="310">
        <f>'d3'!P142-d3П!P139</f>
        <v>0</v>
      </c>
      <c r="Q142" s="147"/>
      <c r="R142" s="40"/>
    </row>
    <row r="143" spans="1:18" s="28" customFormat="1" ht="47.25" thickTop="1" thickBot="1" x14ac:dyDescent="0.25">
      <c r="A143" s="101" t="s">
        <v>1213</v>
      </c>
      <c r="B143" s="101" t="s">
        <v>211</v>
      </c>
      <c r="C143" s="101" t="s">
        <v>212</v>
      </c>
      <c r="D143" s="101" t="s">
        <v>41</v>
      </c>
      <c r="E143" s="310">
        <f>'d3'!E143-d3П!E140</f>
        <v>0</v>
      </c>
      <c r="F143" s="310">
        <f>'d3'!F143-d3П!F140</f>
        <v>0</v>
      </c>
      <c r="G143" s="310">
        <f>'d3'!G143-d3П!G140</f>
        <v>0</v>
      </c>
      <c r="H143" s="310">
        <f>'d3'!H143-d3П!H140</f>
        <v>0</v>
      </c>
      <c r="I143" s="310">
        <f>'d3'!I143-d3П!I140</f>
        <v>0</v>
      </c>
      <c r="J143" s="310">
        <f>'d3'!J143-d3П!J140</f>
        <v>0</v>
      </c>
      <c r="K143" s="310">
        <f>'d3'!K143-d3П!K140</f>
        <v>0</v>
      </c>
      <c r="L143" s="310">
        <f>'d3'!L143-d3П!L140</f>
        <v>0</v>
      </c>
      <c r="M143" s="310">
        <f>'d3'!M143-d3П!M140</f>
        <v>0</v>
      </c>
      <c r="N143" s="310">
        <f>'d3'!N143-d3П!N140</f>
        <v>0</v>
      </c>
      <c r="O143" s="310">
        <f>'d3'!O143-d3П!O140</f>
        <v>0</v>
      </c>
      <c r="P143" s="310">
        <f>'d3'!P143-d3П!P140</f>
        <v>0</v>
      </c>
      <c r="Q143" s="147"/>
      <c r="R143" s="40"/>
    </row>
    <row r="144" spans="1:18" s="33" customFormat="1" ht="48" hidden="1" thickTop="1" thickBot="1" x14ac:dyDescent="0.25">
      <c r="A144" s="41" t="s">
        <v>430</v>
      </c>
      <c r="B144" s="41" t="s">
        <v>196</v>
      </c>
      <c r="C144" s="41" t="s">
        <v>169</v>
      </c>
      <c r="D144" s="41" t="s">
        <v>34</v>
      </c>
      <c r="E144" s="42"/>
      <c r="F144" s="43"/>
      <c r="G144" s="43"/>
      <c r="H144" s="43"/>
      <c r="I144" s="43"/>
      <c r="J144" s="42"/>
      <c r="K144" s="43"/>
      <c r="L144" s="43"/>
      <c r="M144" s="43"/>
      <c r="N144" s="43"/>
      <c r="O144" s="44"/>
      <c r="P144" s="42"/>
      <c r="Q144" s="36"/>
      <c r="R144" s="26"/>
    </row>
    <row r="145" spans="1:20" s="33" customFormat="1" ht="90.75" customHeight="1" thickTop="1" thickBot="1" x14ac:dyDescent="0.25">
      <c r="A145" s="728" t="s">
        <v>1740</v>
      </c>
      <c r="B145" s="728" t="s">
        <v>689</v>
      </c>
      <c r="C145" s="728"/>
      <c r="D145" s="728" t="s">
        <v>690</v>
      </c>
      <c r="E145" s="310">
        <f>'d3'!E145-0</f>
        <v>0</v>
      </c>
      <c r="F145" s="310">
        <f>'d3'!F145-0</f>
        <v>0</v>
      </c>
      <c r="G145" s="310">
        <f>'d3'!G145-0</f>
        <v>0</v>
      </c>
      <c r="H145" s="310">
        <f>'d3'!H145-0</f>
        <v>0</v>
      </c>
      <c r="I145" s="310">
        <f>'d3'!I145-0</f>
        <v>0</v>
      </c>
      <c r="J145" s="310">
        <f>'d3'!J145-0</f>
        <v>500000</v>
      </c>
      <c r="K145" s="310">
        <f>'d3'!K145-0</f>
        <v>500000</v>
      </c>
      <c r="L145" s="310">
        <f>'d3'!L145-0</f>
        <v>0</v>
      </c>
      <c r="M145" s="310">
        <f>'d3'!M145-0</f>
        <v>0</v>
      </c>
      <c r="N145" s="310">
        <f>'d3'!N145-0</f>
        <v>0</v>
      </c>
      <c r="O145" s="310">
        <f>'d3'!O145-0</f>
        <v>500000</v>
      </c>
      <c r="P145" s="310">
        <f>'d3'!P145-0</f>
        <v>500000</v>
      </c>
      <c r="Q145" s="36"/>
      <c r="R145" s="26"/>
    </row>
    <row r="146" spans="1:20" s="33" customFormat="1" ht="107.45" customHeight="1" thickTop="1" thickBot="1" x14ac:dyDescent="0.25">
      <c r="A146" s="726" t="s">
        <v>1741</v>
      </c>
      <c r="B146" s="726" t="s">
        <v>692</v>
      </c>
      <c r="C146" s="726"/>
      <c r="D146" s="726" t="s">
        <v>693</v>
      </c>
      <c r="E146" s="310">
        <f>'d3'!E146-0</f>
        <v>0</v>
      </c>
      <c r="F146" s="310">
        <f>'d3'!F146-0</f>
        <v>0</v>
      </c>
      <c r="G146" s="310">
        <f>'d3'!G146-0</f>
        <v>0</v>
      </c>
      <c r="H146" s="310">
        <f>'d3'!H146-0</f>
        <v>0</v>
      </c>
      <c r="I146" s="310">
        <f>'d3'!I146-0</f>
        <v>0</v>
      </c>
      <c r="J146" s="310">
        <f>'d3'!J146-0</f>
        <v>500000</v>
      </c>
      <c r="K146" s="310">
        <f>'d3'!K146-0</f>
        <v>500000</v>
      </c>
      <c r="L146" s="310">
        <f>'d3'!L146-0</f>
        <v>0</v>
      </c>
      <c r="M146" s="310">
        <f>'d3'!M146-0</f>
        <v>0</v>
      </c>
      <c r="N146" s="310">
        <f>'d3'!N146-0</f>
        <v>0</v>
      </c>
      <c r="O146" s="310">
        <f>'d3'!O146-0</f>
        <v>500000</v>
      </c>
      <c r="P146" s="310">
        <f>'d3'!P146-0</f>
        <v>500000</v>
      </c>
      <c r="Q146" s="36"/>
      <c r="R146" s="26"/>
    </row>
    <row r="147" spans="1:20" s="33" customFormat="1" ht="98.45" customHeight="1" thickTop="1" thickBot="1" x14ac:dyDescent="0.25">
      <c r="A147" s="727" t="s">
        <v>504</v>
      </c>
      <c r="B147" s="727" t="s">
        <v>359</v>
      </c>
      <c r="C147" s="727" t="s">
        <v>43</v>
      </c>
      <c r="D147" s="727" t="s">
        <v>360</v>
      </c>
      <c r="E147" s="310">
        <f>'d3'!E147-0</f>
        <v>0</v>
      </c>
      <c r="F147" s="310">
        <f>'d3'!F147-0</f>
        <v>0</v>
      </c>
      <c r="G147" s="310">
        <f>'d3'!G147-0</f>
        <v>0</v>
      </c>
      <c r="H147" s="310">
        <f>'d3'!H147-0</f>
        <v>0</v>
      </c>
      <c r="I147" s="310">
        <f>'d3'!I147-0</f>
        <v>0</v>
      </c>
      <c r="J147" s="310">
        <f>'d3'!J147-0</f>
        <v>500000</v>
      </c>
      <c r="K147" s="310">
        <f>'d3'!K147-0</f>
        <v>500000</v>
      </c>
      <c r="L147" s="310">
        <f>'d3'!L147-0</f>
        <v>0</v>
      </c>
      <c r="M147" s="310">
        <f>'d3'!M147-0</f>
        <v>0</v>
      </c>
      <c r="N147" s="310">
        <f>'d3'!N147-0</f>
        <v>0</v>
      </c>
      <c r="O147" s="310">
        <f>'d3'!O147-0</f>
        <v>500000</v>
      </c>
      <c r="P147" s="310">
        <f>'d3'!P147-0</f>
        <v>500000</v>
      </c>
      <c r="Q147" s="36"/>
      <c r="R147" s="30"/>
    </row>
    <row r="148" spans="1:20" ht="91.5" thickTop="1" thickBot="1" x14ac:dyDescent="0.25">
      <c r="A148" s="624" t="s">
        <v>155</v>
      </c>
      <c r="B148" s="624"/>
      <c r="C148" s="624"/>
      <c r="D148" s="625" t="s">
        <v>37</v>
      </c>
      <c r="E148" s="626">
        <f>E149</f>
        <v>69381576</v>
      </c>
      <c r="F148" s="627">
        <f t="shared" ref="F148:G148" si="13">F149</f>
        <v>69381576</v>
      </c>
      <c r="G148" s="627">
        <f t="shared" si="13"/>
        <v>4361900</v>
      </c>
      <c r="H148" s="627">
        <f>H149</f>
        <v>338476</v>
      </c>
      <c r="I148" s="627">
        <f t="shared" ref="I148" si="14">I149</f>
        <v>0</v>
      </c>
      <c r="J148" s="626">
        <f>J149</f>
        <v>26531598</v>
      </c>
      <c r="K148" s="627">
        <f>K149</f>
        <v>26531598</v>
      </c>
      <c r="L148" s="627">
        <f>L149</f>
        <v>0</v>
      </c>
      <c r="M148" s="627">
        <f t="shared" ref="M148" si="15">M149</f>
        <v>0</v>
      </c>
      <c r="N148" s="627">
        <f>N149</f>
        <v>0</v>
      </c>
      <c r="O148" s="626">
        <f>O149</f>
        <v>26531598</v>
      </c>
      <c r="P148" s="627">
        <f>P149</f>
        <v>95913174</v>
      </c>
      <c r="Q148" s="20"/>
    </row>
    <row r="149" spans="1:20" ht="120" customHeight="1" thickTop="1" thickBot="1" x14ac:dyDescent="0.25">
      <c r="A149" s="588" t="s">
        <v>156</v>
      </c>
      <c r="B149" s="588"/>
      <c r="C149" s="588"/>
      <c r="D149" s="589" t="s">
        <v>38</v>
      </c>
      <c r="E149" s="590">
        <f>E150+E154+E200+E204</f>
        <v>69381576</v>
      </c>
      <c r="F149" s="590">
        <f>F150+F154+F200+F204</f>
        <v>69381576</v>
      </c>
      <c r="G149" s="590">
        <f>G150+G154+G200+G204</f>
        <v>4361900</v>
      </c>
      <c r="H149" s="590">
        <f>H150+H154+H200+H204</f>
        <v>338476</v>
      </c>
      <c r="I149" s="590">
        <f>I150+I154+I200+I204</f>
        <v>0</v>
      </c>
      <c r="J149" s="590">
        <f t="shared" ref="J149" si="16">L149+O149</f>
        <v>26531598</v>
      </c>
      <c r="K149" s="590">
        <f>K150+K154+K200+K204</f>
        <v>26531598</v>
      </c>
      <c r="L149" s="590">
        <f>L150+L154+L200+L204</f>
        <v>0</v>
      </c>
      <c r="M149" s="590">
        <f>M150+M154+M200+M204</f>
        <v>0</v>
      </c>
      <c r="N149" s="590">
        <f>N150+N154+N200+N204</f>
        <v>0</v>
      </c>
      <c r="O149" s="590">
        <f>O150+O154+O200+O204</f>
        <v>26531598</v>
      </c>
      <c r="P149" s="590">
        <f>E149+J149</f>
        <v>95913174</v>
      </c>
      <c r="Q149" s="452" t="b">
        <f>P149=P151+P153+P156+P157+P158+P159+P160+P161+P162+P163+P165+P166+P170+P171+P172+P174+P175+P177+P178+P194+P196+P197+P199+P202+P168+P192+P198</f>
        <v>1</v>
      </c>
      <c r="R149" s="46"/>
      <c r="S149" s="46"/>
      <c r="T149" s="45"/>
    </row>
    <row r="150" spans="1:20" ht="47.25" thickTop="1" thickBot="1" x14ac:dyDescent="0.25">
      <c r="A150" s="298" t="s">
        <v>714</v>
      </c>
      <c r="B150" s="298" t="s">
        <v>672</v>
      </c>
      <c r="C150" s="298"/>
      <c r="D150" s="298" t="s">
        <v>673</v>
      </c>
      <c r="E150" s="310">
        <f>'d3'!E150-d3П!E145</f>
        <v>3554715</v>
      </c>
      <c r="F150" s="310">
        <f>'d3'!F150-d3П!F145</f>
        <v>3554715</v>
      </c>
      <c r="G150" s="310">
        <f>'d3'!G150-d3П!G145</f>
        <v>2913700</v>
      </c>
      <c r="H150" s="310">
        <f>'d3'!H150-d3П!H145</f>
        <v>0</v>
      </c>
      <c r="I150" s="310">
        <f>'d3'!I150-d3П!I145</f>
        <v>0</v>
      </c>
      <c r="J150" s="310">
        <f>'d3'!J150-d3П!J145</f>
        <v>0</v>
      </c>
      <c r="K150" s="310">
        <f>'d3'!K150-d3П!K145</f>
        <v>0</v>
      </c>
      <c r="L150" s="310">
        <f>'d3'!L150-d3П!L145</f>
        <v>0</v>
      </c>
      <c r="M150" s="310">
        <f>'d3'!M150-d3П!M145</f>
        <v>0</v>
      </c>
      <c r="N150" s="310">
        <f>'d3'!N150-d3П!N145</f>
        <v>0</v>
      </c>
      <c r="O150" s="310">
        <f>'d3'!O150-d3П!O145</f>
        <v>0</v>
      </c>
      <c r="P150" s="310">
        <f>'d3'!P150-d3П!P145</f>
        <v>3554715</v>
      </c>
      <c r="Q150" s="47"/>
      <c r="R150" s="46"/>
      <c r="T150" s="45"/>
    </row>
    <row r="151" spans="1:20" ht="93" thickTop="1" thickBot="1" x14ac:dyDescent="0.25">
      <c r="A151" s="101" t="s">
        <v>410</v>
      </c>
      <c r="B151" s="101" t="s">
        <v>235</v>
      </c>
      <c r="C151" s="101" t="s">
        <v>233</v>
      </c>
      <c r="D151" s="101" t="s">
        <v>234</v>
      </c>
      <c r="E151" s="310">
        <f>'d3'!E151-d3П!E146</f>
        <v>3554715</v>
      </c>
      <c r="F151" s="310">
        <f>'d3'!F151-d3П!F146</f>
        <v>3554715</v>
      </c>
      <c r="G151" s="310">
        <f>'d3'!G151-d3П!G146</f>
        <v>2913700</v>
      </c>
      <c r="H151" s="310">
        <f>'d3'!H151-d3П!H146</f>
        <v>0</v>
      </c>
      <c r="I151" s="310">
        <f>'d3'!I151-d3П!I146</f>
        <v>0</v>
      </c>
      <c r="J151" s="310">
        <f>'d3'!J151-d3П!J146</f>
        <v>0</v>
      </c>
      <c r="K151" s="310">
        <f>'d3'!K151-d3П!K146</f>
        <v>0</v>
      </c>
      <c r="L151" s="310">
        <f>'d3'!L151-d3П!L146</f>
        <v>0</v>
      </c>
      <c r="M151" s="310">
        <f>'d3'!M151-d3П!M146</f>
        <v>0</v>
      </c>
      <c r="N151" s="310">
        <f>'d3'!N151-d3П!N146</f>
        <v>0</v>
      </c>
      <c r="O151" s="310">
        <f>'d3'!O151-d3П!O146</f>
        <v>0</v>
      </c>
      <c r="P151" s="310">
        <f>'d3'!P151-d3П!P146</f>
        <v>3554715</v>
      </c>
      <c r="Q151" s="47"/>
      <c r="R151" s="46"/>
      <c r="T151" s="45"/>
    </row>
    <row r="152" spans="1:20" ht="93" hidden="1" thickTop="1" thickBot="1" x14ac:dyDescent="0.25">
      <c r="A152" s="126" t="s">
        <v>619</v>
      </c>
      <c r="B152" s="126" t="s">
        <v>358</v>
      </c>
      <c r="C152" s="126" t="s">
        <v>616</v>
      </c>
      <c r="D152" s="126" t="s">
        <v>617</v>
      </c>
      <c r="E152" s="310">
        <f>'d3'!E152-d3П!E147</f>
        <v>0</v>
      </c>
      <c r="F152" s="310">
        <f>'d3'!F152-d3П!F147</f>
        <v>0</v>
      </c>
      <c r="G152" s="310">
        <f>'d3'!G152-d3П!G147</f>
        <v>0</v>
      </c>
      <c r="H152" s="310">
        <f>'d3'!H152-d3П!H147</f>
        <v>0</v>
      </c>
      <c r="I152" s="310">
        <f>'d3'!I152-d3П!I147</f>
        <v>0</v>
      </c>
      <c r="J152" s="310">
        <f>'d3'!J152-d3П!J147</f>
        <v>0</v>
      </c>
      <c r="K152" s="310">
        <f>'d3'!K152-d3П!K147</f>
        <v>0</v>
      </c>
      <c r="L152" s="310">
        <f>'d3'!L152-d3П!L147</f>
        <v>0</v>
      </c>
      <c r="M152" s="310">
        <f>'d3'!M152-d3П!M147</f>
        <v>0</v>
      </c>
      <c r="N152" s="310">
        <f>'d3'!N152-d3П!N147</f>
        <v>0</v>
      </c>
      <c r="O152" s="310">
        <f>'d3'!O152-d3П!O147</f>
        <v>0</v>
      </c>
      <c r="P152" s="310">
        <f>'d3'!P152-d3П!P147</f>
        <v>0</v>
      </c>
      <c r="Q152" s="47"/>
      <c r="R152" s="46"/>
      <c r="T152" s="45"/>
    </row>
    <row r="153" spans="1:20" ht="47.25" thickTop="1" thickBot="1" x14ac:dyDescent="0.25">
      <c r="A153" s="101" t="s">
        <v>901</v>
      </c>
      <c r="B153" s="101" t="s">
        <v>43</v>
      </c>
      <c r="C153" s="101" t="s">
        <v>42</v>
      </c>
      <c r="D153" s="101" t="s">
        <v>246</v>
      </c>
      <c r="E153" s="310">
        <f>'d3'!E153-d3П!E148</f>
        <v>0</v>
      </c>
      <c r="F153" s="310">
        <f>'d3'!F153-d3П!F148</f>
        <v>0</v>
      </c>
      <c r="G153" s="310">
        <f>'d3'!G153-d3П!G148</f>
        <v>0</v>
      </c>
      <c r="H153" s="310">
        <f>'d3'!H153-d3П!H148</f>
        <v>0</v>
      </c>
      <c r="I153" s="310">
        <f>'d3'!I153-d3П!I148</f>
        <v>0</v>
      </c>
      <c r="J153" s="310">
        <f>'d3'!J153-d3П!J148</f>
        <v>0</v>
      </c>
      <c r="K153" s="310">
        <f>'d3'!K153-d3П!K148</f>
        <v>0</v>
      </c>
      <c r="L153" s="310">
        <f>'d3'!L153-d3П!L148</f>
        <v>0</v>
      </c>
      <c r="M153" s="310">
        <f>'d3'!M153-d3П!M148</f>
        <v>0</v>
      </c>
      <c r="N153" s="310">
        <f>'d3'!N153-d3П!N148</f>
        <v>0</v>
      </c>
      <c r="O153" s="310">
        <f>'d3'!O153-d3П!O148</f>
        <v>0</v>
      </c>
      <c r="P153" s="310">
        <f>'d3'!P153-d3П!P148</f>
        <v>0</v>
      </c>
      <c r="Q153" s="47"/>
      <c r="R153" s="46"/>
      <c r="T153" s="45"/>
    </row>
    <row r="154" spans="1:20" ht="47.25" thickTop="1" thickBot="1" x14ac:dyDescent="0.25">
      <c r="A154" s="298" t="s">
        <v>715</v>
      </c>
      <c r="B154" s="298" t="s">
        <v>698</v>
      </c>
      <c r="C154" s="298"/>
      <c r="D154" s="298" t="s">
        <v>699</v>
      </c>
      <c r="E154" s="310">
        <f>'d3'!E154-d3П!E149</f>
        <v>65826861</v>
      </c>
      <c r="F154" s="310">
        <f>'d3'!F154-d3П!F149</f>
        <v>65826861</v>
      </c>
      <c r="G154" s="310">
        <f>'d3'!G154-d3П!G149</f>
        <v>1448200</v>
      </c>
      <c r="H154" s="310">
        <f>'d3'!H154-d3П!H149</f>
        <v>338476</v>
      </c>
      <c r="I154" s="310">
        <f>'d3'!I154-d3П!I149</f>
        <v>0</v>
      </c>
      <c r="J154" s="310">
        <f>'d3'!J154-d3П!J149</f>
        <v>5761598</v>
      </c>
      <c r="K154" s="310">
        <f>'d3'!K154-d3П!K149</f>
        <v>5761598</v>
      </c>
      <c r="L154" s="310">
        <f>'d3'!L154-d3П!L149</f>
        <v>0</v>
      </c>
      <c r="M154" s="310">
        <f>'d3'!M154-d3П!M149</f>
        <v>0</v>
      </c>
      <c r="N154" s="310">
        <f>'d3'!N154-d3П!N149</f>
        <v>0</v>
      </c>
      <c r="O154" s="310">
        <f>'d3'!O154-d3П!O149</f>
        <v>5761598</v>
      </c>
      <c r="P154" s="310">
        <f>'d3'!P154-d3П!P149</f>
        <v>71588458.99999994</v>
      </c>
      <c r="Q154" s="47"/>
      <c r="R154" s="46"/>
      <c r="T154" s="45"/>
    </row>
    <row r="155" spans="1:20" ht="138.75" thickTop="1" thickBot="1" x14ac:dyDescent="0.25">
      <c r="A155" s="598" t="s">
        <v>716</v>
      </c>
      <c r="B155" s="598" t="s">
        <v>717</v>
      </c>
      <c r="C155" s="598"/>
      <c r="D155" s="598" t="s">
        <v>718</v>
      </c>
      <c r="E155" s="310">
        <f>'d3'!E155-d3П!E150</f>
        <v>16476300</v>
      </c>
      <c r="F155" s="310">
        <f>'d3'!F155-d3П!F150</f>
        <v>16476300</v>
      </c>
      <c r="G155" s="310">
        <f>'d3'!G155-d3П!G150</f>
        <v>0</v>
      </c>
      <c r="H155" s="310">
        <f>'d3'!H155-d3П!H150</f>
        <v>0</v>
      </c>
      <c r="I155" s="310">
        <f>'d3'!I155-d3П!I150</f>
        <v>0</v>
      </c>
      <c r="J155" s="310">
        <f>'d3'!J155-d3П!J150</f>
        <v>0</v>
      </c>
      <c r="K155" s="310">
        <f>'d3'!K155-d3П!K150</f>
        <v>0</v>
      </c>
      <c r="L155" s="310">
        <f>'d3'!L155-d3П!L150</f>
        <v>0</v>
      </c>
      <c r="M155" s="310">
        <f>'d3'!M155-d3П!M150</f>
        <v>0</v>
      </c>
      <c r="N155" s="310">
        <f>'d3'!N155-d3П!N150</f>
        <v>0</v>
      </c>
      <c r="O155" s="310">
        <f>'d3'!O155-d3П!O150</f>
        <v>0</v>
      </c>
      <c r="P155" s="310">
        <f>'d3'!P155-d3П!P150</f>
        <v>16476300</v>
      </c>
      <c r="Q155" s="148"/>
      <c r="R155" s="48"/>
      <c r="T155" s="49"/>
    </row>
    <row r="156" spans="1:20" s="33" customFormat="1" ht="93" thickTop="1" thickBot="1" x14ac:dyDescent="0.25">
      <c r="A156" s="101" t="s">
        <v>267</v>
      </c>
      <c r="B156" s="101" t="s">
        <v>268</v>
      </c>
      <c r="C156" s="101" t="s">
        <v>204</v>
      </c>
      <c r="D156" s="311" t="s">
        <v>269</v>
      </c>
      <c r="E156" s="310">
        <f>'d3'!E156-d3П!E151</f>
        <v>0</v>
      </c>
      <c r="F156" s="310">
        <f>'d3'!F156-d3П!F151</f>
        <v>0</v>
      </c>
      <c r="G156" s="310">
        <f>'d3'!G156-d3П!G151</f>
        <v>0</v>
      </c>
      <c r="H156" s="310">
        <f>'d3'!H156-d3П!H151</f>
        <v>0</v>
      </c>
      <c r="I156" s="310">
        <f>'d3'!I156-d3П!I151</f>
        <v>0</v>
      </c>
      <c r="J156" s="310">
        <f>'d3'!J156-d3П!J151</f>
        <v>0</v>
      </c>
      <c r="K156" s="310">
        <f>'d3'!K156-d3П!K151</f>
        <v>0</v>
      </c>
      <c r="L156" s="310">
        <f>'d3'!L156-d3П!L151</f>
        <v>0</v>
      </c>
      <c r="M156" s="310">
        <f>'d3'!M156-d3П!M151</f>
        <v>0</v>
      </c>
      <c r="N156" s="310">
        <f>'d3'!N156-d3П!N151</f>
        <v>0</v>
      </c>
      <c r="O156" s="310">
        <f>'d3'!O156-d3П!O151</f>
        <v>0</v>
      </c>
      <c r="P156" s="310">
        <f>'d3'!P156-d3П!P151</f>
        <v>0</v>
      </c>
      <c r="Q156" s="36"/>
      <c r="R156" s="46"/>
    </row>
    <row r="157" spans="1:20" s="33" customFormat="1" ht="47.25" thickTop="1" thickBot="1" x14ac:dyDescent="0.25">
      <c r="A157" s="101" t="s">
        <v>270</v>
      </c>
      <c r="B157" s="101" t="s">
        <v>271</v>
      </c>
      <c r="C157" s="101" t="s">
        <v>205</v>
      </c>
      <c r="D157" s="101" t="s">
        <v>6</v>
      </c>
      <c r="E157" s="310">
        <f>'d3'!E157-d3П!E152</f>
        <v>0</v>
      </c>
      <c r="F157" s="310">
        <f>'d3'!F157-d3П!F152</f>
        <v>0</v>
      </c>
      <c r="G157" s="310">
        <f>'d3'!G157-d3П!G152</f>
        <v>0</v>
      </c>
      <c r="H157" s="310">
        <f>'d3'!H157-d3П!H152</f>
        <v>0</v>
      </c>
      <c r="I157" s="310">
        <f>'d3'!I157-d3П!I152</f>
        <v>0</v>
      </c>
      <c r="J157" s="310">
        <f>'d3'!J157-d3П!J152</f>
        <v>0</v>
      </c>
      <c r="K157" s="310">
        <f>'d3'!K157-d3П!K152</f>
        <v>0</v>
      </c>
      <c r="L157" s="310">
        <f>'d3'!L157-d3П!L152</f>
        <v>0</v>
      </c>
      <c r="M157" s="310">
        <f>'d3'!M157-d3П!M152</f>
        <v>0</v>
      </c>
      <c r="N157" s="310">
        <f>'d3'!N157-d3П!N152</f>
        <v>0</v>
      </c>
      <c r="O157" s="310">
        <f>'d3'!O157-d3П!O152</f>
        <v>0</v>
      </c>
      <c r="P157" s="310">
        <f>'d3'!P157-d3П!P152</f>
        <v>0</v>
      </c>
      <c r="Q157" s="36"/>
      <c r="R157" s="50"/>
    </row>
    <row r="158" spans="1:20" s="33" customFormat="1" ht="93" thickTop="1" thickBot="1" x14ac:dyDescent="0.25">
      <c r="A158" s="101" t="s">
        <v>273</v>
      </c>
      <c r="B158" s="101" t="s">
        <v>274</v>
      </c>
      <c r="C158" s="101" t="s">
        <v>205</v>
      </c>
      <c r="D158" s="101" t="s">
        <v>7</v>
      </c>
      <c r="E158" s="310">
        <f>'d3'!E158-d3П!E153</f>
        <v>0</v>
      </c>
      <c r="F158" s="310">
        <f>'d3'!F158-d3П!F153</f>
        <v>0</v>
      </c>
      <c r="G158" s="310">
        <f>'d3'!G158-d3П!G153</f>
        <v>0</v>
      </c>
      <c r="H158" s="310">
        <f>'d3'!H158-d3П!H153</f>
        <v>0</v>
      </c>
      <c r="I158" s="310">
        <f>'d3'!I158-d3П!I153</f>
        <v>0</v>
      </c>
      <c r="J158" s="310">
        <f>'d3'!J158-d3П!J153</f>
        <v>0</v>
      </c>
      <c r="K158" s="310">
        <f>'d3'!K158-d3П!K153</f>
        <v>0</v>
      </c>
      <c r="L158" s="310">
        <f>'d3'!L158-d3П!L153</f>
        <v>0</v>
      </c>
      <c r="M158" s="310">
        <f>'d3'!M158-d3П!M153</f>
        <v>0</v>
      </c>
      <c r="N158" s="310">
        <f>'d3'!N158-d3П!N153</f>
        <v>0</v>
      </c>
      <c r="O158" s="310">
        <f>'d3'!O158-d3П!O153</f>
        <v>0</v>
      </c>
      <c r="P158" s="310">
        <f>'d3'!P158-d3П!P153</f>
        <v>0</v>
      </c>
      <c r="Q158" s="36"/>
      <c r="R158" s="50"/>
    </row>
    <row r="159" spans="1:20" s="33" customFormat="1" ht="93" thickTop="1" thickBot="1" x14ac:dyDescent="0.25">
      <c r="A159" s="101" t="s">
        <v>275</v>
      </c>
      <c r="B159" s="101" t="s">
        <v>272</v>
      </c>
      <c r="C159" s="101" t="s">
        <v>205</v>
      </c>
      <c r="D159" s="101" t="s">
        <v>8</v>
      </c>
      <c r="E159" s="310">
        <f>'d3'!E159-d3П!E154</f>
        <v>0</v>
      </c>
      <c r="F159" s="310">
        <f>'d3'!F159-d3П!F154</f>
        <v>0</v>
      </c>
      <c r="G159" s="310">
        <f>'d3'!G159-d3П!G154</f>
        <v>0</v>
      </c>
      <c r="H159" s="310">
        <f>'d3'!H159-d3П!H154</f>
        <v>0</v>
      </c>
      <c r="I159" s="310">
        <f>'d3'!I159-d3П!I154</f>
        <v>0</v>
      </c>
      <c r="J159" s="310">
        <f>'d3'!J159-d3П!J154</f>
        <v>0</v>
      </c>
      <c r="K159" s="310">
        <f>'d3'!K159-d3П!K154</f>
        <v>0</v>
      </c>
      <c r="L159" s="310">
        <f>'d3'!L159-d3П!L154</f>
        <v>0</v>
      </c>
      <c r="M159" s="310">
        <f>'d3'!M159-d3П!M154</f>
        <v>0</v>
      </c>
      <c r="N159" s="310">
        <f>'d3'!N159-d3П!N154</f>
        <v>0</v>
      </c>
      <c r="O159" s="310">
        <f>'d3'!O159-d3П!O154</f>
        <v>0</v>
      </c>
      <c r="P159" s="310">
        <f>'d3'!P159-d3П!P154</f>
        <v>0</v>
      </c>
      <c r="Q159" s="36"/>
      <c r="R159" s="50"/>
    </row>
    <row r="160" spans="1:20" s="33" customFormat="1" ht="93" thickTop="1" thickBot="1" x14ac:dyDescent="0.25">
      <c r="A160" s="101" t="s">
        <v>276</v>
      </c>
      <c r="B160" s="101" t="s">
        <v>277</v>
      </c>
      <c r="C160" s="101" t="s">
        <v>205</v>
      </c>
      <c r="D160" s="101" t="s">
        <v>9</v>
      </c>
      <c r="E160" s="310">
        <f>'d3'!E160-d3П!E155</f>
        <v>16476300</v>
      </c>
      <c r="F160" s="310">
        <f>'d3'!F160-d3П!F155</f>
        <v>16476300</v>
      </c>
      <c r="G160" s="310">
        <f>'d3'!G160-d3П!G155</f>
        <v>0</v>
      </c>
      <c r="H160" s="310">
        <f>'d3'!H160-d3П!H155</f>
        <v>0</v>
      </c>
      <c r="I160" s="310">
        <f>'d3'!I160-d3П!I155</f>
        <v>0</v>
      </c>
      <c r="J160" s="310">
        <f>'d3'!J160-d3П!J155</f>
        <v>0</v>
      </c>
      <c r="K160" s="310">
        <f>'d3'!K160-d3П!K155</f>
        <v>0</v>
      </c>
      <c r="L160" s="310">
        <f>'d3'!L160-d3П!L155</f>
        <v>0</v>
      </c>
      <c r="M160" s="310">
        <f>'d3'!M160-d3П!M155</f>
        <v>0</v>
      </c>
      <c r="N160" s="310">
        <f>'d3'!N160-d3П!N155</f>
        <v>0</v>
      </c>
      <c r="O160" s="310">
        <f>'d3'!O160-d3П!O155</f>
        <v>0</v>
      </c>
      <c r="P160" s="310">
        <f>'d3'!P160-d3П!P155</f>
        <v>16476300</v>
      </c>
      <c r="Q160" s="36"/>
      <c r="R160" s="50"/>
    </row>
    <row r="161" spans="1:18" s="33" customFormat="1" ht="93" thickTop="1" thickBot="1" x14ac:dyDescent="0.25">
      <c r="A161" s="101" t="s">
        <v>473</v>
      </c>
      <c r="B161" s="101" t="s">
        <v>474</v>
      </c>
      <c r="C161" s="101" t="s">
        <v>205</v>
      </c>
      <c r="D161" s="101" t="s">
        <v>475</v>
      </c>
      <c r="E161" s="310">
        <f>'d3'!E161-d3П!E156</f>
        <v>0</v>
      </c>
      <c r="F161" s="310">
        <f>'d3'!F161-d3П!F156</f>
        <v>0</v>
      </c>
      <c r="G161" s="310">
        <f>'d3'!G161-d3П!G156</f>
        <v>0</v>
      </c>
      <c r="H161" s="310">
        <f>'d3'!H161-d3П!H156</f>
        <v>0</v>
      </c>
      <c r="I161" s="310">
        <f>'d3'!I161-d3П!I156</f>
        <v>0</v>
      </c>
      <c r="J161" s="310">
        <f>'d3'!J161-d3П!J156</f>
        <v>0</v>
      </c>
      <c r="K161" s="310">
        <f>'d3'!K161-d3П!K156</f>
        <v>0</v>
      </c>
      <c r="L161" s="310">
        <f>'d3'!L161-d3П!L156</f>
        <v>0</v>
      </c>
      <c r="M161" s="310">
        <f>'d3'!M161-d3П!M156</f>
        <v>0</v>
      </c>
      <c r="N161" s="310">
        <f>'d3'!N161-d3П!N156</f>
        <v>0</v>
      </c>
      <c r="O161" s="310">
        <f>'d3'!O161-d3П!O156</f>
        <v>0</v>
      </c>
      <c r="P161" s="310">
        <f>'d3'!P161-d3П!P156</f>
        <v>0</v>
      </c>
      <c r="Q161" s="36"/>
      <c r="R161" s="50"/>
    </row>
    <row r="162" spans="1:18" s="33" customFormat="1" ht="93" thickTop="1" thickBot="1" x14ac:dyDescent="0.25">
      <c r="A162" s="101" t="s">
        <v>902</v>
      </c>
      <c r="B162" s="101" t="s">
        <v>903</v>
      </c>
      <c r="C162" s="101" t="s">
        <v>205</v>
      </c>
      <c r="D162" s="101" t="s">
        <v>904</v>
      </c>
      <c r="E162" s="310">
        <f>'d3'!E162-d3П!E157</f>
        <v>0</v>
      </c>
      <c r="F162" s="310">
        <f>'d3'!F162-d3П!F157</f>
        <v>0</v>
      </c>
      <c r="G162" s="310">
        <f>'d3'!G162-d3П!G157</f>
        <v>0</v>
      </c>
      <c r="H162" s="310">
        <f>'d3'!H162-d3П!H157</f>
        <v>0</v>
      </c>
      <c r="I162" s="310">
        <f>'d3'!I162-d3П!I157</f>
        <v>0</v>
      </c>
      <c r="J162" s="310">
        <f>'d3'!J162-d3П!J157</f>
        <v>0</v>
      </c>
      <c r="K162" s="310">
        <f>'d3'!K162-d3П!K157</f>
        <v>0</v>
      </c>
      <c r="L162" s="310">
        <f>'d3'!L162-d3П!L157</f>
        <v>0</v>
      </c>
      <c r="M162" s="310">
        <f>'d3'!M162-d3П!M157</f>
        <v>0</v>
      </c>
      <c r="N162" s="310">
        <f>'d3'!N162-d3П!N157</f>
        <v>0</v>
      </c>
      <c r="O162" s="310">
        <f>'d3'!O162-d3П!O157</f>
        <v>0</v>
      </c>
      <c r="P162" s="310">
        <f>'d3'!P162-d3П!P157</f>
        <v>0</v>
      </c>
      <c r="Q162" s="36"/>
      <c r="R162" s="50"/>
    </row>
    <row r="163" spans="1:18" ht="93" thickTop="1" thickBot="1" x14ac:dyDescent="0.25">
      <c r="A163" s="101" t="s">
        <v>476</v>
      </c>
      <c r="B163" s="101" t="s">
        <v>477</v>
      </c>
      <c r="C163" s="101" t="s">
        <v>204</v>
      </c>
      <c r="D163" s="101" t="s">
        <v>478</v>
      </c>
      <c r="E163" s="310">
        <f>'d3'!E163-d3П!E158</f>
        <v>271059</v>
      </c>
      <c r="F163" s="310">
        <f>'d3'!F163-d3П!F158</f>
        <v>271059</v>
      </c>
      <c r="G163" s="310">
        <f>'d3'!G163-d3П!G158</f>
        <v>0</v>
      </c>
      <c r="H163" s="310">
        <f>'d3'!H163-d3П!H158</f>
        <v>0</v>
      </c>
      <c r="I163" s="310">
        <f>'d3'!I163-d3П!I158</f>
        <v>0</v>
      </c>
      <c r="J163" s="310">
        <f>'d3'!J163-d3П!J158</f>
        <v>0</v>
      </c>
      <c r="K163" s="310">
        <f>'d3'!K163-d3П!K158</f>
        <v>0</v>
      </c>
      <c r="L163" s="310">
        <f>'d3'!L163-d3П!L158</f>
        <v>0</v>
      </c>
      <c r="M163" s="310">
        <f>'d3'!M163-d3П!M158</f>
        <v>0</v>
      </c>
      <c r="N163" s="310">
        <f>'d3'!N163-d3П!N158</f>
        <v>0</v>
      </c>
      <c r="O163" s="310">
        <f>'d3'!O163-d3П!O158</f>
        <v>0</v>
      </c>
      <c r="P163" s="310">
        <f>'d3'!P163-d3П!P158</f>
        <v>271059</v>
      </c>
      <c r="Q163" s="20"/>
      <c r="R163" s="50"/>
    </row>
    <row r="164" spans="1:18" s="33" customFormat="1" ht="138.75" thickTop="1" thickBot="1" x14ac:dyDescent="0.25">
      <c r="A164" s="598" t="s">
        <v>719</v>
      </c>
      <c r="B164" s="598" t="s">
        <v>720</v>
      </c>
      <c r="C164" s="598"/>
      <c r="D164" s="598" t="s">
        <v>721</v>
      </c>
      <c r="E164" s="310">
        <f>'d3'!E164-d3П!E159</f>
        <v>1189500</v>
      </c>
      <c r="F164" s="310">
        <f>'d3'!F164-d3П!F159</f>
        <v>1189500</v>
      </c>
      <c r="G164" s="310">
        <f>'d3'!G164-d3П!G159</f>
        <v>975000</v>
      </c>
      <c r="H164" s="310">
        <f>'d3'!H164-d3П!H159</f>
        <v>0</v>
      </c>
      <c r="I164" s="310">
        <f>'d3'!I164-d3П!I159</f>
        <v>0</v>
      </c>
      <c r="J164" s="310">
        <f>'d3'!J164-d3П!J159</f>
        <v>0</v>
      </c>
      <c r="K164" s="310">
        <f>'d3'!K164-d3П!K159</f>
        <v>0</v>
      </c>
      <c r="L164" s="310">
        <f>'d3'!L164-d3П!L159</f>
        <v>0</v>
      </c>
      <c r="M164" s="310">
        <f>'d3'!M164-d3П!M159</f>
        <v>0</v>
      </c>
      <c r="N164" s="310">
        <f>'d3'!N164-d3П!N159</f>
        <v>0</v>
      </c>
      <c r="O164" s="310">
        <f>'d3'!O164-d3П!O159</f>
        <v>0</v>
      </c>
      <c r="P164" s="310">
        <f>'d3'!P164-d3П!P159</f>
        <v>1189500</v>
      </c>
      <c r="Q164" s="36"/>
      <c r="R164" s="51"/>
    </row>
    <row r="165" spans="1:18" ht="138.75" thickTop="1" thickBot="1" x14ac:dyDescent="0.25">
      <c r="A165" s="101" t="s">
        <v>265</v>
      </c>
      <c r="B165" s="101" t="s">
        <v>263</v>
      </c>
      <c r="C165" s="101" t="s">
        <v>199</v>
      </c>
      <c r="D165" s="101" t="s">
        <v>17</v>
      </c>
      <c r="E165" s="310">
        <f>'d3'!E165-d3П!E160</f>
        <v>888200</v>
      </c>
      <c r="F165" s="310">
        <f>'d3'!F165-d3П!F160</f>
        <v>888200</v>
      </c>
      <c r="G165" s="310">
        <f>'d3'!G165-d3П!G160</f>
        <v>728000</v>
      </c>
      <c r="H165" s="310">
        <f>'d3'!H165-d3П!H160</f>
        <v>0</v>
      </c>
      <c r="I165" s="310">
        <f>'d3'!I165-d3П!I160</f>
        <v>0</v>
      </c>
      <c r="J165" s="310">
        <f>'d3'!J165-d3П!J160</f>
        <v>0</v>
      </c>
      <c r="K165" s="310">
        <f>'d3'!K165-d3П!K160</f>
        <v>0</v>
      </c>
      <c r="L165" s="310">
        <f>'d3'!L165-d3П!L160</f>
        <v>0</v>
      </c>
      <c r="M165" s="310">
        <f>'d3'!M165-d3П!M160</f>
        <v>0</v>
      </c>
      <c r="N165" s="310">
        <f>'d3'!N165-d3П!N160</f>
        <v>0</v>
      </c>
      <c r="O165" s="310">
        <f>'d3'!O165-d3П!O160</f>
        <v>0</v>
      </c>
      <c r="P165" s="310">
        <f>'d3'!P165-d3П!P160</f>
        <v>888200</v>
      </c>
      <c r="Q165" s="20"/>
      <c r="R165" s="46"/>
    </row>
    <row r="166" spans="1:18" ht="93" thickTop="1" thickBot="1" x14ac:dyDescent="0.25">
      <c r="A166" s="101" t="s">
        <v>266</v>
      </c>
      <c r="B166" s="101" t="s">
        <v>264</v>
      </c>
      <c r="C166" s="101" t="s">
        <v>198</v>
      </c>
      <c r="D166" s="101" t="s">
        <v>450</v>
      </c>
      <c r="E166" s="310">
        <f>'d3'!E166-d3П!E161</f>
        <v>301300</v>
      </c>
      <c r="F166" s="310">
        <f>'d3'!F166-d3П!F161</f>
        <v>301300</v>
      </c>
      <c r="G166" s="310">
        <f>'d3'!G166-d3П!G161</f>
        <v>247000</v>
      </c>
      <c r="H166" s="310">
        <f>'d3'!H166-d3П!H161</f>
        <v>0</v>
      </c>
      <c r="I166" s="310">
        <f>'d3'!I166-d3П!I161</f>
        <v>0</v>
      </c>
      <c r="J166" s="310">
        <f>'d3'!J166-d3П!J161</f>
        <v>0</v>
      </c>
      <c r="K166" s="310">
        <f>'d3'!K166-d3П!K161</f>
        <v>0</v>
      </c>
      <c r="L166" s="310">
        <f>'d3'!L166-d3П!L161</f>
        <v>0</v>
      </c>
      <c r="M166" s="310">
        <f>'d3'!M166-d3П!M161</f>
        <v>0</v>
      </c>
      <c r="N166" s="310">
        <f>'d3'!N166-d3П!N161</f>
        <v>0</v>
      </c>
      <c r="O166" s="310">
        <f>'d3'!O166-d3П!O161</f>
        <v>0</v>
      </c>
      <c r="P166" s="310">
        <f>'d3'!P166-d3П!P161</f>
        <v>301300</v>
      </c>
      <c r="Q166" s="20"/>
      <c r="R166" s="46"/>
    </row>
    <row r="167" spans="1:18" ht="47.25" thickTop="1" thickBot="1" x14ac:dyDescent="0.25">
      <c r="A167" s="598" t="s">
        <v>1666</v>
      </c>
      <c r="B167" s="598" t="s">
        <v>1667</v>
      </c>
      <c r="C167" s="598"/>
      <c r="D167" s="598" t="s">
        <v>1668</v>
      </c>
      <c r="E167" s="310">
        <f>'d3'!E167-d3П!E162</f>
        <v>0</v>
      </c>
      <c r="F167" s="310">
        <f>'d3'!F167-d3П!F162</f>
        <v>0</v>
      </c>
      <c r="G167" s="310">
        <f>'d3'!G167-d3П!G162</f>
        <v>0</v>
      </c>
      <c r="H167" s="310">
        <f>'d3'!H167-d3П!H162</f>
        <v>0</v>
      </c>
      <c r="I167" s="310">
        <f>'d3'!I167-d3П!I162</f>
        <v>0</v>
      </c>
      <c r="J167" s="310">
        <f>'d3'!J167-d3П!J162</f>
        <v>0</v>
      </c>
      <c r="K167" s="310">
        <f>'d3'!K167-d3П!K162</f>
        <v>0</v>
      </c>
      <c r="L167" s="310">
        <f>'d3'!L167-d3П!L162</f>
        <v>0</v>
      </c>
      <c r="M167" s="310">
        <f>'d3'!M167-d3П!M162</f>
        <v>0</v>
      </c>
      <c r="N167" s="310">
        <f>'d3'!N167-d3П!N162</f>
        <v>0</v>
      </c>
      <c r="O167" s="310">
        <f>'d3'!O167-d3П!O162</f>
        <v>0</v>
      </c>
      <c r="P167" s="310">
        <f>'d3'!P167-d3П!P162</f>
        <v>0</v>
      </c>
      <c r="Q167" s="20"/>
      <c r="R167" s="46"/>
    </row>
    <row r="168" spans="1:18" ht="138.75" thickTop="1" thickBot="1" x14ac:dyDescent="0.25">
      <c r="A168" s="101" t="s">
        <v>1670</v>
      </c>
      <c r="B168" s="101" t="s">
        <v>1671</v>
      </c>
      <c r="C168" s="101" t="s">
        <v>184</v>
      </c>
      <c r="D168" s="101" t="s">
        <v>1669</v>
      </c>
      <c r="E168" s="310">
        <f>'d3'!E168-d3П!E163</f>
        <v>0</v>
      </c>
      <c r="F168" s="310">
        <f>'d3'!F168-d3П!F163</f>
        <v>0</v>
      </c>
      <c r="G168" s="310">
        <f>'d3'!G168-d3П!G163</f>
        <v>0</v>
      </c>
      <c r="H168" s="310">
        <f>'d3'!H168-d3П!H163</f>
        <v>0</v>
      </c>
      <c r="I168" s="310">
        <f>'d3'!I168-d3П!I163</f>
        <v>0</v>
      </c>
      <c r="J168" s="310">
        <f>'d3'!J168-d3П!J163</f>
        <v>0</v>
      </c>
      <c r="K168" s="310">
        <f>'d3'!K168-d3П!K163</f>
        <v>0</v>
      </c>
      <c r="L168" s="310">
        <f>'d3'!L168-d3П!L163</f>
        <v>0</v>
      </c>
      <c r="M168" s="310">
        <f>'d3'!M168-d3П!M163</f>
        <v>0</v>
      </c>
      <c r="N168" s="310">
        <f>'d3'!N168-d3П!N163</f>
        <v>0</v>
      </c>
      <c r="O168" s="310">
        <f>'d3'!O168-d3П!O163</f>
        <v>0</v>
      </c>
      <c r="P168" s="310">
        <f>'d3'!P168-d3П!P163</f>
        <v>0</v>
      </c>
      <c r="Q168" s="20"/>
      <c r="R168" s="46"/>
    </row>
    <row r="169" spans="1:18" ht="47.25" thickTop="1" thickBot="1" x14ac:dyDescent="0.25">
      <c r="A169" s="598" t="s">
        <v>989</v>
      </c>
      <c r="B169" s="598" t="s">
        <v>751</v>
      </c>
      <c r="C169" s="598"/>
      <c r="D169" s="598" t="s">
        <v>752</v>
      </c>
      <c r="E169" s="310">
        <f>'d3'!E169-d3П!E164</f>
        <v>420744</v>
      </c>
      <c r="F169" s="310">
        <f>'d3'!F169-d3П!F164</f>
        <v>420744</v>
      </c>
      <c r="G169" s="310">
        <f>'d3'!G169-d3П!G164</f>
        <v>140400</v>
      </c>
      <c r="H169" s="310">
        <f>'d3'!H169-d3П!H164</f>
        <v>0</v>
      </c>
      <c r="I169" s="310">
        <f>'d3'!I169-d3П!I164</f>
        <v>0</v>
      </c>
      <c r="J169" s="310">
        <f>'d3'!J169-d3П!J164</f>
        <v>0</v>
      </c>
      <c r="K169" s="310">
        <f>'d3'!K169-d3П!K164</f>
        <v>0</v>
      </c>
      <c r="L169" s="310">
        <f>'d3'!L169-d3П!L164</f>
        <v>0</v>
      </c>
      <c r="M169" s="310">
        <f>'d3'!M169-d3П!M164</f>
        <v>0</v>
      </c>
      <c r="N169" s="310">
        <f>'d3'!N169-d3П!N164</f>
        <v>0</v>
      </c>
      <c r="O169" s="310">
        <f>'d3'!O169-d3П!O164</f>
        <v>0</v>
      </c>
      <c r="P169" s="310">
        <f>'d3'!P169-d3П!P164</f>
        <v>420744</v>
      </c>
      <c r="Q169" s="20"/>
      <c r="R169" s="46"/>
    </row>
    <row r="170" spans="1:18" ht="184.5" thickTop="1" thickBot="1" x14ac:dyDescent="0.25">
      <c r="A170" s="101" t="s">
        <v>1174</v>
      </c>
      <c r="B170" s="101" t="s">
        <v>183</v>
      </c>
      <c r="C170" s="101" t="s">
        <v>184</v>
      </c>
      <c r="D170" s="101" t="s">
        <v>1617</v>
      </c>
      <c r="E170" s="310">
        <f>'d3'!E170-d3П!E165</f>
        <v>253825</v>
      </c>
      <c r="F170" s="310">
        <f>'d3'!F170-d3П!F165</f>
        <v>253825</v>
      </c>
      <c r="G170" s="310">
        <f>'d3'!G170-d3П!G165</f>
        <v>140400</v>
      </c>
      <c r="H170" s="310">
        <f>'d3'!H170-d3П!H165</f>
        <v>0</v>
      </c>
      <c r="I170" s="310">
        <f>'d3'!I170-d3П!I165</f>
        <v>0</v>
      </c>
      <c r="J170" s="310">
        <f>'d3'!J170-d3П!J165</f>
        <v>0</v>
      </c>
      <c r="K170" s="310">
        <f>'d3'!K170-d3П!K165</f>
        <v>0</v>
      </c>
      <c r="L170" s="310">
        <f>'d3'!L170-d3П!L165</f>
        <v>0</v>
      </c>
      <c r="M170" s="310">
        <f>'d3'!M170-d3П!M165</f>
        <v>0</v>
      </c>
      <c r="N170" s="310">
        <f>'d3'!N170-d3П!N165</f>
        <v>0</v>
      </c>
      <c r="O170" s="310">
        <f>'d3'!O170-d3П!O165</f>
        <v>0</v>
      </c>
      <c r="P170" s="310">
        <f>'d3'!P170-d3П!P165</f>
        <v>253825</v>
      </c>
      <c r="Q170" s="20"/>
      <c r="R170" s="46"/>
    </row>
    <row r="171" spans="1:18" ht="93" thickTop="1" thickBot="1" x14ac:dyDescent="0.25">
      <c r="A171" s="101" t="s">
        <v>990</v>
      </c>
      <c r="B171" s="101" t="s">
        <v>991</v>
      </c>
      <c r="C171" s="101" t="s">
        <v>184</v>
      </c>
      <c r="D171" s="101" t="s">
        <v>1618</v>
      </c>
      <c r="E171" s="310">
        <f>'d3'!E171-d3П!E166</f>
        <v>166919</v>
      </c>
      <c r="F171" s="310">
        <f>'d3'!F171-d3П!F166</f>
        <v>166919</v>
      </c>
      <c r="G171" s="310">
        <f>'d3'!G171-d3П!G166</f>
        <v>0</v>
      </c>
      <c r="H171" s="310">
        <f>'d3'!H171-d3П!H166</f>
        <v>0</v>
      </c>
      <c r="I171" s="310">
        <f>'d3'!I171-d3П!I166</f>
        <v>0</v>
      </c>
      <c r="J171" s="310">
        <f>'d3'!J171-d3П!J166</f>
        <v>0</v>
      </c>
      <c r="K171" s="310">
        <f>'d3'!K171-d3П!K166</f>
        <v>0</v>
      </c>
      <c r="L171" s="310">
        <f>'d3'!L171-d3П!L166</f>
        <v>0</v>
      </c>
      <c r="M171" s="310">
        <f>'d3'!M171-d3П!M166</f>
        <v>0</v>
      </c>
      <c r="N171" s="310">
        <f>'d3'!N171-d3П!N166</f>
        <v>0</v>
      </c>
      <c r="O171" s="310">
        <f>'d3'!O171-d3П!O166</f>
        <v>0</v>
      </c>
      <c r="P171" s="310">
        <f>'d3'!P171-d3П!P166</f>
        <v>166919</v>
      </c>
      <c r="Q171" s="20"/>
      <c r="R171" s="46"/>
    </row>
    <row r="172" spans="1:18" ht="184.5" thickTop="1" thickBot="1" x14ac:dyDescent="0.25">
      <c r="A172" s="101" t="s">
        <v>261</v>
      </c>
      <c r="B172" s="101" t="s">
        <v>262</v>
      </c>
      <c r="C172" s="101" t="s">
        <v>198</v>
      </c>
      <c r="D172" s="101" t="s">
        <v>448</v>
      </c>
      <c r="E172" s="310">
        <f>'d3'!E172-d3П!E167</f>
        <v>0</v>
      </c>
      <c r="F172" s="310">
        <f>'d3'!F172-d3П!F167</f>
        <v>0</v>
      </c>
      <c r="G172" s="310">
        <f>'d3'!G172-d3П!G167</f>
        <v>0</v>
      </c>
      <c r="H172" s="310">
        <f>'d3'!H172-d3П!H167</f>
        <v>0</v>
      </c>
      <c r="I172" s="310">
        <f>'d3'!I172-d3П!I167</f>
        <v>0</v>
      </c>
      <c r="J172" s="310">
        <f>'d3'!J172-d3П!J167</f>
        <v>0</v>
      </c>
      <c r="K172" s="310">
        <f>'d3'!K172-d3П!K167</f>
        <v>0</v>
      </c>
      <c r="L172" s="310">
        <f>'d3'!L172-d3П!L167</f>
        <v>0</v>
      </c>
      <c r="M172" s="310">
        <f>'d3'!M172-d3П!M167</f>
        <v>0</v>
      </c>
      <c r="N172" s="310">
        <f>'d3'!N172-d3П!N167</f>
        <v>0</v>
      </c>
      <c r="O172" s="310">
        <f>'d3'!O172-d3П!O167</f>
        <v>0</v>
      </c>
      <c r="P172" s="310">
        <f>'d3'!P172-d3П!P167</f>
        <v>0</v>
      </c>
      <c r="Q172" s="20"/>
      <c r="R172" s="50"/>
    </row>
    <row r="173" spans="1:18" ht="47.25" thickTop="1" thickBot="1" x14ac:dyDescent="0.25">
      <c r="A173" s="598" t="s">
        <v>863</v>
      </c>
      <c r="B173" s="598" t="s">
        <v>864</v>
      </c>
      <c r="C173" s="598"/>
      <c r="D173" s="598" t="s">
        <v>865</v>
      </c>
      <c r="E173" s="310">
        <f>'d3'!E173-d3П!E168</f>
        <v>0</v>
      </c>
      <c r="F173" s="310">
        <f>'d3'!F173-d3П!F168</f>
        <v>0</v>
      </c>
      <c r="G173" s="310">
        <f>'d3'!G173-d3П!G168</f>
        <v>0</v>
      </c>
      <c r="H173" s="310">
        <f>'d3'!H173-d3П!H168</f>
        <v>0</v>
      </c>
      <c r="I173" s="310">
        <f>'d3'!I173-d3П!I168</f>
        <v>0</v>
      </c>
      <c r="J173" s="310">
        <f>'d3'!J173-d3П!J168</f>
        <v>0</v>
      </c>
      <c r="K173" s="310">
        <f>'d3'!K173-d3П!K168</f>
        <v>0</v>
      </c>
      <c r="L173" s="310">
        <f>'d3'!L173-d3П!L168</f>
        <v>0</v>
      </c>
      <c r="M173" s="310">
        <f>'d3'!M173-d3П!M168</f>
        <v>0</v>
      </c>
      <c r="N173" s="310">
        <f>'d3'!N173-d3П!N168</f>
        <v>0</v>
      </c>
      <c r="O173" s="310">
        <f>'d3'!O173-d3П!O168</f>
        <v>0</v>
      </c>
      <c r="P173" s="310">
        <f>'d3'!P173-d3П!P168</f>
        <v>0</v>
      </c>
      <c r="Q173" s="20"/>
      <c r="R173" s="50"/>
    </row>
    <row r="174" spans="1:18" ht="93" thickTop="1" thickBot="1" x14ac:dyDescent="0.25">
      <c r="A174" s="101" t="s">
        <v>479</v>
      </c>
      <c r="B174" s="101" t="s">
        <v>480</v>
      </c>
      <c r="C174" s="101" t="s">
        <v>198</v>
      </c>
      <c r="D174" s="101" t="s">
        <v>481</v>
      </c>
      <c r="E174" s="310">
        <f>'d3'!E174-d3П!E169</f>
        <v>0</v>
      </c>
      <c r="F174" s="310">
        <f>'d3'!F174-d3П!F169</f>
        <v>0</v>
      </c>
      <c r="G174" s="310">
        <f>'d3'!G174-d3П!G169</f>
        <v>0</v>
      </c>
      <c r="H174" s="310">
        <f>'d3'!H174-d3П!H169</f>
        <v>0</v>
      </c>
      <c r="I174" s="310">
        <f>'d3'!I174-d3П!I169</f>
        <v>0</v>
      </c>
      <c r="J174" s="310">
        <f>'d3'!J174-d3П!J169</f>
        <v>0</v>
      </c>
      <c r="K174" s="310">
        <f>'d3'!K174-d3П!K169</f>
        <v>0</v>
      </c>
      <c r="L174" s="310">
        <f>'d3'!L174-d3П!L169</f>
        <v>0</v>
      </c>
      <c r="M174" s="310">
        <f>'d3'!M174-d3П!M169</f>
        <v>0</v>
      </c>
      <c r="N174" s="310">
        <f>'d3'!N174-d3П!N169</f>
        <v>0</v>
      </c>
      <c r="O174" s="310">
        <f>'d3'!O174-d3П!O169</f>
        <v>0</v>
      </c>
      <c r="P174" s="310">
        <f>'d3'!P174-d3П!P169</f>
        <v>0</v>
      </c>
      <c r="Q174" s="20"/>
      <c r="R174" s="50"/>
    </row>
    <row r="175" spans="1:18" ht="138.75" thickTop="1" thickBot="1" x14ac:dyDescent="0.25">
      <c r="A175" s="101" t="s">
        <v>345</v>
      </c>
      <c r="B175" s="101" t="s">
        <v>344</v>
      </c>
      <c r="C175" s="101" t="s">
        <v>50</v>
      </c>
      <c r="D175" s="101" t="s">
        <v>449</v>
      </c>
      <c r="E175" s="310">
        <f>'d3'!E175-d3П!E170</f>
        <v>0</v>
      </c>
      <c r="F175" s="310">
        <f>'d3'!F175-d3П!F170</f>
        <v>0</v>
      </c>
      <c r="G175" s="310">
        <f>'d3'!G175-d3П!G170</f>
        <v>0</v>
      </c>
      <c r="H175" s="310">
        <f>'d3'!H175-d3П!H170</f>
        <v>0</v>
      </c>
      <c r="I175" s="310">
        <f>'d3'!I175-d3П!I170</f>
        <v>0</v>
      </c>
      <c r="J175" s="310">
        <f>'d3'!J175-d3П!J170</f>
        <v>0</v>
      </c>
      <c r="K175" s="310">
        <f>'d3'!K175-d3П!K170</f>
        <v>0</v>
      </c>
      <c r="L175" s="310">
        <f>'d3'!L175-d3П!L170</f>
        <v>0</v>
      </c>
      <c r="M175" s="310">
        <f>'d3'!M175-d3П!M170</f>
        <v>0</v>
      </c>
      <c r="N175" s="310">
        <f>'d3'!N175-d3П!N170</f>
        <v>0</v>
      </c>
      <c r="O175" s="310">
        <f>'d3'!O175-d3П!O170</f>
        <v>0</v>
      </c>
      <c r="P175" s="310">
        <f>'d3'!P175-d3П!P170</f>
        <v>0</v>
      </c>
      <c r="Q175" s="20"/>
      <c r="R175" s="50"/>
    </row>
    <row r="176" spans="1:18" s="33" customFormat="1" ht="47.25" thickTop="1" thickBot="1" x14ac:dyDescent="0.25">
      <c r="A176" s="598" t="s">
        <v>722</v>
      </c>
      <c r="B176" s="598" t="s">
        <v>723</v>
      </c>
      <c r="C176" s="598"/>
      <c r="D176" s="598" t="s">
        <v>724</v>
      </c>
      <c r="E176" s="310">
        <f>'d3'!E176-d3П!E171</f>
        <v>410550</v>
      </c>
      <c r="F176" s="310">
        <f>'d3'!F176-d3П!F171</f>
        <v>410550</v>
      </c>
      <c r="G176" s="310">
        <f>'d3'!G176-d3П!G171</f>
        <v>0</v>
      </c>
      <c r="H176" s="310">
        <f>'d3'!H176-d3П!H171</f>
        <v>0</v>
      </c>
      <c r="I176" s="310">
        <f>'d3'!I176-d3П!I171</f>
        <v>0</v>
      </c>
      <c r="J176" s="310">
        <f>'d3'!J176-d3П!J171</f>
        <v>0</v>
      </c>
      <c r="K176" s="310">
        <f>'d3'!K176-d3П!K171</f>
        <v>0</v>
      </c>
      <c r="L176" s="310">
        <f>'d3'!L176-d3П!L171</f>
        <v>0</v>
      </c>
      <c r="M176" s="310">
        <f>'d3'!M176-d3П!M171</f>
        <v>0</v>
      </c>
      <c r="N176" s="310">
        <f>'d3'!N176-d3П!N171</f>
        <v>0</v>
      </c>
      <c r="O176" s="310">
        <f>'d3'!O176-d3П!O171</f>
        <v>0</v>
      </c>
      <c r="P176" s="310">
        <f>'d3'!P176-d3П!P171</f>
        <v>410550</v>
      </c>
      <c r="Q176" s="36"/>
      <c r="R176" s="51"/>
    </row>
    <row r="177" spans="1:18" ht="93" thickTop="1" thickBot="1" x14ac:dyDescent="0.25">
      <c r="A177" s="101" t="s">
        <v>323</v>
      </c>
      <c r="B177" s="101" t="s">
        <v>324</v>
      </c>
      <c r="C177" s="101" t="s">
        <v>204</v>
      </c>
      <c r="D177" s="101" t="s">
        <v>626</v>
      </c>
      <c r="E177" s="310">
        <f>'d3'!E177-d3П!E172</f>
        <v>410550</v>
      </c>
      <c r="F177" s="310">
        <f>'d3'!F177-d3П!F172</f>
        <v>410550</v>
      </c>
      <c r="G177" s="310">
        <f>'d3'!G177-d3П!G172</f>
        <v>0</v>
      </c>
      <c r="H177" s="310">
        <f>'d3'!H177-d3П!H172</f>
        <v>0</v>
      </c>
      <c r="I177" s="310">
        <f>'d3'!I177-d3П!I172</f>
        <v>0</v>
      </c>
      <c r="J177" s="310">
        <f>'d3'!J177-d3П!J172</f>
        <v>0</v>
      </c>
      <c r="K177" s="310">
        <f>'d3'!K177-d3П!K172</f>
        <v>0</v>
      </c>
      <c r="L177" s="310">
        <f>'d3'!L177-d3П!L172</f>
        <v>0</v>
      </c>
      <c r="M177" s="310">
        <f>'d3'!M177-d3П!M172</f>
        <v>0</v>
      </c>
      <c r="N177" s="310">
        <f>'d3'!N177-d3П!N172</f>
        <v>0</v>
      </c>
      <c r="O177" s="310">
        <f>'d3'!O177-d3П!O172</f>
        <v>0</v>
      </c>
      <c r="P177" s="310">
        <f>'d3'!P177-d3П!P172</f>
        <v>410550</v>
      </c>
      <c r="Q177" s="20"/>
      <c r="R177" s="50"/>
    </row>
    <row r="178" spans="1:18" ht="47.25" thickTop="1" thickBot="1" x14ac:dyDescent="0.25">
      <c r="A178" s="101" t="s">
        <v>423</v>
      </c>
      <c r="B178" s="101" t="s">
        <v>368</v>
      </c>
      <c r="C178" s="101" t="s">
        <v>369</v>
      </c>
      <c r="D178" s="101" t="s">
        <v>367</v>
      </c>
      <c r="E178" s="310">
        <f>'d3'!E178-d3П!E173</f>
        <v>0</v>
      </c>
      <c r="F178" s="310">
        <f>'d3'!F178-d3П!F173</f>
        <v>0</v>
      </c>
      <c r="G178" s="310">
        <f>'d3'!G178-d3П!G173</f>
        <v>0</v>
      </c>
      <c r="H178" s="310">
        <f>'d3'!H178-d3П!H173</f>
        <v>0</v>
      </c>
      <c r="I178" s="310">
        <f>'d3'!I178-d3П!I173</f>
        <v>0</v>
      </c>
      <c r="J178" s="310">
        <f>'d3'!J178-d3П!J173</f>
        <v>0</v>
      </c>
      <c r="K178" s="310">
        <f>'d3'!K178-d3П!K173</f>
        <v>0</v>
      </c>
      <c r="L178" s="310">
        <f>'d3'!L178-d3П!L173</f>
        <v>0</v>
      </c>
      <c r="M178" s="310">
        <f>'d3'!M178-d3П!M173</f>
        <v>0</v>
      </c>
      <c r="N178" s="310">
        <f>'d3'!N178-d3П!N173</f>
        <v>0</v>
      </c>
      <c r="O178" s="310">
        <f>'d3'!O178-d3П!O173</f>
        <v>0</v>
      </c>
      <c r="P178" s="310">
        <f>'d3'!P178-d3П!P173</f>
        <v>0</v>
      </c>
      <c r="Q178" s="20"/>
      <c r="R178" s="50"/>
    </row>
    <row r="179" spans="1:18" ht="130.69999999999999" customHeight="1" thickTop="1" thickBot="1" x14ac:dyDescent="0.25">
      <c r="A179" s="598" t="s">
        <v>1025</v>
      </c>
      <c r="B179" s="598" t="s">
        <v>1026</v>
      </c>
      <c r="C179" s="598"/>
      <c r="D179" s="598" t="s">
        <v>1024</v>
      </c>
      <c r="E179" s="310">
        <f>'d3'!E179-d3П!E174</f>
        <v>0</v>
      </c>
      <c r="F179" s="310">
        <f>'d3'!F179-d3П!F174</f>
        <v>0</v>
      </c>
      <c r="G179" s="310">
        <f>'d3'!G179-d3П!G174</f>
        <v>0</v>
      </c>
      <c r="H179" s="310">
        <f>'d3'!H179-d3П!H174</f>
        <v>0</v>
      </c>
      <c r="I179" s="310">
        <f>'d3'!I179-d3П!I174</f>
        <v>0</v>
      </c>
      <c r="J179" s="310">
        <f>'d3'!J179-d3П!J174</f>
        <v>0</v>
      </c>
      <c r="K179" s="310">
        <f>'d3'!K179-d3П!K174</f>
        <v>0</v>
      </c>
      <c r="L179" s="310">
        <f>'d3'!L179-d3П!L174</f>
        <v>0</v>
      </c>
      <c r="M179" s="310">
        <f>'d3'!M179-d3П!M174</f>
        <v>0</v>
      </c>
      <c r="N179" s="310">
        <f>'d3'!N179-d3П!N174</f>
        <v>0</v>
      </c>
      <c r="O179" s="310">
        <f>'d3'!O179-d3П!O174</f>
        <v>0</v>
      </c>
      <c r="P179" s="310">
        <f>'d3'!P179-d3П!P174</f>
        <v>0</v>
      </c>
      <c r="Q179" s="20"/>
      <c r="R179" s="50"/>
    </row>
    <row r="180" spans="1:18" ht="184.7" hidden="1" customHeight="1" thickTop="1" thickBot="1" x14ac:dyDescent="0.7">
      <c r="A180" s="767" t="s">
        <v>1027</v>
      </c>
      <c r="B180" s="767" t="s">
        <v>1028</v>
      </c>
      <c r="C180" s="767" t="s">
        <v>50</v>
      </c>
      <c r="D180" s="557" t="s">
        <v>1366</v>
      </c>
      <c r="E180" s="310">
        <f>'d3'!E180-d3П!E175</f>
        <v>0</v>
      </c>
      <c r="F180" s="310">
        <f>'d3'!F180-d3П!F175</f>
        <v>0</v>
      </c>
      <c r="G180" s="310">
        <f>'d3'!G180-d3П!G175</f>
        <v>0</v>
      </c>
      <c r="H180" s="310">
        <f>'d3'!H180-d3П!H175</f>
        <v>0</v>
      </c>
      <c r="I180" s="310">
        <f>'d3'!I180-d3П!I175</f>
        <v>0</v>
      </c>
      <c r="J180" s="310">
        <f>'d3'!J180-d3П!J175</f>
        <v>0</v>
      </c>
      <c r="K180" s="310">
        <f>'d3'!K180-d3П!K175</f>
        <v>0</v>
      </c>
      <c r="L180" s="310">
        <f>'d3'!L180-d3П!L175</f>
        <v>0</v>
      </c>
      <c r="M180" s="310">
        <f>'d3'!M180-d3П!M175</f>
        <v>0</v>
      </c>
      <c r="N180" s="310">
        <f>'d3'!N180-d3П!N175</f>
        <v>0</v>
      </c>
      <c r="O180" s="310">
        <f>'d3'!O180-d3П!O175</f>
        <v>0</v>
      </c>
      <c r="P180" s="310">
        <f>'d3'!P180-d3П!P175</f>
        <v>0</v>
      </c>
      <c r="Q180" s="816"/>
      <c r="R180" s="813"/>
    </row>
    <row r="181" spans="1:18" ht="184.7" hidden="1" customHeight="1" thickTop="1" thickBot="1" x14ac:dyDescent="0.25">
      <c r="A181" s="768"/>
      <c r="B181" s="768"/>
      <c r="C181" s="768"/>
      <c r="D181" s="558" t="s">
        <v>1367</v>
      </c>
      <c r="E181" s="310">
        <f>'d3'!E181-d3П!E176</f>
        <v>0</v>
      </c>
      <c r="F181" s="310">
        <f>'d3'!F181-d3П!F176</f>
        <v>0</v>
      </c>
      <c r="G181" s="310">
        <f>'d3'!G181-d3П!G176</f>
        <v>0</v>
      </c>
      <c r="H181" s="310">
        <f>'d3'!H181-d3П!H176</f>
        <v>0</v>
      </c>
      <c r="I181" s="310">
        <f>'d3'!I181-d3П!I176</f>
        <v>0</v>
      </c>
      <c r="J181" s="310">
        <f>'d3'!J181-d3П!J176</f>
        <v>0</v>
      </c>
      <c r="K181" s="310">
        <f>'d3'!K181-d3П!K176</f>
        <v>0</v>
      </c>
      <c r="L181" s="310">
        <f>'d3'!L181-d3П!L176</f>
        <v>0</v>
      </c>
      <c r="M181" s="310">
        <f>'d3'!M181-d3П!M176</f>
        <v>0</v>
      </c>
      <c r="N181" s="310">
        <f>'d3'!N181-d3П!N176</f>
        <v>0</v>
      </c>
      <c r="O181" s="310">
        <f>'d3'!O181-d3П!O176</f>
        <v>0</v>
      </c>
      <c r="P181" s="310">
        <f>'d3'!P181-d3П!P176</f>
        <v>0</v>
      </c>
      <c r="Q181" s="816"/>
      <c r="R181" s="814"/>
    </row>
    <row r="182" spans="1:18" ht="184.7" hidden="1" customHeight="1" thickTop="1" thickBot="1" x14ac:dyDescent="0.25">
      <c r="A182" s="768"/>
      <c r="B182" s="768"/>
      <c r="C182" s="768"/>
      <c r="D182" s="558" t="s">
        <v>1368</v>
      </c>
      <c r="E182" s="310">
        <f>'d3'!E182-d3П!E177</f>
        <v>0</v>
      </c>
      <c r="F182" s="310">
        <f>'d3'!F182-d3П!F177</f>
        <v>0</v>
      </c>
      <c r="G182" s="310">
        <f>'d3'!G182-d3П!G177</f>
        <v>0</v>
      </c>
      <c r="H182" s="310">
        <f>'d3'!H182-d3П!H177</f>
        <v>0</v>
      </c>
      <c r="I182" s="310">
        <f>'d3'!I182-d3П!I177</f>
        <v>0</v>
      </c>
      <c r="J182" s="310">
        <f>'d3'!J182-d3П!J177</f>
        <v>0</v>
      </c>
      <c r="K182" s="310">
        <f>'d3'!K182-d3П!K177</f>
        <v>0</v>
      </c>
      <c r="L182" s="310">
        <f>'d3'!L182-d3П!L177</f>
        <v>0</v>
      </c>
      <c r="M182" s="310">
        <f>'d3'!M182-d3П!M177</f>
        <v>0</v>
      </c>
      <c r="N182" s="310">
        <f>'d3'!N182-d3П!N177</f>
        <v>0</v>
      </c>
      <c r="O182" s="310">
        <f>'d3'!O182-d3П!O177</f>
        <v>0</v>
      </c>
      <c r="P182" s="310">
        <f>'d3'!P182-d3П!P177</f>
        <v>0</v>
      </c>
      <c r="Q182" s="816"/>
      <c r="R182" s="814"/>
    </row>
    <row r="183" spans="1:18" ht="93" hidden="1" customHeight="1" thickTop="1" thickBot="1" x14ac:dyDescent="0.25">
      <c r="A183" s="769"/>
      <c r="B183" s="769"/>
      <c r="C183" s="769"/>
      <c r="D183" s="559" t="s">
        <v>1369</v>
      </c>
      <c r="E183" s="310">
        <f>'d3'!E183-d3П!E178</f>
        <v>0</v>
      </c>
      <c r="F183" s="310">
        <f>'d3'!F183-d3П!F178</f>
        <v>0</v>
      </c>
      <c r="G183" s="310">
        <f>'d3'!G183-d3П!G178</f>
        <v>0</v>
      </c>
      <c r="H183" s="310">
        <f>'d3'!H183-d3П!H178</f>
        <v>0</v>
      </c>
      <c r="I183" s="310">
        <f>'d3'!I183-d3П!I178</f>
        <v>0</v>
      </c>
      <c r="J183" s="310">
        <f>'d3'!J183-d3П!J178</f>
        <v>0</v>
      </c>
      <c r="K183" s="310">
        <f>'d3'!K183-d3П!K178</f>
        <v>0</v>
      </c>
      <c r="L183" s="310">
        <f>'d3'!L183-d3П!L178</f>
        <v>0</v>
      </c>
      <c r="M183" s="310">
        <f>'d3'!M183-d3П!M178</f>
        <v>0</v>
      </c>
      <c r="N183" s="310">
        <f>'d3'!N183-d3П!N178</f>
        <v>0</v>
      </c>
      <c r="O183" s="310">
        <f>'d3'!O183-d3П!O178</f>
        <v>0</v>
      </c>
      <c r="P183" s="310">
        <f>'d3'!P183-d3П!P178</f>
        <v>0</v>
      </c>
      <c r="Q183" s="816"/>
      <c r="R183" s="814"/>
    </row>
    <row r="184" spans="1:18" ht="409.6" hidden="1" customHeight="1" thickTop="1" thickBot="1" x14ac:dyDescent="0.7">
      <c r="A184" s="767" t="s">
        <v>1029</v>
      </c>
      <c r="B184" s="767" t="s">
        <v>1030</v>
      </c>
      <c r="C184" s="767" t="s">
        <v>50</v>
      </c>
      <c r="D184" s="557" t="s">
        <v>1589</v>
      </c>
      <c r="E184" s="310">
        <f>'d3'!E184-d3П!E179</f>
        <v>0</v>
      </c>
      <c r="F184" s="310">
        <f>'d3'!F184-d3П!F179</f>
        <v>0</v>
      </c>
      <c r="G184" s="310">
        <f>'d3'!G184-d3П!G179</f>
        <v>0</v>
      </c>
      <c r="H184" s="310">
        <f>'d3'!H184-d3П!H179</f>
        <v>0</v>
      </c>
      <c r="I184" s="310">
        <f>'d3'!I184-d3П!I179</f>
        <v>0</v>
      </c>
      <c r="J184" s="310">
        <f>'d3'!J184-d3П!J179</f>
        <v>0</v>
      </c>
      <c r="K184" s="310">
        <f>'d3'!K184-d3П!K179</f>
        <v>0</v>
      </c>
      <c r="L184" s="310">
        <f>'d3'!L184-d3П!L179</f>
        <v>0</v>
      </c>
      <c r="M184" s="310">
        <f>'d3'!M184-d3П!M179</f>
        <v>0</v>
      </c>
      <c r="N184" s="310">
        <f>'d3'!N184-d3П!N179</f>
        <v>0</v>
      </c>
      <c r="O184" s="310">
        <f>'d3'!O184-d3П!O179</f>
        <v>0</v>
      </c>
      <c r="P184" s="310">
        <f>'d3'!P184-d3П!P179</f>
        <v>0</v>
      </c>
      <c r="Q184" s="20"/>
      <c r="R184" s="813"/>
    </row>
    <row r="185" spans="1:18" ht="184.7" hidden="1" customHeight="1" thickTop="1" thickBot="1" x14ac:dyDescent="0.25">
      <c r="A185" s="768"/>
      <c r="B185" s="768"/>
      <c r="C185" s="768"/>
      <c r="D185" s="558" t="s">
        <v>1590</v>
      </c>
      <c r="E185" s="310">
        <f>'d3'!E185-d3П!E180</f>
        <v>0</v>
      </c>
      <c r="F185" s="310">
        <f>'d3'!F185-d3П!F180</f>
        <v>0</v>
      </c>
      <c r="G185" s="310">
        <f>'d3'!G185-d3П!G180</f>
        <v>0</v>
      </c>
      <c r="H185" s="310">
        <f>'d3'!H185-d3П!H180</f>
        <v>0</v>
      </c>
      <c r="I185" s="310">
        <f>'d3'!I185-d3П!I180</f>
        <v>0</v>
      </c>
      <c r="J185" s="310">
        <f>'d3'!J185-d3П!J180</f>
        <v>0</v>
      </c>
      <c r="K185" s="310">
        <f>'d3'!K185-d3П!K180</f>
        <v>0</v>
      </c>
      <c r="L185" s="310">
        <f>'d3'!L185-d3П!L180</f>
        <v>0</v>
      </c>
      <c r="M185" s="310">
        <f>'d3'!M185-d3П!M180</f>
        <v>0</v>
      </c>
      <c r="N185" s="310">
        <f>'d3'!N185-d3П!N180</f>
        <v>0</v>
      </c>
      <c r="O185" s="310">
        <f>'d3'!O185-d3П!O180</f>
        <v>0</v>
      </c>
      <c r="P185" s="310">
        <f>'d3'!P185-d3П!P180</f>
        <v>0</v>
      </c>
      <c r="Q185" s="20"/>
      <c r="R185" s="815"/>
    </row>
    <row r="186" spans="1:18" ht="184.7" hidden="1" customHeight="1" thickTop="1" thickBot="1" x14ac:dyDescent="0.7">
      <c r="A186" s="767" t="s">
        <v>1031</v>
      </c>
      <c r="B186" s="767" t="s">
        <v>1032</v>
      </c>
      <c r="C186" s="767" t="s">
        <v>50</v>
      </c>
      <c r="D186" s="557" t="s">
        <v>1370</v>
      </c>
      <c r="E186" s="310">
        <f>'d3'!E186-d3П!E181</f>
        <v>0</v>
      </c>
      <c r="F186" s="310">
        <f>'d3'!F186-d3П!F181</f>
        <v>0</v>
      </c>
      <c r="G186" s="310">
        <f>'d3'!G186-d3П!G181</f>
        <v>0</v>
      </c>
      <c r="H186" s="310">
        <f>'d3'!H186-d3П!H181</f>
        <v>0</v>
      </c>
      <c r="I186" s="310">
        <f>'d3'!I186-d3П!I181</f>
        <v>0</v>
      </c>
      <c r="J186" s="310">
        <f>'d3'!J186-d3П!J181</f>
        <v>0</v>
      </c>
      <c r="K186" s="310">
        <f>'d3'!K186-d3П!K181</f>
        <v>0</v>
      </c>
      <c r="L186" s="310">
        <f>'d3'!L186-d3П!L181</f>
        <v>0</v>
      </c>
      <c r="M186" s="310">
        <f>'d3'!M186-d3П!M181</f>
        <v>0</v>
      </c>
      <c r="N186" s="310">
        <f>'d3'!N186-d3П!N181</f>
        <v>0</v>
      </c>
      <c r="O186" s="310">
        <f>'d3'!O186-d3П!O181</f>
        <v>0</v>
      </c>
      <c r="P186" s="310">
        <f>'d3'!P186-d3П!P181</f>
        <v>0</v>
      </c>
      <c r="Q186" s="20"/>
      <c r="R186" s="813"/>
    </row>
    <row r="187" spans="1:18" ht="184.7" hidden="1" customHeight="1" thickTop="1" thickBot="1" x14ac:dyDescent="0.25">
      <c r="A187" s="768"/>
      <c r="B187" s="768"/>
      <c r="C187" s="768"/>
      <c r="D187" s="558" t="s">
        <v>1371</v>
      </c>
      <c r="E187" s="310">
        <f>'d3'!E187-d3П!E182</f>
        <v>0</v>
      </c>
      <c r="F187" s="310">
        <f>'d3'!F187-d3П!F182</f>
        <v>0</v>
      </c>
      <c r="G187" s="310">
        <f>'d3'!G187-d3П!G182</f>
        <v>0</v>
      </c>
      <c r="H187" s="310">
        <f>'d3'!H187-d3П!H182</f>
        <v>0</v>
      </c>
      <c r="I187" s="310">
        <f>'d3'!I187-d3П!I182</f>
        <v>0</v>
      </c>
      <c r="J187" s="310">
        <f>'d3'!J187-d3П!J182</f>
        <v>0</v>
      </c>
      <c r="K187" s="310">
        <f>'d3'!K187-d3П!K182</f>
        <v>0</v>
      </c>
      <c r="L187" s="310">
        <f>'d3'!L187-d3П!L182</f>
        <v>0</v>
      </c>
      <c r="M187" s="310">
        <f>'d3'!M187-d3П!M182</f>
        <v>0</v>
      </c>
      <c r="N187" s="310">
        <f>'d3'!N187-d3П!N182</f>
        <v>0</v>
      </c>
      <c r="O187" s="310">
        <f>'d3'!O187-d3П!O182</f>
        <v>0</v>
      </c>
      <c r="P187" s="310">
        <f>'d3'!P187-d3П!P182</f>
        <v>0</v>
      </c>
      <c r="Q187" s="20"/>
      <c r="R187" s="814"/>
    </row>
    <row r="188" spans="1:18" ht="93" hidden="1" customHeight="1" thickTop="1" thickBot="1" x14ac:dyDescent="0.25">
      <c r="A188" s="769"/>
      <c r="B188" s="769"/>
      <c r="C188" s="769"/>
      <c r="D188" s="559" t="s">
        <v>1033</v>
      </c>
      <c r="E188" s="310">
        <f>'d3'!E188-d3П!E183</f>
        <v>0</v>
      </c>
      <c r="F188" s="310">
        <f>'d3'!F188-d3П!F183</f>
        <v>0</v>
      </c>
      <c r="G188" s="310">
        <f>'d3'!G188-d3П!G183</f>
        <v>0</v>
      </c>
      <c r="H188" s="310">
        <f>'d3'!H188-d3П!H183</f>
        <v>0</v>
      </c>
      <c r="I188" s="310">
        <f>'d3'!I188-d3П!I183</f>
        <v>0</v>
      </c>
      <c r="J188" s="310">
        <f>'d3'!J188-d3П!J183</f>
        <v>0</v>
      </c>
      <c r="K188" s="310">
        <f>'d3'!K188-d3П!K183</f>
        <v>0</v>
      </c>
      <c r="L188" s="310">
        <f>'d3'!L188-d3П!L183</f>
        <v>0</v>
      </c>
      <c r="M188" s="310">
        <f>'d3'!M188-d3П!M183</f>
        <v>0</v>
      </c>
      <c r="N188" s="310">
        <f>'d3'!N188-d3П!N183</f>
        <v>0</v>
      </c>
      <c r="O188" s="310">
        <f>'d3'!O188-d3П!O183</f>
        <v>0</v>
      </c>
      <c r="P188" s="310">
        <f>'d3'!P188-d3П!P183</f>
        <v>0</v>
      </c>
      <c r="Q188" s="20"/>
      <c r="R188" s="814"/>
    </row>
    <row r="189" spans="1:18" ht="184.7" hidden="1" customHeight="1" thickTop="1" thickBot="1" x14ac:dyDescent="0.7">
      <c r="A189" s="772" t="s">
        <v>1037</v>
      </c>
      <c r="B189" s="772" t="s">
        <v>1038</v>
      </c>
      <c r="C189" s="772" t="s">
        <v>50</v>
      </c>
      <c r="D189" s="370" t="s">
        <v>1034</v>
      </c>
      <c r="E189" s="310">
        <f>'d3'!E189-d3П!E184</f>
        <v>0</v>
      </c>
      <c r="F189" s="310">
        <f>'d3'!F189-d3П!F184</f>
        <v>0</v>
      </c>
      <c r="G189" s="310">
        <f>'d3'!G189-d3П!G184</f>
        <v>0</v>
      </c>
      <c r="H189" s="310">
        <f>'d3'!H189-d3П!H184</f>
        <v>0</v>
      </c>
      <c r="I189" s="310">
        <f>'d3'!I189-d3П!I184</f>
        <v>0</v>
      </c>
      <c r="J189" s="310">
        <f>'d3'!J189-d3П!J184</f>
        <v>0</v>
      </c>
      <c r="K189" s="310">
        <f>'d3'!K189-d3П!K184</f>
        <v>0</v>
      </c>
      <c r="L189" s="310">
        <f>'d3'!L189-d3П!L184</f>
        <v>0</v>
      </c>
      <c r="M189" s="310">
        <f>'d3'!M189-d3П!M184</f>
        <v>0</v>
      </c>
      <c r="N189" s="310">
        <f>'d3'!N189-d3П!N184</f>
        <v>0</v>
      </c>
      <c r="O189" s="310">
        <f>'d3'!O189-d3П!O184</f>
        <v>0</v>
      </c>
      <c r="P189" s="310">
        <f>'d3'!P189-d3П!P184</f>
        <v>0</v>
      </c>
      <c r="Q189" s="20"/>
      <c r="R189" s="813"/>
    </row>
    <row r="190" spans="1:18" ht="184.7" hidden="1" customHeight="1" thickTop="1" thickBot="1" x14ac:dyDescent="0.25">
      <c r="A190" s="773"/>
      <c r="B190" s="773"/>
      <c r="C190" s="773"/>
      <c r="D190" s="124" t="s">
        <v>1035</v>
      </c>
      <c r="E190" s="310">
        <f>'d3'!E190-d3П!E185</f>
        <v>0</v>
      </c>
      <c r="F190" s="310">
        <f>'d3'!F190-d3П!F185</f>
        <v>0</v>
      </c>
      <c r="G190" s="310">
        <f>'d3'!G190-d3П!G185</f>
        <v>0</v>
      </c>
      <c r="H190" s="310">
        <f>'d3'!H190-d3П!H185</f>
        <v>0</v>
      </c>
      <c r="I190" s="310">
        <f>'d3'!I190-d3П!I185</f>
        <v>0</v>
      </c>
      <c r="J190" s="310">
        <f>'d3'!J190-d3П!J185</f>
        <v>0</v>
      </c>
      <c r="K190" s="310">
        <f>'d3'!K190-d3П!K185</f>
        <v>0</v>
      </c>
      <c r="L190" s="310">
        <f>'d3'!L190-d3П!L185</f>
        <v>0</v>
      </c>
      <c r="M190" s="310">
        <f>'d3'!M190-d3П!M185</f>
        <v>0</v>
      </c>
      <c r="N190" s="310">
        <f>'d3'!N190-d3П!N185</f>
        <v>0</v>
      </c>
      <c r="O190" s="310">
        <f>'d3'!O190-d3П!O185</f>
        <v>0</v>
      </c>
      <c r="P190" s="310">
        <f>'d3'!P190-d3П!P185</f>
        <v>0</v>
      </c>
      <c r="Q190" s="20"/>
      <c r="R190" s="814"/>
    </row>
    <row r="191" spans="1:18" ht="47.25" hidden="1" customHeight="1" thickTop="1" thickBot="1" x14ac:dyDescent="0.25">
      <c r="A191" s="774"/>
      <c r="B191" s="774"/>
      <c r="C191" s="774"/>
      <c r="D191" s="371" t="s">
        <v>1036</v>
      </c>
      <c r="E191" s="310">
        <f>'d3'!E191-d3П!E186</f>
        <v>0</v>
      </c>
      <c r="F191" s="310">
        <f>'d3'!F191-d3П!F186</f>
        <v>0</v>
      </c>
      <c r="G191" s="310">
        <f>'d3'!G191-d3П!G186</f>
        <v>0</v>
      </c>
      <c r="H191" s="310">
        <f>'d3'!H191-d3П!H186</f>
        <v>0</v>
      </c>
      <c r="I191" s="310">
        <f>'d3'!I191-d3П!I186</f>
        <v>0</v>
      </c>
      <c r="J191" s="310">
        <f>'d3'!J191-d3П!J186</f>
        <v>0</v>
      </c>
      <c r="K191" s="310">
        <f>'d3'!K191-d3П!K186</f>
        <v>0</v>
      </c>
      <c r="L191" s="310">
        <f>'d3'!L191-d3П!L186</f>
        <v>0</v>
      </c>
      <c r="M191" s="310">
        <f>'d3'!M191-d3П!M186</f>
        <v>0</v>
      </c>
      <c r="N191" s="310">
        <f>'d3'!N191-d3П!N186</f>
        <v>0</v>
      </c>
      <c r="O191" s="310">
        <f>'d3'!O191-d3П!O186</f>
        <v>0</v>
      </c>
      <c r="P191" s="310">
        <f>'d3'!P191-d3П!P186</f>
        <v>0</v>
      </c>
      <c r="Q191" s="20"/>
      <c r="R191" s="814"/>
    </row>
    <row r="192" spans="1:18" ht="378" customHeight="1" thickTop="1" x14ac:dyDescent="0.2">
      <c r="A192" s="761" t="s">
        <v>1704</v>
      </c>
      <c r="B192" s="761" t="s">
        <v>1705</v>
      </c>
      <c r="C192" s="761" t="s">
        <v>50</v>
      </c>
      <c r="D192" s="761" t="s">
        <v>1706</v>
      </c>
      <c r="E192" s="759">
        <f>'d3'!E192-d3П!E187</f>
        <v>0</v>
      </c>
      <c r="F192" s="759">
        <f>'d3'!F192-d3П!F187</f>
        <v>0</v>
      </c>
      <c r="G192" s="759">
        <f>'d3'!G192-d3П!G187</f>
        <v>0</v>
      </c>
      <c r="H192" s="759">
        <f>'d3'!H192-d3П!H187</f>
        <v>0</v>
      </c>
      <c r="I192" s="759">
        <f>'d3'!I192-d3П!I187</f>
        <v>0</v>
      </c>
      <c r="J192" s="759">
        <f>'d3'!J192-d3П!J187</f>
        <v>0</v>
      </c>
      <c r="K192" s="759">
        <f>'d3'!K192-d3П!K187</f>
        <v>0</v>
      </c>
      <c r="L192" s="759">
        <f>'d3'!L192-d3П!L187</f>
        <v>0</v>
      </c>
      <c r="M192" s="759">
        <f>'d3'!M192-d3П!M187</f>
        <v>0</v>
      </c>
      <c r="N192" s="759">
        <f>'d3'!N192-d3П!N187</f>
        <v>0</v>
      </c>
      <c r="O192" s="759">
        <f>'d3'!O192-d3П!O187</f>
        <v>0</v>
      </c>
      <c r="P192" s="759">
        <f>'d3'!P192-d3П!P187</f>
        <v>0</v>
      </c>
      <c r="Q192" s="20"/>
      <c r="R192" s="21"/>
    </row>
    <row r="193" spans="1:18" ht="315.75" customHeight="1" thickBot="1" x14ac:dyDescent="0.25">
      <c r="A193" s="762"/>
      <c r="B193" s="762"/>
      <c r="C193" s="762"/>
      <c r="D193" s="762"/>
      <c r="E193" s="760"/>
      <c r="F193" s="760"/>
      <c r="G193" s="760"/>
      <c r="H193" s="760"/>
      <c r="I193" s="760"/>
      <c r="J193" s="760"/>
      <c r="K193" s="760"/>
      <c r="L193" s="760"/>
      <c r="M193" s="760"/>
      <c r="N193" s="760"/>
      <c r="O193" s="760"/>
      <c r="P193" s="760"/>
      <c r="Q193" s="20"/>
      <c r="R193" s="21"/>
    </row>
    <row r="194" spans="1:18" ht="121.7" customHeight="1" thickTop="1" thickBot="1" x14ac:dyDescent="0.25">
      <c r="A194" s="101" t="s">
        <v>1162</v>
      </c>
      <c r="B194" s="101" t="s">
        <v>1159</v>
      </c>
      <c r="C194" s="101" t="s">
        <v>205</v>
      </c>
      <c r="D194" s="600" t="s">
        <v>1160</v>
      </c>
      <c r="E194" s="310">
        <f>'d3'!E194-d3П!E189</f>
        <v>0</v>
      </c>
      <c r="F194" s="310">
        <f>'d3'!F194-d3П!F189</f>
        <v>0</v>
      </c>
      <c r="G194" s="310">
        <f>'d3'!G194-d3П!G189</f>
        <v>0</v>
      </c>
      <c r="H194" s="310">
        <f>'d3'!H194-d3П!H189</f>
        <v>0</v>
      </c>
      <c r="I194" s="310">
        <f>'d3'!I194-d3П!I189</f>
        <v>0</v>
      </c>
      <c r="J194" s="310">
        <f>'d3'!J194-d3П!J189</f>
        <v>80000</v>
      </c>
      <c r="K194" s="310">
        <f>'d3'!K194-d3П!K189</f>
        <v>80000</v>
      </c>
      <c r="L194" s="310">
        <f>'d3'!L194-d3П!L189</f>
        <v>0</v>
      </c>
      <c r="M194" s="310">
        <f>'d3'!M194-d3П!M189</f>
        <v>0</v>
      </c>
      <c r="N194" s="310">
        <f>'d3'!N194-d3П!N189</f>
        <v>0</v>
      </c>
      <c r="O194" s="310">
        <f>'d3'!O194-d3П!O189</f>
        <v>80000</v>
      </c>
      <c r="P194" s="310">
        <f>'d3'!P194-d3П!P189</f>
        <v>80000</v>
      </c>
      <c r="Q194" s="20"/>
      <c r="R194" s="21"/>
    </row>
    <row r="195" spans="1:18" s="33" customFormat="1" ht="47.25" thickTop="1" thickBot="1" x14ac:dyDescent="0.25">
      <c r="A195" s="598" t="s">
        <v>725</v>
      </c>
      <c r="B195" s="598" t="s">
        <v>726</v>
      </c>
      <c r="C195" s="598"/>
      <c r="D195" s="598" t="s">
        <v>727</v>
      </c>
      <c r="E195" s="310">
        <f>'d3'!E195-d3П!E190</f>
        <v>47058708</v>
      </c>
      <c r="F195" s="310">
        <f>'d3'!F195-d3П!F190</f>
        <v>47058708</v>
      </c>
      <c r="G195" s="310">
        <f>'d3'!G195-d3П!G190</f>
        <v>332800</v>
      </c>
      <c r="H195" s="310">
        <f>'d3'!H195-d3П!H190</f>
        <v>338476</v>
      </c>
      <c r="I195" s="310">
        <f>'d3'!I195-d3П!I190</f>
        <v>0</v>
      </c>
      <c r="J195" s="310">
        <f>'d3'!J195-d3П!J190</f>
        <v>7681598</v>
      </c>
      <c r="K195" s="310">
        <f>'d3'!K195-d3П!K190</f>
        <v>7681598</v>
      </c>
      <c r="L195" s="310">
        <f>'d3'!L195-d3П!L190</f>
        <v>0</v>
      </c>
      <c r="M195" s="310">
        <f>'d3'!M195-d3П!M190</f>
        <v>0</v>
      </c>
      <c r="N195" s="310">
        <f>'d3'!N195-d3П!N190</f>
        <v>0</v>
      </c>
      <c r="O195" s="310">
        <f>'d3'!O195-d3П!O190</f>
        <v>7681598</v>
      </c>
      <c r="P195" s="310">
        <f>'d3'!P195-d3П!P190</f>
        <v>54740306</v>
      </c>
      <c r="Q195" s="36"/>
      <c r="R195" s="51"/>
    </row>
    <row r="196" spans="1:18" ht="93" thickTop="1" thickBot="1" x14ac:dyDescent="0.25">
      <c r="A196" s="101" t="s">
        <v>325</v>
      </c>
      <c r="B196" s="101" t="s">
        <v>327</v>
      </c>
      <c r="C196" s="101" t="s">
        <v>190</v>
      </c>
      <c r="D196" s="600" t="s">
        <v>1621</v>
      </c>
      <c r="E196" s="310">
        <f>'d3'!E196-d3П!E191</f>
        <v>2904418</v>
      </c>
      <c r="F196" s="310">
        <f>'d3'!F196-d3П!F191</f>
        <v>2904418</v>
      </c>
      <c r="G196" s="310">
        <f>'d3'!G196-d3П!G191</f>
        <v>332800</v>
      </c>
      <c r="H196" s="310">
        <f>'d3'!H196-d3П!H191</f>
        <v>338476</v>
      </c>
      <c r="I196" s="310">
        <f>'d3'!I196-d3П!I191</f>
        <v>0</v>
      </c>
      <c r="J196" s="310">
        <f>'d3'!J196-d3П!J191</f>
        <v>-395442</v>
      </c>
      <c r="K196" s="310">
        <f>'d3'!K196-d3П!K191</f>
        <v>-395442</v>
      </c>
      <c r="L196" s="310">
        <f>'d3'!L196-d3П!L191</f>
        <v>0</v>
      </c>
      <c r="M196" s="310">
        <f>'d3'!M196-d3П!M191</f>
        <v>0</v>
      </c>
      <c r="N196" s="310">
        <f>'d3'!N196-d3П!N191</f>
        <v>0</v>
      </c>
      <c r="O196" s="310">
        <f>'d3'!O196-d3П!O191</f>
        <v>-395442</v>
      </c>
      <c r="P196" s="310">
        <f>'d3'!P196-d3П!P191</f>
        <v>2508976</v>
      </c>
      <c r="Q196" s="20"/>
      <c r="R196" s="46"/>
    </row>
    <row r="197" spans="1:18" ht="66.75" customHeight="1" thickTop="1" thickBot="1" x14ac:dyDescent="0.25">
      <c r="A197" s="101" t="s">
        <v>326</v>
      </c>
      <c r="B197" s="101" t="s">
        <v>328</v>
      </c>
      <c r="C197" s="101" t="s">
        <v>190</v>
      </c>
      <c r="D197" s="600" t="s">
        <v>329</v>
      </c>
      <c r="E197" s="310">
        <f>'d3'!E197-d3П!E192</f>
        <v>44154290</v>
      </c>
      <c r="F197" s="310">
        <f>'d3'!F197-d3П!F192</f>
        <v>44154290</v>
      </c>
      <c r="G197" s="310">
        <f>'d3'!G197-d3П!G192</f>
        <v>0</v>
      </c>
      <c r="H197" s="310">
        <f>'d3'!H197-d3П!H192</f>
        <v>0</v>
      </c>
      <c r="I197" s="310">
        <f>'d3'!I197-d3П!I192</f>
        <v>0</v>
      </c>
      <c r="J197" s="310">
        <f>'d3'!J197-d3П!J192</f>
        <v>0</v>
      </c>
      <c r="K197" s="310">
        <f>'d3'!K197-d3П!K192</f>
        <v>0</v>
      </c>
      <c r="L197" s="310">
        <f>'d3'!L197-d3П!L192</f>
        <v>0</v>
      </c>
      <c r="M197" s="310">
        <f>'d3'!M197-d3П!M192</f>
        <v>0</v>
      </c>
      <c r="N197" s="310">
        <f>'d3'!N197-d3П!N192</f>
        <v>0</v>
      </c>
      <c r="O197" s="310">
        <f>'d3'!O197-d3П!O192</f>
        <v>0</v>
      </c>
      <c r="P197" s="310">
        <f>'d3'!P197-d3П!P192</f>
        <v>44154290</v>
      </c>
      <c r="Q197" s="20"/>
      <c r="R197" s="46"/>
    </row>
    <row r="198" spans="1:18" ht="138.75" thickTop="1" thickBot="1" x14ac:dyDescent="0.25">
      <c r="A198" s="101" t="s">
        <v>1720</v>
      </c>
      <c r="B198" s="101" t="s">
        <v>1719</v>
      </c>
      <c r="C198" s="101" t="s">
        <v>184</v>
      </c>
      <c r="D198" s="600" t="s">
        <v>1718</v>
      </c>
      <c r="E198" s="310">
        <f>'d3'!E198-d3П!E193</f>
        <v>0</v>
      </c>
      <c r="F198" s="310">
        <f>'d3'!F198-d3П!F193</f>
        <v>0</v>
      </c>
      <c r="G198" s="310">
        <f>'d3'!G198-d3П!G193</f>
        <v>0</v>
      </c>
      <c r="H198" s="310">
        <f>'d3'!H198-d3П!H193</f>
        <v>0</v>
      </c>
      <c r="I198" s="310">
        <f>'d3'!I198-d3П!I193</f>
        <v>0</v>
      </c>
      <c r="J198" s="310">
        <f>'d3'!J198-d3П!J193</f>
        <v>8077040</v>
      </c>
      <c r="K198" s="310">
        <f>'d3'!K198-d3П!K193</f>
        <v>8077040</v>
      </c>
      <c r="L198" s="310">
        <f>'d3'!L198-d3П!L193</f>
        <v>0</v>
      </c>
      <c r="M198" s="310">
        <f>'d3'!M198-d3П!M193</f>
        <v>0</v>
      </c>
      <c r="N198" s="310">
        <f>'d3'!N198-d3П!N193</f>
        <v>0</v>
      </c>
      <c r="O198" s="310">
        <f>'d3'!O198-d3П!O193</f>
        <v>8077040</v>
      </c>
      <c r="P198" s="310">
        <f>'d3'!P198-d3П!P193</f>
        <v>8077040</v>
      </c>
      <c r="Q198" s="20"/>
      <c r="R198" s="46"/>
    </row>
    <row r="199" spans="1:18" ht="66.75" customHeight="1" thickTop="1" thickBot="1" x14ac:dyDescent="0.25">
      <c r="A199" s="101" t="s">
        <v>1592</v>
      </c>
      <c r="B199" s="101" t="s">
        <v>1593</v>
      </c>
      <c r="C199" s="101" t="s">
        <v>190</v>
      </c>
      <c r="D199" s="101" t="s">
        <v>1594</v>
      </c>
      <c r="E199" s="310">
        <f>'d3'!E199-d3П!E194</f>
        <v>0</v>
      </c>
      <c r="F199" s="310">
        <f>'d3'!F199-d3П!F194</f>
        <v>0</v>
      </c>
      <c r="G199" s="310">
        <f>'d3'!G199-d3П!G194</f>
        <v>0</v>
      </c>
      <c r="H199" s="310">
        <f>'d3'!H199-d3П!H194</f>
        <v>0</v>
      </c>
      <c r="I199" s="310">
        <f>'d3'!I199-d3П!I194</f>
        <v>0</v>
      </c>
      <c r="J199" s="310">
        <f>'d3'!J199-d3П!J194</f>
        <v>-2000000</v>
      </c>
      <c r="K199" s="310">
        <f>'d3'!K199-d3П!K194</f>
        <v>-2000000</v>
      </c>
      <c r="L199" s="310">
        <f>'d3'!L199-d3П!L194</f>
        <v>0</v>
      </c>
      <c r="M199" s="310">
        <f>'d3'!M199-d3П!M194</f>
        <v>0</v>
      </c>
      <c r="N199" s="310">
        <f>'d3'!N199-d3П!N194</f>
        <v>0</v>
      </c>
      <c r="O199" s="310">
        <f>'d3'!O199-d3П!O194</f>
        <v>-2000000</v>
      </c>
      <c r="P199" s="310">
        <f>'d3'!P199-d3П!P194</f>
        <v>-2000000</v>
      </c>
      <c r="Q199" s="20"/>
      <c r="R199" s="46"/>
    </row>
    <row r="200" spans="1:18" ht="47.25" thickTop="1" thickBot="1" x14ac:dyDescent="0.25">
      <c r="A200" s="298" t="s">
        <v>728</v>
      </c>
      <c r="B200" s="298" t="s">
        <v>729</v>
      </c>
      <c r="C200" s="298"/>
      <c r="D200" s="597" t="s">
        <v>730</v>
      </c>
      <c r="E200" s="310">
        <f>'d3'!E200-d3П!E195</f>
        <v>0</v>
      </c>
      <c r="F200" s="310">
        <f>'d3'!F200-d3П!F195</f>
        <v>0</v>
      </c>
      <c r="G200" s="310">
        <f>'d3'!G200-d3П!G195</f>
        <v>0</v>
      </c>
      <c r="H200" s="310">
        <f>'d3'!H200-d3П!H195</f>
        <v>0</v>
      </c>
      <c r="I200" s="310">
        <f>'d3'!I200-d3П!I195</f>
        <v>0</v>
      </c>
      <c r="J200" s="310">
        <f>'d3'!J200-d3П!J195</f>
        <v>20770000</v>
      </c>
      <c r="K200" s="310">
        <f>'d3'!K200-d3П!K195</f>
        <v>20770000</v>
      </c>
      <c r="L200" s="310">
        <f>'d3'!L200-d3П!L195</f>
        <v>0</v>
      </c>
      <c r="M200" s="310">
        <f>'d3'!M200-d3П!M195</f>
        <v>0</v>
      </c>
      <c r="N200" s="310">
        <f>'d3'!N200-d3П!N195</f>
        <v>0</v>
      </c>
      <c r="O200" s="310">
        <f>'d3'!O200-d3П!O195</f>
        <v>20770000</v>
      </c>
      <c r="P200" s="310">
        <f>'d3'!P200-d3П!P195</f>
        <v>20770000</v>
      </c>
      <c r="Q200" s="20"/>
      <c r="R200" s="46"/>
    </row>
    <row r="201" spans="1:18" s="33" customFormat="1" ht="48" thickTop="1" thickBot="1" x14ac:dyDescent="0.25">
      <c r="A201" s="598" t="s">
        <v>731</v>
      </c>
      <c r="B201" s="598" t="s">
        <v>732</v>
      </c>
      <c r="C201" s="598"/>
      <c r="D201" s="638" t="s">
        <v>733</v>
      </c>
      <c r="E201" s="310">
        <f>'d3'!E201-d3П!E196</f>
        <v>0</v>
      </c>
      <c r="F201" s="310">
        <f>'d3'!F201-d3П!F196</f>
        <v>0</v>
      </c>
      <c r="G201" s="310">
        <f>'d3'!G201-d3П!G196</f>
        <v>0</v>
      </c>
      <c r="H201" s="310">
        <f>'d3'!H201-d3П!H196</f>
        <v>0</v>
      </c>
      <c r="I201" s="310">
        <f>'d3'!I201-d3П!I196</f>
        <v>0</v>
      </c>
      <c r="J201" s="310">
        <f>'d3'!J201-d3П!J196</f>
        <v>20770000</v>
      </c>
      <c r="K201" s="310">
        <f>'d3'!K201-d3П!K196</f>
        <v>20770000</v>
      </c>
      <c r="L201" s="310">
        <f>'d3'!L201-d3П!L196</f>
        <v>0</v>
      </c>
      <c r="M201" s="310">
        <f>'d3'!M201-d3П!M196</f>
        <v>0</v>
      </c>
      <c r="N201" s="310">
        <f>'d3'!N201-d3П!N196</f>
        <v>0</v>
      </c>
      <c r="O201" s="310">
        <f>'d3'!O201-d3П!O196</f>
        <v>20770000</v>
      </c>
      <c r="P201" s="310">
        <f>'d3'!P201-d3П!P196</f>
        <v>20770000</v>
      </c>
      <c r="Q201" s="36"/>
      <c r="R201" s="52"/>
    </row>
    <row r="202" spans="1:18" ht="93" thickTop="1" thickBot="1" x14ac:dyDescent="0.25">
      <c r="A202" s="101" t="s">
        <v>363</v>
      </c>
      <c r="B202" s="101" t="s">
        <v>361</v>
      </c>
      <c r="C202" s="101" t="s">
        <v>337</v>
      </c>
      <c r="D202" s="600" t="s">
        <v>362</v>
      </c>
      <c r="E202" s="310">
        <f>'d3'!E202-d3П!E197</f>
        <v>0</v>
      </c>
      <c r="F202" s="310">
        <f>'d3'!F202-d3П!F197</f>
        <v>0</v>
      </c>
      <c r="G202" s="310">
        <f>'d3'!G202-d3П!G197</f>
        <v>0</v>
      </c>
      <c r="H202" s="310">
        <f>'d3'!H202-d3П!H197</f>
        <v>0</v>
      </c>
      <c r="I202" s="310">
        <f>'d3'!I202-d3П!I197</f>
        <v>0</v>
      </c>
      <c r="J202" s="310">
        <f>'d3'!J202-d3П!J197</f>
        <v>20770000</v>
      </c>
      <c r="K202" s="310">
        <f>'d3'!K202-d3П!K197</f>
        <v>20770000</v>
      </c>
      <c r="L202" s="310">
        <f>'d3'!L202-d3П!L197</f>
        <v>0</v>
      </c>
      <c r="M202" s="310">
        <f>'d3'!M202-d3П!M197</f>
        <v>0</v>
      </c>
      <c r="N202" s="310">
        <f>'d3'!N202-d3П!N197</f>
        <v>0</v>
      </c>
      <c r="O202" s="310">
        <f>'d3'!O202-d3П!O197</f>
        <v>20770000</v>
      </c>
      <c r="P202" s="310">
        <f>'d3'!P202-d3П!P197</f>
        <v>20770000</v>
      </c>
      <c r="Q202" s="20"/>
      <c r="R202" s="46"/>
    </row>
    <row r="203" spans="1:18" ht="197.45" hidden="1" customHeight="1" thickTop="1" thickBot="1" x14ac:dyDescent="0.25">
      <c r="A203" s="126" t="s">
        <v>1039</v>
      </c>
      <c r="B203" s="126" t="s">
        <v>1040</v>
      </c>
      <c r="C203" s="126" t="s">
        <v>337</v>
      </c>
      <c r="D203" s="369" t="s">
        <v>1041</v>
      </c>
      <c r="E203" s="125">
        <f t="shared" ref="E203:E208" si="17">F203</f>
        <v>0</v>
      </c>
      <c r="F203" s="132"/>
      <c r="G203" s="132"/>
      <c r="H203" s="132"/>
      <c r="I203" s="132"/>
      <c r="J203" s="125">
        <f t="shared" ref="J203:J208" si="18">L203+O203</f>
        <v>0</v>
      </c>
      <c r="K203" s="132"/>
      <c r="L203" s="132"/>
      <c r="M203" s="132"/>
      <c r="N203" s="132"/>
      <c r="O203" s="130">
        <f t="shared" ref="O203:O208" si="19">K203</f>
        <v>0</v>
      </c>
      <c r="P203" s="125">
        <f t="shared" ref="P203:P208" si="20">E203+J203</f>
        <v>0</v>
      </c>
      <c r="Q203" s="20"/>
      <c r="R203" s="46"/>
    </row>
    <row r="204" spans="1:18" ht="47.25" hidden="1" thickTop="1" thickBot="1" x14ac:dyDescent="0.25">
      <c r="A204" s="123" t="s">
        <v>737</v>
      </c>
      <c r="B204" s="123" t="s">
        <v>735</v>
      </c>
      <c r="C204" s="123"/>
      <c r="D204" s="123" t="s">
        <v>736</v>
      </c>
      <c r="E204" s="125">
        <f>E205</f>
        <v>0</v>
      </c>
      <c r="F204" s="125">
        <f t="shared" ref="F204:P204" si="21">F205</f>
        <v>0</v>
      </c>
      <c r="G204" s="125">
        <f t="shared" si="21"/>
        <v>0</v>
      </c>
      <c r="H204" s="125">
        <f t="shared" si="21"/>
        <v>0</v>
      </c>
      <c r="I204" s="125">
        <f t="shared" si="21"/>
        <v>0</v>
      </c>
      <c r="J204" s="125">
        <f t="shared" si="21"/>
        <v>0</v>
      </c>
      <c r="K204" s="125">
        <f t="shared" si="21"/>
        <v>0</v>
      </c>
      <c r="L204" s="125">
        <f t="shared" si="21"/>
        <v>0</v>
      </c>
      <c r="M204" s="125">
        <f t="shared" si="21"/>
        <v>0</v>
      </c>
      <c r="N204" s="125">
        <f t="shared" si="21"/>
        <v>0</v>
      </c>
      <c r="O204" s="125">
        <f t="shared" si="21"/>
        <v>0</v>
      </c>
      <c r="P204" s="125">
        <f t="shared" si="21"/>
        <v>0</v>
      </c>
      <c r="Q204" s="20"/>
      <c r="R204" s="46"/>
    </row>
    <row r="205" spans="1:18" ht="47.25" hidden="1" thickTop="1" thickBot="1" x14ac:dyDescent="0.25">
      <c r="A205" s="134" t="s">
        <v>739</v>
      </c>
      <c r="B205" s="134" t="s">
        <v>679</v>
      </c>
      <c r="C205" s="134"/>
      <c r="D205" s="134" t="s">
        <v>677</v>
      </c>
      <c r="E205" s="135">
        <f>E207+E206</f>
        <v>0</v>
      </c>
      <c r="F205" s="135">
        <f t="shared" ref="F205:I205" si="22">F207+F206</f>
        <v>0</v>
      </c>
      <c r="G205" s="135">
        <f t="shared" si="22"/>
        <v>0</v>
      </c>
      <c r="H205" s="135">
        <f t="shared" si="22"/>
        <v>0</v>
      </c>
      <c r="I205" s="135">
        <f t="shared" si="22"/>
        <v>0</v>
      </c>
      <c r="J205" s="135">
        <f>J207+J206</f>
        <v>0</v>
      </c>
      <c r="K205" s="135">
        <f t="shared" ref="K205:O205" si="23">K207+K206</f>
        <v>0</v>
      </c>
      <c r="L205" s="135">
        <f t="shared" si="23"/>
        <v>0</v>
      </c>
      <c r="M205" s="135">
        <f t="shared" si="23"/>
        <v>0</v>
      </c>
      <c r="N205" s="135">
        <f t="shared" si="23"/>
        <v>0</v>
      </c>
      <c r="O205" s="135">
        <f t="shared" si="23"/>
        <v>0</v>
      </c>
      <c r="P205" s="135">
        <f>P207+P206</f>
        <v>0</v>
      </c>
      <c r="Q205" s="20"/>
      <c r="R205" s="46"/>
    </row>
    <row r="206" spans="1:18" ht="48" hidden="1" thickTop="1" thickBot="1" x14ac:dyDescent="0.25">
      <c r="A206" s="126" t="s">
        <v>1260</v>
      </c>
      <c r="B206" s="126" t="s">
        <v>211</v>
      </c>
      <c r="C206" s="126" t="s">
        <v>212</v>
      </c>
      <c r="D206" s="126" t="s">
        <v>41</v>
      </c>
      <c r="E206" s="125">
        <f t="shared" ref="E206" si="24">F206</f>
        <v>0</v>
      </c>
      <c r="F206" s="132">
        <v>0</v>
      </c>
      <c r="G206" s="132"/>
      <c r="H206" s="132"/>
      <c r="I206" s="132"/>
      <c r="J206" s="125">
        <f t="shared" ref="J206" si="25">L206+O206</f>
        <v>0</v>
      </c>
      <c r="K206" s="132"/>
      <c r="L206" s="132"/>
      <c r="M206" s="132"/>
      <c r="N206" s="132"/>
      <c r="O206" s="130">
        <f t="shared" ref="O206" si="26">K206</f>
        <v>0</v>
      </c>
      <c r="P206" s="125">
        <f t="shared" ref="P206" si="27">E206+J206</f>
        <v>0</v>
      </c>
      <c r="Q206" s="20"/>
      <c r="R206" s="46"/>
    </row>
    <row r="207" spans="1:18" ht="48" hidden="1" thickTop="1" thickBot="1" x14ac:dyDescent="0.25">
      <c r="A207" s="138" t="s">
        <v>738</v>
      </c>
      <c r="B207" s="138" t="s">
        <v>682</v>
      </c>
      <c r="C207" s="138"/>
      <c r="D207" s="151" t="s">
        <v>680</v>
      </c>
      <c r="E207" s="139">
        <f>E208</f>
        <v>0</v>
      </c>
      <c r="F207" s="139">
        <f t="shared" ref="F207:P207" si="28">F208</f>
        <v>0</v>
      </c>
      <c r="G207" s="139">
        <f t="shared" si="28"/>
        <v>0</v>
      </c>
      <c r="H207" s="139">
        <f t="shared" si="28"/>
        <v>0</v>
      </c>
      <c r="I207" s="139">
        <f t="shared" si="28"/>
        <v>0</v>
      </c>
      <c r="J207" s="139">
        <f t="shared" si="28"/>
        <v>0</v>
      </c>
      <c r="K207" s="139">
        <f t="shared" si="28"/>
        <v>0</v>
      </c>
      <c r="L207" s="139">
        <f t="shared" si="28"/>
        <v>0</v>
      </c>
      <c r="M207" s="139">
        <f t="shared" si="28"/>
        <v>0</v>
      </c>
      <c r="N207" s="139">
        <f t="shared" si="28"/>
        <v>0</v>
      </c>
      <c r="O207" s="139">
        <f t="shared" si="28"/>
        <v>0</v>
      </c>
      <c r="P207" s="139">
        <f t="shared" si="28"/>
        <v>0</v>
      </c>
      <c r="Q207" s="20"/>
      <c r="R207" s="46"/>
    </row>
    <row r="208" spans="1:18" ht="184.5" hidden="1" thickTop="1" thickBot="1" x14ac:dyDescent="0.7">
      <c r="A208" s="770" t="s">
        <v>418</v>
      </c>
      <c r="B208" s="770" t="s">
        <v>335</v>
      </c>
      <c r="C208" s="770" t="s">
        <v>169</v>
      </c>
      <c r="D208" s="152" t="s">
        <v>435</v>
      </c>
      <c r="E208" s="765">
        <f t="shared" si="17"/>
        <v>0</v>
      </c>
      <c r="F208" s="755"/>
      <c r="G208" s="755"/>
      <c r="H208" s="755"/>
      <c r="I208" s="755"/>
      <c r="J208" s="765">
        <f t="shared" si="18"/>
        <v>0</v>
      </c>
      <c r="K208" s="755"/>
      <c r="L208" s="755"/>
      <c r="M208" s="755"/>
      <c r="N208" s="755"/>
      <c r="O208" s="807">
        <f t="shared" si="19"/>
        <v>0</v>
      </c>
      <c r="P208" s="805">
        <f t="shared" si="20"/>
        <v>0</v>
      </c>
      <c r="Q208" s="20"/>
      <c r="R208" s="50"/>
    </row>
    <row r="209" spans="1:18" ht="93" hidden="1" thickTop="1" thickBot="1" x14ac:dyDescent="0.25">
      <c r="A209" s="766"/>
      <c r="B209" s="771"/>
      <c r="C209" s="766"/>
      <c r="D209" s="153" t="s">
        <v>436</v>
      </c>
      <c r="E209" s="766"/>
      <c r="F209" s="756"/>
      <c r="G209" s="756"/>
      <c r="H209" s="756"/>
      <c r="I209" s="756"/>
      <c r="J209" s="766"/>
      <c r="K209" s="766"/>
      <c r="L209" s="756"/>
      <c r="M209" s="756"/>
      <c r="N209" s="756"/>
      <c r="O209" s="808"/>
      <c r="P209" s="809"/>
      <c r="Q209" s="20"/>
      <c r="R209" s="50"/>
    </row>
    <row r="210" spans="1:18" ht="120" customHeight="1" thickTop="1" thickBot="1" x14ac:dyDescent="0.25">
      <c r="A210" s="624">
        <v>1000000</v>
      </c>
      <c r="B210" s="624"/>
      <c r="C210" s="624"/>
      <c r="D210" s="625" t="s">
        <v>24</v>
      </c>
      <c r="E210" s="626">
        <f>E211</f>
        <v>4444290</v>
      </c>
      <c r="F210" s="627">
        <f t="shared" ref="F210:G210" si="29">F211</f>
        <v>4444290</v>
      </c>
      <c r="G210" s="627">
        <f t="shared" si="29"/>
        <v>3591318</v>
      </c>
      <c r="H210" s="627">
        <f>H211</f>
        <v>0</v>
      </c>
      <c r="I210" s="627">
        <f>I211</f>
        <v>0</v>
      </c>
      <c r="J210" s="626">
        <f>J211</f>
        <v>48710</v>
      </c>
      <c r="K210" s="627">
        <f>K211</f>
        <v>48710</v>
      </c>
      <c r="L210" s="627">
        <f>L211</f>
        <v>0</v>
      </c>
      <c r="M210" s="627">
        <f t="shared" ref="M210" si="30">M211</f>
        <v>0</v>
      </c>
      <c r="N210" s="627">
        <f>N211</f>
        <v>0</v>
      </c>
      <c r="O210" s="626">
        <f>O211</f>
        <v>48710</v>
      </c>
      <c r="P210" s="627">
        <f t="shared" ref="P210" si="31">P211</f>
        <v>4493000</v>
      </c>
      <c r="Q210" s="20"/>
    </row>
    <row r="211" spans="1:18" ht="120" customHeight="1" thickTop="1" thickBot="1" x14ac:dyDescent="0.25">
      <c r="A211" s="588">
        <v>1010000</v>
      </c>
      <c r="B211" s="588"/>
      <c r="C211" s="588"/>
      <c r="D211" s="589" t="s">
        <v>39</v>
      </c>
      <c r="E211" s="590">
        <f>E212+E214+E228+E222</f>
        <v>4444290</v>
      </c>
      <c r="F211" s="590">
        <f>F212+F214+F228+F222</f>
        <v>4444290</v>
      </c>
      <c r="G211" s="590">
        <f>G212+G214+G228+G222</f>
        <v>3591318</v>
      </c>
      <c r="H211" s="590">
        <f>H212+H214+H228+H222</f>
        <v>0</v>
      </c>
      <c r="I211" s="590">
        <f>I212+I214+I228+I222</f>
        <v>0</v>
      </c>
      <c r="J211" s="590">
        <f t="shared" ref="J211" si="32">L211+O211</f>
        <v>48710</v>
      </c>
      <c r="K211" s="590">
        <f>K212+K214+K228+K222</f>
        <v>48710</v>
      </c>
      <c r="L211" s="590">
        <f>L212+L214+L228+L222</f>
        <v>0</v>
      </c>
      <c r="M211" s="590">
        <f>M212+M214+M228+M222</f>
        <v>0</v>
      </c>
      <c r="N211" s="590">
        <f>N212+N214+N228+N222</f>
        <v>0</v>
      </c>
      <c r="O211" s="590">
        <f>O212+O214+O228+O222</f>
        <v>48710</v>
      </c>
      <c r="P211" s="590">
        <f t="shared" ref="P211" si="33">E211+J211</f>
        <v>4493000</v>
      </c>
      <c r="Q211" s="452" t="b">
        <f>P211=P213+P215+P216+P217+P220+P221+P225</f>
        <v>1</v>
      </c>
      <c r="R211" s="46"/>
    </row>
    <row r="212" spans="1:18" ht="63" customHeight="1" thickTop="1" thickBot="1" x14ac:dyDescent="0.25">
      <c r="A212" s="298" t="s">
        <v>740</v>
      </c>
      <c r="B212" s="298" t="s">
        <v>695</v>
      </c>
      <c r="C212" s="298"/>
      <c r="D212" s="298" t="s">
        <v>696</v>
      </c>
      <c r="E212" s="310">
        <f>'d3'!E212-d3П!E207</f>
        <v>4381405</v>
      </c>
      <c r="F212" s="310">
        <f>'d3'!F212-d3П!F207</f>
        <v>4381405</v>
      </c>
      <c r="G212" s="310">
        <f>'d3'!G212-d3П!G207</f>
        <v>3591318</v>
      </c>
      <c r="H212" s="310">
        <f>'d3'!H212-d3П!H207</f>
        <v>0</v>
      </c>
      <c r="I212" s="310">
        <f>'d3'!I212-d3П!I207</f>
        <v>0</v>
      </c>
      <c r="J212" s="310">
        <f>'d3'!J212-d3П!J207</f>
        <v>0</v>
      </c>
      <c r="K212" s="310">
        <f>'d3'!K212-d3П!K207</f>
        <v>0</v>
      </c>
      <c r="L212" s="310">
        <f>'d3'!L212-d3П!L207</f>
        <v>0</v>
      </c>
      <c r="M212" s="310">
        <f>'d3'!M212-d3П!M207</f>
        <v>0</v>
      </c>
      <c r="N212" s="310">
        <f>'d3'!N212-d3П!N207</f>
        <v>0</v>
      </c>
      <c r="O212" s="310">
        <f>'d3'!O212-d3П!O207</f>
        <v>0</v>
      </c>
      <c r="P212" s="310">
        <f>'d3'!P212-d3П!P207</f>
        <v>4381405</v>
      </c>
      <c r="Q212" s="47"/>
      <c r="R212" s="46"/>
    </row>
    <row r="213" spans="1:18" ht="66.75" customHeight="1" thickTop="1" thickBot="1" x14ac:dyDescent="0.25">
      <c r="A213" s="101" t="s">
        <v>627</v>
      </c>
      <c r="B213" s="101" t="s">
        <v>628</v>
      </c>
      <c r="C213" s="101" t="s">
        <v>180</v>
      </c>
      <c r="D213" s="101" t="s">
        <v>1083</v>
      </c>
      <c r="E213" s="310">
        <f>'d3'!E213-d3П!E208</f>
        <v>4381405</v>
      </c>
      <c r="F213" s="310">
        <f>'d3'!F213-d3П!F208</f>
        <v>4381405</v>
      </c>
      <c r="G213" s="310">
        <f>'d3'!G213-d3П!G208</f>
        <v>3591318</v>
      </c>
      <c r="H213" s="310">
        <f>'d3'!H213-d3П!H208</f>
        <v>0</v>
      </c>
      <c r="I213" s="310">
        <f>'d3'!I213-d3П!I208</f>
        <v>0</v>
      </c>
      <c r="J213" s="310">
        <f>'d3'!J213-d3П!J208</f>
        <v>0</v>
      </c>
      <c r="K213" s="310">
        <f>'d3'!K213-d3П!K208</f>
        <v>0</v>
      </c>
      <c r="L213" s="310">
        <f>'d3'!L213-d3П!L208</f>
        <v>0</v>
      </c>
      <c r="M213" s="310">
        <f>'d3'!M213-d3П!M208</f>
        <v>0</v>
      </c>
      <c r="N213" s="310">
        <f>'d3'!N213-d3П!N208</f>
        <v>0</v>
      </c>
      <c r="O213" s="310">
        <f>'d3'!O213-d3П!O208</f>
        <v>0</v>
      </c>
      <c r="P213" s="310">
        <f>'d3'!P213-d3П!P208</f>
        <v>4381405</v>
      </c>
      <c r="Q213" s="20"/>
      <c r="R213" s="46"/>
    </row>
    <row r="214" spans="1:18" s="24" customFormat="1" ht="63" customHeight="1" thickTop="1" thickBot="1" x14ac:dyDescent="0.25">
      <c r="A214" s="298" t="s">
        <v>741</v>
      </c>
      <c r="B214" s="298" t="s">
        <v>742</v>
      </c>
      <c r="C214" s="298"/>
      <c r="D214" s="298" t="s">
        <v>743</v>
      </c>
      <c r="E214" s="310">
        <f>'d3'!E214-d3П!E209</f>
        <v>0</v>
      </c>
      <c r="F214" s="310">
        <f>'d3'!F214-d3П!F209</f>
        <v>0</v>
      </c>
      <c r="G214" s="310">
        <f>'d3'!G214-d3П!G209</f>
        <v>0</v>
      </c>
      <c r="H214" s="310">
        <f>'d3'!H214-d3П!H209</f>
        <v>0</v>
      </c>
      <c r="I214" s="310">
        <f>'d3'!I214-d3П!I209</f>
        <v>0</v>
      </c>
      <c r="J214" s="310">
        <f>'d3'!J214-d3П!J209</f>
        <v>48710</v>
      </c>
      <c r="K214" s="310">
        <f>'d3'!K214-d3П!K209</f>
        <v>48710</v>
      </c>
      <c r="L214" s="310">
        <f>'d3'!L214-d3П!L209</f>
        <v>0</v>
      </c>
      <c r="M214" s="310">
        <f>'d3'!M214-d3П!M209</f>
        <v>0</v>
      </c>
      <c r="N214" s="310">
        <f>'d3'!N214-d3П!N209</f>
        <v>0</v>
      </c>
      <c r="O214" s="310">
        <f>'d3'!O214-d3П!O209</f>
        <v>48710</v>
      </c>
      <c r="P214" s="310">
        <f>'d3'!P214-d3П!P209</f>
        <v>48710</v>
      </c>
      <c r="Q214" s="25"/>
      <c r="R214" s="50"/>
    </row>
    <row r="215" spans="1:18" ht="66.75" customHeight="1" thickTop="1" thickBot="1" x14ac:dyDescent="0.25">
      <c r="A215" s="101" t="s">
        <v>171</v>
      </c>
      <c r="B215" s="101" t="s">
        <v>172</v>
      </c>
      <c r="C215" s="101" t="s">
        <v>173</v>
      </c>
      <c r="D215" s="101" t="s">
        <v>174</v>
      </c>
      <c r="E215" s="310">
        <f>'d3'!E215-d3П!E210</f>
        <v>0</v>
      </c>
      <c r="F215" s="310">
        <f>'d3'!F215-d3П!F210</f>
        <v>0</v>
      </c>
      <c r="G215" s="310">
        <f>'d3'!G215-d3П!G210</f>
        <v>0</v>
      </c>
      <c r="H215" s="310">
        <f>'d3'!H215-d3П!H210</f>
        <v>0</v>
      </c>
      <c r="I215" s="310">
        <f>'d3'!I215-d3П!I210</f>
        <v>0</v>
      </c>
      <c r="J215" s="310">
        <f>'d3'!J215-d3П!J210</f>
        <v>0</v>
      </c>
      <c r="K215" s="310">
        <f>'d3'!K215-d3П!K210</f>
        <v>0</v>
      </c>
      <c r="L215" s="310">
        <f>'d3'!L215-d3П!L210</f>
        <v>0</v>
      </c>
      <c r="M215" s="310">
        <f>'d3'!M215-d3П!M210</f>
        <v>0</v>
      </c>
      <c r="N215" s="310">
        <f>'d3'!N215-d3П!N210</f>
        <v>0</v>
      </c>
      <c r="O215" s="310">
        <f>'d3'!O215-d3П!O210</f>
        <v>0</v>
      </c>
      <c r="P215" s="310">
        <f>'d3'!P215-d3П!P210</f>
        <v>0</v>
      </c>
      <c r="Q215" s="20"/>
      <c r="R215" s="46"/>
    </row>
    <row r="216" spans="1:18" ht="66.75" customHeight="1" thickTop="1" thickBot="1" x14ac:dyDescent="0.25">
      <c r="A216" s="101" t="s">
        <v>175</v>
      </c>
      <c r="B216" s="101" t="s">
        <v>176</v>
      </c>
      <c r="C216" s="101" t="s">
        <v>173</v>
      </c>
      <c r="D216" s="101" t="s">
        <v>458</v>
      </c>
      <c r="E216" s="310">
        <f>'d3'!E216-d3П!E211</f>
        <v>0</v>
      </c>
      <c r="F216" s="310">
        <f>'d3'!F216-d3П!F211</f>
        <v>0</v>
      </c>
      <c r="G216" s="310">
        <f>'d3'!G216-d3П!G211</f>
        <v>0</v>
      </c>
      <c r="H216" s="310">
        <f>'d3'!H216-d3П!H211</f>
        <v>0</v>
      </c>
      <c r="I216" s="310">
        <f>'d3'!I216-d3П!I211</f>
        <v>0</v>
      </c>
      <c r="J216" s="310">
        <f>'d3'!J216-d3П!J211</f>
        <v>0</v>
      </c>
      <c r="K216" s="310">
        <f>'d3'!K216-d3П!K211</f>
        <v>0</v>
      </c>
      <c r="L216" s="310">
        <f>'d3'!L216-d3П!L211</f>
        <v>0</v>
      </c>
      <c r="M216" s="310">
        <f>'d3'!M216-d3П!M211</f>
        <v>0</v>
      </c>
      <c r="N216" s="310">
        <f>'d3'!N216-d3П!N211</f>
        <v>0</v>
      </c>
      <c r="O216" s="310">
        <f>'d3'!O216-d3П!O211</f>
        <v>0</v>
      </c>
      <c r="P216" s="310">
        <f>'d3'!P216-d3П!P211</f>
        <v>0</v>
      </c>
      <c r="Q216" s="20"/>
      <c r="R216" s="46"/>
    </row>
    <row r="217" spans="1:18" ht="118.5" customHeight="1" thickTop="1" thickBot="1" x14ac:dyDescent="0.25">
      <c r="A217" s="101" t="s">
        <v>177</v>
      </c>
      <c r="B217" s="101" t="s">
        <v>170</v>
      </c>
      <c r="C217" s="101" t="s">
        <v>178</v>
      </c>
      <c r="D217" s="101" t="s">
        <v>179</v>
      </c>
      <c r="E217" s="310">
        <f>'d3'!E217-d3П!E212</f>
        <v>0</v>
      </c>
      <c r="F217" s="310">
        <f>'d3'!F217-d3П!F212</f>
        <v>0</v>
      </c>
      <c r="G217" s="310">
        <f>'d3'!G217-d3П!G212</f>
        <v>0</v>
      </c>
      <c r="H217" s="310">
        <f>'d3'!H217-d3П!H212</f>
        <v>0</v>
      </c>
      <c r="I217" s="310">
        <f>'d3'!I217-d3П!I212</f>
        <v>0</v>
      </c>
      <c r="J217" s="310">
        <f>'d3'!J217-d3П!J212</f>
        <v>48710</v>
      </c>
      <c r="K217" s="310">
        <f>'d3'!K217-d3П!K212</f>
        <v>48710</v>
      </c>
      <c r="L217" s="310">
        <f>'d3'!L217-d3П!L212</f>
        <v>0</v>
      </c>
      <c r="M217" s="310">
        <f>'d3'!M217-d3П!M212</f>
        <v>0</v>
      </c>
      <c r="N217" s="310">
        <f>'d3'!N217-d3П!N212</f>
        <v>0</v>
      </c>
      <c r="O217" s="310">
        <f>'d3'!O217-d3П!O212</f>
        <v>48710</v>
      </c>
      <c r="P217" s="310">
        <f>'d3'!P217-d3П!P212</f>
        <v>48710</v>
      </c>
      <c r="Q217" s="20"/>
      <c r="R217" s="46"/>
    </row>
    <row r="218" spans="1:18" ht="47.25" hidden="1" thickTop="1" thickBot="1" x14ac:dyDescent="0.25">
      <c r="A218" s="126" t="s">
        <v>1153</v>
      </c>
      <c r="B218" s="126" t="s">
        <v>1154</v>
      </c>
      <c r="C218" s="126" t="s">
        <v>1156</v>
      </c>
      <c r="D218" s="126" t="s">
        <v>1155</v>
      </c>
      <c r="E218" s="310">
        <f>'d3'!E218-d3П!E213</f>
        <v>0</v>
      </c>
      <c r="F218" s="310">
        <f>'d3'!F218-d3П!F213</f>
        <v>0</v>
      </c>
      <c r="G218" s="310">
        <f>'d3'!G218-d3П!G213</f>
        <v>0</v>
      </c>
      <c r="H218" s="310">
        <f>'d3'!H218-d3П!H213</f>
        <v>0</v>
      </c>
      <c r="I218" s="310">
        <f>'d3'!I218-d3П!I213</f>
        <v>0</v>
      </c>
      <c r="J218" s="310">
        <f>'d3'!J218-d3П!J213</f>
        <v>0</v>
      </c>
      <c r="K218" s="310">
        <f>'d3'!K218-d3П!K213</f>
        <v>0</v>
      </c>
      <c r="L218" s="310">
        <f>'d3'!L218-d3П!L213</f>
        <v>0</v>
      </c>
      <c r="M218" s="310">
        <f>'d3'!M218-d3П!M213</f>
        <v>0</v>
      </c>
      <c r="N218" s="310">
        <f>'d3'!N218-d3П!N213</f>
        <v>0</v>
      </c>
      <c r="O218" s="310">
        <f>'d3'!O218-d3П!O213</f>
        <v>0</v>
      </c>
      <c r="P218" s="310">
        <f>'d3'!P218-d3П!P213</f>
        <v>0</v>
      </c>
      <c r="Q218" s="20"/>
      <c r="R218" s="46"/>
    </row>
    <row r="219" spans="1:18" ht="63.75" customHeight="1" thickTop="1" thickBot="1" x14ac:dyDescent="0.25">
      <c r="A219" s="598" t="s">
        <v>744</v>
      </c>
      <c r="B219" s="598" t="s">
        <v>745</v>
      </c>
      <c r="C219" s="598"/>
      <c r="D219" s="598" t="s">
        <v>746</v>
      </c>
      <c r="E219" s="310">
        <f>'d3'!E219-d3П!E214</f>
        <v>0</v>
      </c>
      <c r="F219" s="310">
        <f>'d3'!F219-d3П!F214</f>
        <v>0</v>
      </c>
      <c r="G219" s="310">
        <f>'d3'!G219-d3П!G214</f>
        <v>0</v>
      </c>
      <c r="H219" s="310">
        <f>'d3'!H219-d3П!H214</f>
        <v>0</v>
      </c>
      <c r="I219" s="310">
        <f>'d3'!I219-d3П!I214</f>
        <v>0</v>
      </c>
      <c r="J219" s="310">
        <f>'d3'!J219-d3П!J214</f>
        <v>0</v>
      </c>
      <c r="K219" s="310">
        <f>'d3'!K219-d3П!K214</f>
        <v>0</v>
      </c>
      <c r="L219" s="310">
        <f>'d3'!L219-d3П!L214</f>
        <v>0</v>
      </c>
      <c r="M219" s="310">
        <f>'d3'!M219-d3П!M214</f>
        <v>0</v>
      </c>
      <c r="N219" s="310">
        <f>'d3'!N219-d3П!N214</f>
        <v>0</v>
      </c>
      <c r="O219" s="310">
        <f>'d3'!O219-d3П!O214</f>
        <v>0</v>
      </c>
      <c r="P219" s="310">
        <f>'d3'!P219-d3П!P214</f>
        <v>0</v>
      </c>
      <c r="Q219" s="20"/>
      <c r="R219" s="46"/>
    </row>
    <row r="220" spans="1:18" ht="66.75" customHeight="1" thickTop="1" thickBot="1" x14ac:dyDescent="0.25">
      <c r="A220" s="101" t="s">
        <v>330</v>
      </c>
      <c r="B220" s="101" t="s">
        <v>331</v>
      </c>
      <c r="C220" s="101" t="s">
        <v>181</v>
      </c>
      <c r="D220" s="101" t="s">
        <v>459</v>
      </c>
      <c r="E220" s="310">
        <f>'d3'!E220-d3П!E215</f>
        <v>0</v>
      </c>
      <c r="F220" s="310">
        <f>'d3'!F220-d3П!F215</f>
        <v>0</v>
      </c>
      <c r="G220" s="310">
        <f>'d3'!G220-d3П!G215</f>
        <v>0</v>
      </c>
      <c r="H220" s="310">
        <f>'d3'!H220-d3П!H215</f>
        <v>0</v>
      </c>
      <c r="I220" s="310">
        <f>'d3'!I220-d3П!I215</f>
        <v>0</v>
      </c>
      <c r="J220" s="310">
        <f>'d3'!J220-d3П!J215</f>
        <v>0</v>
      </c>
      <c r="K220" s="310">
        <f>'d3'!K220-d3П!K215</f>
        <v>0</v>
      </c>
      <c r="L220" s="310">
        <f>'d3'!L220-d3П!L215</f>
        <v>0</v>
      </c>
      <c r="M220" s="310">
        <f>'d3'!M220-d3П!M215</f>
        <v>0</v>
      </c>
      <c r="N220" s="310">
        <f>'d3'!N220-d3П!N215</f>
        <v>0</v>
      </c>
      <c r="O220" s="310">
        <f>'d3'!O220-d3П!O215</f>
        <v>0</v>
      </c>
      <c r="P220" s="310">
        <f>'d3'!P220-d3П!P215</f>
        <v>0</v>
      </c>
      <c r="Q220" s="20"/>
      <c r="R220" s="46"/>
    </row>
    <row r="221" spans="1:18" ht="72.75" customHeight="1" thickTop="1" thickBot="1" x14ac:dyDescent="0.25">
      <c r="A221" s="101" t="s">
        <v>332</v>
      </c>
      <c r="B221" s="101" t="s">
        <v>333</v>
      </c>
      <c r="C221" s="101" t="s">
        <v>181</v>
      </c>
      <c r="D221" s="101" t="s">
        <v>460</v>
      </c>
      <c r="E221" s="310">
        <f>'d3'!E221-d3П!E216</f>
        <v>0</v>
      </c>
      <c r="F221" s="310">
        <f>'d3'!F221-d3П!F216</f>
        <v>0</v>
      </c>
      <c r="G221" s="310">
        <f>'d3'!G221-d3П!G216</f>
        <v>0</v>
      </c>
      <c r="H221" s="310">
        <f>'d3'!H221-d3П!H216</f>
        <v>0</v>
      </c>
      <c r="I221" s="310">
        <f>'d3'!I221-d3П!I216</f>
        <v>0</v>
      </c>
      <c r="J221" s="310">
        <f>'d3'!J221-d3П!J216</f>
        <v>0</v>
      </c>
      <c r="K221" s="310">
        <f>'d3'!K221-d3П!K216</f>
        <v>0</v>
      </c>
      <c r="L221" s="310">
        <f>'d3'!L221-d3П!L216</f>
        <v>0</v>
      </c>
      <c r="M221" s="310">
        <f>'d3'!M221-d3П!M216</f>
        <v>0</v>
      </c>
      <c r="N221" s="310">
        <f>'d3'!N221-d3П!N216</f>
        <v>0</v>
      </c>
      <c r="O221" s="310">
        <f>'d3'!O221-d3П!O216</f>
        <v>0</v>
      </c>
      <c r="P221" s="310">
        <f>'d3'!P221-d3П!P216</f>
        <v>0</v>
      </c>
      <c r="Q221" s="20"/>
      <c r="R221" s="50"/>
    </row>
    <row r="222" spans="1:18" ht="69" customHeight="1" thickTop="1" thickBot="1" x14ac:dyDescent="0.25">
      <c r="A222" s="298" t="s">
        <v>897</v>
      </c>
      <c r="B222" s="298" t="s">
        <v>735</v>
      </c>
      <c r="C222" s="298"/>
      <c r="D222" s="298" t="s">
        <v>736</v>
      </c>
      <c r="E222" s="310">
        <f>'d3'!E222-d3П!E217</f>
        <v>62885</v>
      </c>
      <c r="F222" s="310">
        <f>'d3'!F222-d3П!F217</f>
        <v>62885</v>
      </c>
      <c r="G222" s="310">
        <f>'d3'!G222-d3П!G217</f>
        <v>0</v>
      </c>
      <c r="H222" s="310">
        <f>'d3'!H222-d3П!H217</f>
        <v>0</v>
      </c>
      <c r="I222" s="310">
        <f>'d3'!I222-d3П!I217</f>
        <v>0</v>
      </c>
      <c r="J222" s="310">
        <f>'d3'!J222-d3П!J217</f>
        <v>0</v>
      </c>
      <c r="K222" s="310">
        <f>'d3'!K222-d3П!K217</f>
        <v>0</v>
      </c>
      <c r="L222" s="310">
        <f>'d3'!L222-d3П!L217</f>
        <v>0</v>
      </c>
      <c r="M222" s="310">
        <f>'d3'!M222-d3П!M217</f>
        <v>0</v>
      </c>
      <c r="N222" s="310">
        <f>'d3'!N222-d3П!N217</f>
        <v>0</v>
      </c>
      <c r="O222" s="310">
        <f>'d3'!O222-d3П!O217</f>
        <v>0</v>
      </c>
      <c r="P222" s="310">
        <f>'d3'!P222-d3П!P217</f>
        <v>62885</v>
      </c>
      <c r="Q222" s="20"/>
      <c r="R222" s="50"/>
    </row>
    <row r="223" spans="1:18" ht="69" customHeight="1" thickTop="1" thickBot="1" x14ac:dyDescent="0.25">
      <c r="A223" s="593" t="s">
        <v>898</v>
      </c>
      <c r="B223" s="593" t="s">
        <v>679</v>
      </c>
      <c r="C223" s="593"/>
      <c r="D223" s="593" t="s">
        <v>677</v>
      </c>
      <c r="E223" s="310">
        <f>'d3'!E223-d3П!E218</f>
        <v>62885</v>
      </c>
      <c r="F223" s="310">
        <f>'d3'!F223-d3П!F218</f>
        <v>62885</v>
      </c>
      <c r="G223" s="310">
        <f>'d3'!G223-d3П!G218</f>
        <v>0</v>
      </c>
      <c r="H223" s="310">
        <f>'d3'!H223-d3П!H218</f>
        <v>0</v>
      </c>
      <c r="I223" s="310">
        <f>'d3'!I223-d3П!I218</f>
        <v>0</v>
      </c>
      <c r="J223" s="310">
        <f>'d3'!J223-d3П!J218</f>
        <v>0</v>
      </c>
      <c r="K223" s="310">
        <f>'d3'!K223-d3П!K218</f>
        <v>0</v>
      </c>
      <c r="L223" s="310">
        <f>'d3'!L223-d3П!L218</f>
        <v>0</v>
      </c>
      <c r="M223" s="310">
        <f>'d3'!M223-d3П!M218</f>
        <v>0</v>
      </c>
      <c r="N223" s="310">
        <f>'d3'!N223-d3П!N218</f>
        <v>0</v>
      </c>
      <c r="O223" s="310">
        <f>'d3'!O223-d3П!O218</f>
        <v>0</v>
      </c>
      <c r="P223" s="310">
        <f>'d3'!P223-d3П!P218</f>
        <v>62885</v>
      </c>
      <c r="Q223" s="20"/>
      <c r="R223" s="50"/>
    </row>
    <row r="224" spans="1:18" ht="66.75" customHeight="1" thickTop="1" thickBot="1" x14ac:dyDescent="0.25">
      <c r="A224" s="598" t="s">
        <v>1000</v>
      </c>
      <c r="B224" s="598" t="s">
        <v>1001</v>
      </c>
      <c r="C224" s="598"/>
      <c r="D224" s="598" t="s">
        <v>999</v>
      </c>
      <c r="E224" s="310">
        <f>'d3'!E224-d3П!E219</f>
        <v>62885</v>
      </c>
      <c r="F224" s="310">
        <f>'d3'!F224-d3П!F219</f>
        <v>62885</v>
      </c>
      <c r="G224" s="310">
        <f>'d3'!G224-d3П!G219</f>
        <v>0</v>
      </c>
      <c r="H224" s="310">
        <f>'d3'!H224-d3П!H219</f>
        <v>0</v>
      </c>
      <c r="I224" s="310">
        <f>'d3'!I224-d3П!I219</f>
        <v>0</v>
      </c>
      <c r="J224" s="310">
        <f>'d3'!J224-d3П!J219</f>
        <v>0</v>
      </c>
      <c r="K224" s="310">
        <f>'d3'!K224-d3П!K219</f>
        <v>0</v>
      </c>
      <c r="L224" s="310">
        <f>'d3'!L224-d3П!L219</f>
        <v>0</v>
      </c>
      <c r="M224" s="310">
        <f>'d3'!M224-d3П!M219</f>
        <v>0</v>
      </c>
      <c r="N224" s="310">
        <f>'d3'!N224-d3П!N219</f>
        <v>0</v>
      </c>
      <c r="O224" s="310">
        <f>'d3'!O224-d3П!O219</f>
        <v>0</v>
      </c>
      <c r="P224" s="310">
        <f>'d3'!P224-d3П!P219</f>
        <v>62885</v>
      </c>
      <c r="Q224" s="20"/>
      <c r="R224" s="50"/>
    </row>
    <row r="225" spans="1:18" ht="76.7" customHeight="1" thickTop="1" thickBot="1" x14ac:dyDescent="0.25">
      <c r="A225" s="101" t="s">
        <v>1003</v>
      </c>
      <c r="B225" s="101" t="s">
        <v>1004</v>
      </c>
      <c r="C225" s="101" t="s">
        <v>212</v>
      </c>
      <c r="D225" s="101" t="s">
        <v>1002</v>
      </c>
      <c r="E225" s="310">
        <f>'d3'!E225-d3П!E220</f>
        <v>62885</v>
      </c>
      <c r="F225" s="310">
        <f>'d3'!F225-d3П!F220</f>
        <v>62885</v>
      </c>
      <c r="G225" s="310">
        <f>'d3'!G225-d3П!G220</f>
        <v>0</v>
      </c>
      <c r="H225" s="310">
        <f>'d3'!H225-d3П!H220</f>
        <v>0</v>
      </c>
      <c r="I225" s="310">
        <f>'d3'!I225-d3П!I220</f>
        <v>0</v>
      </c>
      <c r="J225" s="310">
        <f>'d3'!J225-d3П!J220</f>
        <v>0</v>
      </c>
      <c r="K225" s="310">
        <f>'d3'!K225-d3П!K220</f>
        <v>0</v>
      </c>
      <c r="L225" s="310">
        <f>'d3'!L225-d3П!L220</f>
        <v>0</v>
      </c>
      <c r="M225" s="310">
        <f>'d3'!M225-d3П!M220</f>
        <v>0</v>
      </c>
      <c r="N225" s="310">
        <f>'d3'!N225-d3П!N220</f>
        <v>0</v>
      </c>
      <c r="O225" s="310">
        <f>'d3'!O225-d3П!O220</f>
        <v>0</v>
      </c>
      <c r="P225" s="310">
        <f>'d3'!P225-d3П!P220</f>
        <v>62885</v>
      </c>
      <c r="Q225" s="20"/>
      <c r="R225" s="50"/>
    </row>
    <row r="226" spans="1:18" ht="48" hidden="1" thickTop="1" thickBot="1" x14ac:dyDescent="0.25">
      <c r="A226" s="126" t="s">
        <v>1222</v>
      </c>
      <c r="B226" s="126" t="s">
        <v>211</v>
      </c>
      <c r="C226" s="126" t="s">
        <v>212</v>
      </c>
      <c r="D226" s="126" t="s">
        <v>41</v>
      </c>
      <c r="E226" s="125">
        <f t="shared" ref="E226:E227" si="34">F226</f>
        <v>0</v>
      </c>
      <c r="F226" s="132"/>
      <c r="G226" s="132"/>
      <c r="H226" s="132"/>
      <c r="I226" s="132"/>
      <c r="J226" s="125">
        <f>L226+O226</f>
        <v>0</v>
      </c>
      <c r="K226" s="132"/>
      <c r="L226" s="132"/>
      <c r="M226" s="132"/>
      <c r="N226" s="132"/>
      <c r="O226" s="130">
        <f>K226</f>
        <v>0</v>
      </c>
      <c r="P226" s="125">
        <f>E226+J226</f>
        <v>0</v>
      </c>
      <c r="Q226" s="20"/>
      <c r="R226" s="50"/>
    </row>
    <row r="227" spans="1:18" ht="48" hidden="1" thickTop="1" thickBot="1" x14ac:dyDescent="0.25">
      <c r="A227" s="126" t="s">
        <v>899</v>
      </c>
      <c r="B227" s="126" t="s">
        <v>196</v>
      </c>
      <c r="C227" s="126" t="s">
        <v>169</v>
      </c>
      <c r="D227" s="126" t="s">
        <v>34</v>
      </c>
      <c r="E227" s="125">
        <f t="shared" si="34"/>
        <v>0</v>
      </c>
      <c r="F227" s="132"/>
      <c r="G227" s="132"/>
      <c r="H227" s="132"/>
      <c r="I227" s="132"/>
      <c r="J227" s="125">
        <f t="shared" ref="J227" si="35">L227+O227</f>
        <v>0</v>
      </c>
      <c r="K227" s="132"/>
      <c r="L227" s="132"/>
      <c r="M227" s="132"/>
      <c r="N227" s="132"/>
      <c r="O227" s="130">
        <f t="shared" ref="O227" si="36">K227</f>
        <v>0</v>
      </c>
      <c r="P227" s="125">
        <f t="shared" ref="P227" si="37">E227+J227</f>
        <v>0</v>
      </c>
      <c r="Q227" s="20"/>
      <c r="R227" s="46"/>
    </row>
    <row r="228" spans="1:18" ht="47.25" hidden="1" thickTop="1" thickBot="1" x14ac:dyDescent="0.25">
      <c r="A228" s="144" t="s">
        <v>747</v>
      </c>
      <c r="B228" s="144" t="s">
        <v>689</v>
      </c>
      <c r="C228" s="144"/>
      <c r="D228" s="144" t="s">
        <v>690</v>
      </c>
      <c r="E228" s="42">
        <f>E229</f>
        <v>0</v>
      </c>
      <c r="F228" s="42">
        <f t="shared" ref="F228:P229" si="38">F229</f>
        <v>0</v>
      </c>
      <c r="G228" s="42">
        <f t="shared" si="38"/>
        <v>0</v>
      </c>
      <c r="H228" s="42">
        <f t="shared" si="38"/>
        <v>0</v>
      </c>
      <c r="I228" s="42">
        <f t="shared" si="38"/>
        <v>0</v>
      </c>
      <c r="J228" s="42">
        <f t="shared" si="38"/>
        <v>0</v>
      </c>
      <c r="K228" s="42">
        <f t="shared" si="38"/>
        <v>0</v>
      </c>
      <c r="L228" s="42">
        <f t="shared" si="38"/>
        <v>0</v>
      </c>
      <c r="M228" s="42">
        <f t="shared" si="38"/>
        <v>0</v>
      </c>
      <c r="N228" s="42">
        <f t="shared" si="38"/>
        <v>0</v>
      </c>
      <c r="O228" s="42">
        <f t="shared" si="38"/>
        <v>0</v>
      </c>
      <c r="P228" s="42">
        <f t="shared" si="38"/>
        <v>0</v>
      </c>
      <c r="Q228" s="20"/>
      <c r="R228" s="50"/>
    </row>
    <row r="229" spans="1:18" ht="91.5" hidden="1" thickTop="1" thickBot="1" x14ac:dyDescent="0.25">
      <c r="A229" s="145" t="s">
        <v>748</v>
      </c>
      <c r="B229" s="145" t="s">
        <v>692</v>
      </c>
      <c r="C229" s="145"/>
      <c r="D229" s="145" t="s">
        <v>693</v>
      </c>
      <c r="E229" s="146">
        <f>E230</f>
        <v>0</v>
      </c>
      <c r="F229" s="146">
        <f t="shared" si="38"/>
        <v>0</v>
      </c>
      <c r="G229" s="146">
        <f t="shared" si="38"/>
        <v>0</v>
      </c>
      <c r="H229" s="146">
        <f t="shared" si="38"/>
        <v>0</v>
      </c>
      <c r="I229" s="146">
        <f t="shared" si="38"/>
        <v>0</v>
      </c>
      <c r="J229" s="146">
        <f t="shared" si="38"/>
        <v>0</v>
      </c>
      <c r="K229" s="146">
        <f t="shared" si="38"/>
        <v>0</v>
      </c>
      <c r="L229" s="146">
        <f t="shared" si="38"/>
        <v>0</v>
      </c>
      <c r="M229" s="146">
        <f t="shared" si="38"/>
        <v>0</v>
      </c>
      <c r="N229" s="146">
        <f t="shared" si="38"/>
        <v>0</v>
      </c>
      <c r="O229" s="146">
        <f t="shared" si="38"/>
        <v>0</v>
      </c>
      <c r="P229" s="146">
        <f t="shared" si="38"/>
        <v>0</v>
      </c>
      <c r="Q229" s="20"/>
      <c r="R229" s="50"/>
    </row>
    <row r="230" spans="1:18" ht="48" hidden="1" thickTop="1" thickBot="1" x14ac:dyDescent="0.25">
      <c r="A230" s="41" t="s">
        <v>578</v>
      </c>
      <c r="B230" s="41" t="s">
        <v>359</v>
      </c>
      <c r="C230" s="41" t="s">
        <v>43</v>
      </c>
      <c r="D230" s="41" t="s">
        <v>360</v>
      </c>
      <c r="E230" s="42">
        <f t="shared" ref="E230" si="39">F230</f>
        <v>0</v>
      </c>
      <c r="F230" s="43">
        <v>0</v>
      </c>
      <c r="G230" s="43"/>
      <c r="H230" s="43"/>
      <c r="I230" s="43"/>
      <c r="J230" s="42">
        <f>L230+O230</f>
        <v>0</v>
      </c>
      <c r="K230" s="43"/>
      <c r="L230" s="43"/>
      <c r="M230" s="43"/>
      <c r="N230" s="43"/>
      <c r="O230" s="44">
        <f>K230</f>
        <v>0</v>
      </c>
      <c r="P230" s="42">
        <f>E230+J230</f>
        <v>0</v>
      </c>
      <c r="Q230" s="20"/>
      <c r="R230" s="50"/>
    </row>
    <row r="231" spans="1:18" ht="120" customHeight="1" thickTop="1" thickBot="1" x14ac:dyDescent="0.25">
      <c r="A231" s="624" t="s">
        <v>22</v>
      </c>
      <c r="B231" s="624"/>
      <c r="C231" s="624"/>
      <c r="D231" s="625" t="s">
        <v>23</v>
      </c>
      <c r="E231" s="626">
        <f>E232</f>
        <v>2974451</v>
      </c>
      <c r="F231" s="627">
        <f t="shared" ref="F231:G231" si="40">F232</f>
        <v>2974451</v>
      </c>
      <c r="G231" s="627">
        <f t="shared" si="40"/>
        <v>1132875</v>
      </c>
      <c r="H231" s="627">
        <f>H232</f>
        <v>0</v>
      </c>
      <c r="I231" s="627">
        <f t="shared" ref="I231" si="41">I232</f>
        <v>0</v>
      </c>
      <c r="J231" s="626">
        <f>J232</f>
        <v>2963528</v>
      </c>
      <c r="K231" s="627">
        <f>K232</f>
        <v>2963528</v>
      </c>
      <c r="L231" s="627">
        <f>L232</f>
        <v>0</v>
      </c>
      <c r="M231" s="627">
        <f t="shared" ref="M231" si="42">M232</f>
        <v>0</v>
      </c>
      <c r="N231" s="627">
        <f>N232</f>
        <v>0</v>
      </c>
      <c r="O231" s="626">
        <f>O232</f>
        <v>2963528</v>
      </c>
      <c r="P231" s="627">
        <f t="shared" ref="P231" si="43">P232</f>
        <v>5937979</v>
      </c>
      <c r="Q231" s="20"/>
    </row>
    <row r="232" spans="1:18" ht="120" customHeight="1" thickTop="1" thickBot="1" x14ac:dyDescent="0.25">
      <c r="A232" s="588" t="s">
        <v>21</v>
      </c>
      <c r="B232" s="588"/>
      <c r="C232" s="588"/>
      <c r="D232" s="589" t="s">
        <v>35</v>
      </c>
      <c r="E232" s="590">
        <f>E233+E239+E255+E258+E265</f>
        <v>2974451</v>
      </c>
      <c r="F232" s="590">
        <f>F233+F239+F255+F258+F265</f>
        <v>2974451</v>
      </c>
      <c r="G232" s="590">
        <f>G233+G239+G255+G258+G265</f>
        <v>1132875</v>
      </c>
      <c r="H232" s="590">
        <f>H233+H239+H255+H258+H265</f>
        <v>0</v>
      </c>
      <c r="I232" s="590">
        <f>I233+I239+I255+I258+I265</f>
        <v>0</v>
      </c>
      <c r="J232" s="590">
        <f>L232+O232</f>
        <v>2963528</v>
      </c>
      <c r="K232" s="590">
        <f>K233+K239+K255+K258+K265</f>
        <v>2963528</v>
      </c>
      <c r="L232" s="590">
        <f>L233+L239+L255+L258+L265</f>
        <v>0</v>
      </c>
      <c r="M232" s="590">
        <f>M233+M239+M255+M258+M265</f>
        <v>0</v>
      </c>
      <c r="N232" s="590">
        <f>N233+N239+N255+N258+N265</f>
        <v>0</v>
      </c>
      <c r="O232" s="590">
        <f>O233+O239+O255+O258+O265</f>
        <v>2963528</v>
      </c>
      <c r="P232" s="590">
        <f>E232+J232</f>
        <v>5937979</v>
      </c>
      <c r="Q232" s="452" t="b">
        <f>P232=P237+P238+P241+P242+P244+P246+P247+P251+P252+P253+P249+P254+P264</f>
        <v>1</v>
      </c>
      <c r="R232" s="46"/>
    </row>
    <row r="233" spans="1:18" ht="57" customHeight="1" thickTop="1" thickBot="1" x14ac:dyDescent="0.25">
      <c r="A233" s="298" t="s">
        <v>749</v>
      </c>
      <c r="B233" s="298" t="s">
        <v>698</v>
      </c>
      <c r="C233" s="298"/>
      <c r="D233" s="298" t="s">
        <v>699</v>
      </c>
      <c r="E233" s="310">
        <f>'d3'!E233-d3П!E228</f>
        <v>905914</v>
      </c>
      <c r="F233" s="310">
        <f>'d3'!F233-d3П!F228</f>
        <v>905914</v>
      </c>
      <c r="G233" s="310">
        <f>'d3'!G233-d3П!G228</f>
        <v>250749</v>
      </c>
      <c r="H233" s="310">
        <f>'d3'!H233-d3П!H228</f>
        <v>0</v>
      </c>
      <c r="I233" s="310">
        <f>'d3'!I233-d3П!I228</f>
        <v>0</v>
      </c>
      <c r="J233" s="310">
        <f>'d3'!J233-d3П!J228</f>
        <v>0</v>
      </c>
      <c r="K233" s="310">
        <f>'d3'!K233-d3П!K228</f>
        <v>0</v>
      </c>
      <c r="L233" s="310">
        <f>'d3'!L233-d3П!L228</f>
        <v>0</v>
      </c>
      <c r="M233" s="310">
        <f>'d3'!M233-d3П!M228</f>
        <v>0</v>
      </c>
      <c r="N233" s="310">
        <f>'d3'!N233-d3П!N228</f>
        <v>0</v>
      </c>
      <c r="O233" s="310">
        <f>'d3'!O233-d3П!O228</f>
        <v>0</v>
      </c>
      <c r="P233" s="310">
        <f>'d3'!P233-d3П!P228</f>
        <v>905914</v>
      </c>
      <c r="Q233" s="47"/>
      <c r="R233" s="46"/>
    </row>
    <row r="234" spans="1:18" s="33" customFormat="1" ht="48" hidden="1" thickTop="1" thickBot="1" x14ac:dyDescent="0.25">
      <c r="A234" s="598" t="s">
        <v>750</v>
      </c>
      <c r="B234" s="598" t="s">
        <v>751</v>
      </c>
      <c r="C234" s="598"/>
      <c r="D234" s="598" t="s">
        <v>752</v>
      </c>
      <c r="E234" s="310">
        <f>'d3'!E234-d3П!E229</f>
        <v>0</v>
      </c>
      <c r="F234" s="310">
        <f>'d3'!F234-d3П!F229</f>
        <v>0</v>
      </c>
      <c r="G234" s="310">
        <f>'d3'!G234-d3П!G229</f>
        <v>0</v>
      </c>
      <c r="H234" s="310">
        <f>'d3'!H234-d3П!H229</f>
        <v>0</v>
      </c>
      <c r="I234" s="310">
        <f>'d3'!I234-d3П!I229</f>
        <v>0</v>
      </c>
      <c r="J234" s="310">
        <f>'d3'!J234-d3П!J229</f>
        <v>0</v>
      </c>
      <c r="K234" s="310">
        <f>'d3'!K234-d3П!K229</f>
        <v>0</v>
      </c>
      <c r="L234" s="310">
        <f>'d3'!L234-d3П!L229</f>
        <v>0</v>
      </c>
      <c r="M234" s="310">
        <f>'d3'!M234-d3П!M229</f>
        <v>0</v>
      </c>
      <c r="N234" s="310">
        <f>'d3'!N234-d3П!N229</f>
        <v>0</v>
      </c>
      <c r="O234" s="310">
        <f>'d3'!O234-d3П!O229</f>
        <v>0</v>
      </c>
      <c r="P234" s="310">
        <f>'d3'!P234-d3П!P229</f>
        <v>0</v>
      </c>
      <c r="Q234" s="154"/>
      <c r="R234" s="52"/>
    </row>
    <row r="235" spans="1:18" ht="47.25" hidden="1" thickTop="1" thickBot="1" x14ac:dyDescent="0.25">
      <c r="A235" s="101" t="s">
        <v>182</v>
      </c>
      <c r="B235" s="101" t="s">
        <v>183</v>
      </c>
      <c r="C235" s="101" t="s">
        <v>184</v>
      </c>
      <c r="D235" s="101" t="s">
        <v>629</v>
      </c>
      <c r="E235" s="310">
        <f>'d3'!E235-d3П!E230</f>
        <v>0</v>
      </c>
      <c r="F235" s="310">
        <f>'d3'!F235-d3П!F230</f>
        <v>0</v>
      </c>
      <c r="G235" s="310">
        <f>'d3'!G235-d3П!G230</f>
        <v>0</v>
      </c>
      <c r="H235" s="310">
        <f>'d3'!H235-d3П!H230</f>
        <v>0</v>
      </c>
      <c r="I235" s="310">
        <f>'d3'!I235-d3П!I230</f>
        <v>0</v>
      </c>
      <c r="J235" s="310">
        <f>'d3'!J235-d3П!J230</f>
        <v>0</v>
      </c>
      <c r="K235" s="310">
        <f>'d3'!K235-d3П!K230</f>
        <v>0</v>
      </c>
      <c r="L235" s="310">
        <f>'d3'!L235-d3П!L230</f>
        <v>0</v>
      </c>
      <c r="M235" s="310">
        <f>'d3'!M235-d3П!M230</f>
        <v>0</v>
      </c>
      <c r="N235" s="310">
        <f>'d3'!N235-d3П!N230</f>
        <v>0</v>
      </c>
      <c r="O235" s="310">
        <f>'d3'!O235-d3П!O230</f>
        <v>0</v>
      </c>
      <c r="P235" s="310">
        <f>'d3'!P235-d3П!P230</f>
        <v>0</v>
      </c>
      <c r="Q235" s="50"/>
      <c r="R235" s="50"/>
    </row>
    <row r="236" spans="1:18" s="33" customFormat="1" ht="114.75" customHeight="1" thickTop="1" thickBot="1" x14ac:dyDescent="0.25">
      <c r="A236" s="598" t="s">
        <v>753</v>
      </c>
      <c r="B236" s="598" t="s">
        <v>754</v>
      </c>
      <c r="C236" s="598"/>
      <c r="D236" s="598" t="s">
        <v>1452</v>
      </c>
      <c r="E236" s="310">
        <f>'d3'!E236-d3П!E231</f>
        <v>905914</v>
      </c>
      <c r="F236" s="310">
        <f>'d3'!F236-d3П!F231</f>
        <v>905914</v>
      </c>
      <c r="G236" s="310">
        <f>'d3'!G236-d3П!G231</f>
        <v>250749</v>
      </c>
      <c r="H236" s="310">
        <f>'d3'!H236-d3П!H231</f>
        <v>0</v>
      </c>
      <c r="I236" s="310">
        <f>'d3'!I236-d3П!I231</f>
        <v>0</v>
      </c>
      <c r="J236" s="310">
        <f>'d3'!J236-d3П!J231</f>
        <v>0</v>
      </c>
      <c r="K236" s="310">
        <f>'d3'!K236-d3П!K231</f>
        <v>0</v>
      </c>
      <c r="L236" s="310">
        <f>'d3'!L236-d3П!L231</f>
        <v>0</v>
      </c>
      <c r="M236" s="310">
        <f>'d3'!M236-d3П!M231</f>
        <v>0</v>
      </c>
      <c r="N236" s="310">
        <f>'d3'!N236-d3П!N231</f>
        <v>0</v>
      </c>
      <c r="O236" s="310">
        <f>'d3'!O236-d3П!O231</f>
        <v>0</v>
      </c>
      <c r="P236" s="310">
        <f>'d3'!P236-d3П!P231</f>
        <v>905914</v>
      </c>
      <c r="Q236" s="51"/>
      <c r="R236" s="51"/>
    </row>
    <row r="237" spans="1:18" ht="124.5" customHeight="1" thickTop="1" thickBot="1" x14ac:dyDescent="0.25">
      <c r="A237" s="101" t="s">
        <v>188</v>
      </c>
      <c r="B237" s="101" t="s">
        <v>189</v>
      </c>
      <c r="C237" s="101" t="s">
        <v>184</v>
      </c>
      <c r="D237" s="101" t="s">
        <v>1619</v>
      </c>
      <c r="E237" s="310">
        <f>'d3'!E237-d3П!E232</f>
        <v>0</v>
      </c>
      <c r="F237" s="310">
        <f>'d3'!F237-d3П!F232</f>
        <v>0</v>
      </c>
      <c r="G237" s="310">
        <f>'d3'!G237-d3П!G232</f>
        <v>0</v>
      </c>
      <c r="H237" s="310">
        <f>'d3'!H237-d3П!H232</f>
        <v>0</v>
      </c>
      <c r="I237" s="310">
        <f>'d3'!I237-d3П!I232</f>
        <v>0</v>
      </c>
      <c r="J237" s="310">
        <f>'d3'!J237-d3П!J232</f>
        <v>0</v>
      </c>
      <c r="K237" s="310">
        <f>'d3'!K237-d3П!K232</f>
        <v>0</v>
      </c>
      <c r="L237" s="310">
        <f>'d3'!L237-d3П!L232</f>
        <v>0</v>
      </c>
      <c r="M237" s="310">
        <f>'d3'!M237-d3П!M232</f>
        <v>0</v>
      </c>
      <c r="N237" s="310">
        <f>'d3'!N237-d3П!N232</f>
        <v>0</v>
      </c>
      <c r="O237" s="310">
        <f>'d3'!O237-d3П!O232</f>
        <v>0</v>
      </c>
      <c r="P237" s="310">
        <f>'d3'!P237-d3П!P232</f>
        <v>0</v>
      </c>
      <c r="Q237" s="20"/>
      <c r="R237" s="46"/>
    </row>
    <row r="238" spans="1:18" ht="111.75" customHeight="1" thickTop="1" thickBot="1" x14ac:dyDescent="0.25">
      <c r="A238" s="101" t="s">
        <v>348</v>
      </c>
      <c r="B238" s="101" t="s">
        <v>349</v>
      </c>
      <c r="C238" s="101" t="s">
        <v>184</v>
      </c>
      <c r="D238" s="101" t="s">
        <v>1620</v>
      </c>
      <c r="E238" s="310">
        <f>'d3'!E238-d3П!E233</f>
        <v>905914</v>
      </c>
      <c r="F238" s="310">
        <f>'d3'!F238-d3П!F233</f>
        <v>905914</v>
      </c>
      <c r="G238" s="310">
        <f>'d3'!G238-d3П!G233</f>
        <v>250749</v>
      </c>
      <c r="H238" s="310">
        <f>'d3'!H238-d3П!H233</f>
        <v>0</v>
      </c>
      <c r="I238" s="310">
        <f>'d3'!I238-d3П!I233</f>
        <v>0</v>
      </c>
      <c r="J238" s="310">
        <f>'d3'!J238-d3П!J233</f>
        <v>0</v>
      </c>
      <c r="K238" s="310">
        <f>'d3'!K238-d3П!K233</f>
        <v>0</v>
      </c>
      <c r="L238" s="310">
        <f>'d3'!L238-d3П!L233</f>
        <v>0</v>
      </c>
      <c r="M238" s="310">
        <f>'d3'!M238-d3П!M233</f>
        <v>0</v>
      </c>
      <c r="N238" s="310">
        <f>'d3'!N238-d3П!N233</f>
        <v>0</v>
      </c>
      <c r="O238" s="310">
        <f>'d3'!O238-d3П!O233</f>
        <v>0</v>
      </c>
      <c r="P238" s="310">
        <f>'d3'!P238-d3П!P233</f>
        <v>905914</v>
      </c>
      <c r="Q238" s="20"/>
      <c r="R238" s="46"/>
    </row>
    <row r="239" spans="1:18" ht="78.75" customHeight="1" thickTop="1" thickBot="1" x14ac:dyDescent="0.25">
      <c r="A239" s="298" t="s">
        <v>755</v>
      </c>
      <c r="B239" s="298" t="s">
        <v>756</v>
      </c>
      <c r="C239" s="101"/>
      <c r="D239" s="298" t="s">
        <v>757</v>
      </c>
      <c r="E239" s="310">
        <f>'d3'!E239-d3П!E234</f>
        <v>2068537</v>
      </c>
      <c r="F239" s="310">
        <f>'d3'!F239-d3П!F234</f>
        <v>2068537</v>
      </c>
      <c r="G239" s="310">
        <f>'d3'!G239-d3П!G234</f>
        <v>882126</v>
      </c>
      <c r="H239" s="310">
        <f>'d3'!H239-d3П!H234</f>
        <v>0</v>
      </c>
      <c r="I239" s="310">
        <f>'d3'!I239-d3П!I234</f>
        <v>0</v>
      </c>
      <c r="J239" s="310">
        <f>'d3'!J239-d3П!J234</f>
        <v>1964866</v>
      </c>
      <c r="K239" s="310">
        <f>'d3'!K239-d3П!K234</f>
        <v>1964866</v>
      </c>
      <c r="L239" s="310">
        <f>'d3'!L239-d3П!L234</f>
        <v>0</v>
      </c>
      <c r="M239" s="310">
        <f>'d3'!M239-d3П!M234</f>
        <v>0</v>
      </c>
      <c r="N239" s="310">
        <f>'d3'!N239-d3П!N234</f>
        <v>0</v>
      </c>
      <c r="O239" s="310">
        <f>'d3'!O239-d3П!O234</f>
        <v>1964866</v>
      </c>
      <c r="P239" s="310">
        <f>'d3'!P239-d3П!P234</f>
        <v>4033403</v>
      </c>
      <c r="Q239" s="20"/>
      <c r="R239" s="46"/>
    </row>
    <row r="240" spans="1:18" s="33" customFormat="1" ht="86.25" customHeight="1" thickTop="1" thickBot="1" x14ac:dyDescent="0.25">
      <c r="A240" s="598" t="s">
        <v>758</v>
      </c>
      <c r="B240" s="598" t="s">
        <v>759</v>
      </c>
      <c r="C240" s="598"/>
      <c r="D240" s="598" t="s">
        <v>760</v>
      </c>
      <c r="E240" s="310">
        <f>'d3'!E240-d3П!E235</f>
        <v>230000</v>
      </c>
      <c r="F240" s="310">
        <f>'d3'!F240-d3П!F235</f>
        <v>230000</v>
      </c>
      <c r="G240" s="310">
        <f>'d3'!G240-d3П!G235</f>
        <v>0</v>
      </c>
      <c r="H240" s="310">
        <f>'d3'!H240-d3П!H235</f>
        <v>0</v>
      </c>
      <c r="I240" s="310">
        <f>'d3'!I240-d3П!I235</f>
        <v>0</v>
      </c>
      <c r="J240" s="310">
        <f>'d3'!J240-d3П!J235</f>
        <v>0</v>
      </c>
      <c r="K240" s="310">
        <f>'d3'!K240-d3П!K235</f>
        <v>0</v>
      </c>
      <c r="L240" s="310">
        <f>'d3'!L240-d3П!L235</f>
        <v>0</v>
      </c>
      <c r="M240" s="310">
        <f>'d3'!M240-d3П!M235</f>
        <v>0</v>
      </c>
      <c r="N240" s="310">
        <f>'d3'!N240-d3П!N235</f>
        <v>0</v>
      </c>
      <c r="O240" s="310">
        <f>'d3'!O240-d3П!O235</f>
        <v>0</v>
      </c>
      <c r="P240" s="310">
        <f>'d3'!P240-d3П!P235</f>
        <v>230000</v>
      </c>
      <c r="Q240" s="36"/>
      <c r="R240" s="52"/>
    </row>
    <row r="241" spans="1:18" ht="93" thickTop="1" thickBot="1" x14ac:dyDescent="0.25">
      <c r="A241" s="101" t="s">
        <v>44</v>
      </c>
      <c r="B241" s="101" t="s">
        <v>185</v>
      </c>
      <c r="C241" s="101" t="s">
        <v>194</v>
      </c>
      <c r="D241" s="101" t="s">
        <v>45</v>
      </c>
      <c r="E241" s="310">
        <f>'d3'!E241-d3П!E236</f>
        <v>200000</v>
      </c>
      <c r="F241" s="310">
        <f>'d3'!F241-d3П!F236</f>
        <v>200000</v>
      </c>
      <c r="G241" s="310">
        <f>'d3'!G241-d3П!G236</f>
        <v>0</v>
      </c>
      <c r="H241" s="310">
        <f>'d3'!H241-d3П!H236</f>
        <v>0</v>
      </c>
      <c r="I241" s="310">
        <f>'d3'!I241-d3П!I236</f>
        <v>0</v>
      </c>
      <c r="J241" s="310">
        <f>'d3'!J241-d3П!J236</f>
        <v>0</v>
      </c>
      <c r="K241" s="310">
        <f>'d3'!K241-d3П!K236</f>
        <v>0</v>
      </c>
      <c r="L241" s="310">
        <f>'d3'!L241-d3П!L236</f>
        <v>0</v>
      </c>
      <c r="M241" s="310">
        <f>'d3'!M241-d3П!M236</f>
        <v>0</v>
      </c>
      <c r="N241" s="310">
        <f>'d3'!N241-d3П!N236</f>
        <v>0</v>
      </c>
      <c r="O241" s="310">
        <f>'d3'!O241-d3П!O236</f>
        <v>0</v>
      </c>
      <c r="P241" s="310">
        <f>'d3'!P241-d3П!P236</f>
        <v>200000</v>
      </c>
      <c r="Q241" s="20"/>
      <c r="R241" s="46"/>
    </row>
    <row r="242" spans="1:18" ht="111.75" customHeight="1" thickTop="1" thickBot="1" x14ac:dyDescent="0.25">
      <c r="A242" s="101" t="s">
        <v>46</v>
      </c>
      <c r="B242" s="101" t="s">
        <v>186</v>
      </c>
      <c r="C242" s="101" t="s">
        <v>194</v>
      </c>
      <c r="D242" s="101" t="s">
        <v>4</v>
      </c>
      <c r="E242" s="310">
        <f>'d3'!E242-d3П!E237</f>
        <v>30000</v>
      </c>
      <c r="F242" s="310">
        <f>'d3'!F242-d3П!F237</f>
        <v>30000</v>
      </c>
      <c r="G242" s="310">
        <f>'d3'!G242-d3П!G237</f>
        <v>0</v>
      </c>
      <c r="H242" s="310">
        <f>'d3'!H242-d3П!H237</f>
        <v>0</v>
      </c>
      <c r="I242" s="310">
        <f>'d3'!I242-d3П!I237</f>
        <v>0</v>
      </c>
      <c r="J242" s="310">
        <f>'d3'!J242-d3П!J237</f>
        <v>0</v>
      </c>
      <c r="K242" s="310">
        <f>'d3'!K242-d3П!K237</f>
        <v>0</v>
      </c>
      <c r="L242" s="310">
        <f>'d3'!L242-d3П!L237</f>
        <v>0</v>
      </c>
      <c r="M242" s="310">
        <f>'d3'!M242-d3П!M237</f>
        <v>0</v>
      </c>
      <c r="N242" s="310">
        <f>'d3'!N242-d3П!N237</f>
        <v>0</v>
      </c>
      <c r="O242" s="310">
        <f>'d3'!O242-d3П!O237</f>
        <v>0</v>
      </c>
      <c r="P242" s="310">
        <f>'d3'!P242-d3П!P237</f>
        <v>30000</v>
      </c>
      <c r="Q242" s="20"/>
      <c r="R242" s="46"/>
    </row>
    <row r="243" spans="1:18" s="33" customFormat="1" ht="121.7" customHeight="1" thickTop="1" thickBot="1" x14ac:dyDescent="0.25">
      <c r="A243" s="598" t="s">
        <v>761</v>
      </c>
      <c r="B243" s="598" t="s">
        <v>762</v>
      </c>
      <c r="C243" s="598"/>
      <c r="D243" s="598" t="s">
        <v>763</v>
      </c>
      <c r="E243" s="310">
        <f>'d3'!E243-d3П!E238</f>
        <v>0</v>
      </c>
      <c r="F243" s="310">
        <f>'d3'!F243-d3П!F238</f>
        <v>0</v>
      </c>
      <c r="G243" s="310">
        <f>'d3'!G243-d3П!G238</f>
        <v>0</v>
      </c>
      <c r="H243" s="310">
        <f>'d3'!H243-d3П!H238</f>
        <v>0</v>
      </c>
      <c r="I243" s="310">
        <f>'d3'!I243-d3П!I238</f>
        <v>0</v>
      </c>
      <c r="J243" s="310">
        <f>'d3'!J243-d3П!J238</f>
        <v>0</v>
      </c>
      <c r="K243" s="310">
        <f>'d3'!K243-d3П!K238</f>
        <v>0</v>
      </c>
      <c r="L243" s="310">
        <f>'d3'!L243-d3П!L238</f>
        <v>0</v>
      </c>
      <c r="M243" s="310">
        <f>'d3'!M243-d3П!M238</f>
        <v>0</v>
      </c>
      <c r="N243" s="310">
        <f>'d3'!N243-d3П!N238</f>
        <v>0</v>
      </c>
      <c r="O243" s="310">
        <f>'d3'!O243-d3П!O238</f>
        <v>0</v>
      </c>
      <c r="P243" s="310">
        <f>'d3'!P243-d3П!P238</f>
        <v>0</v>
      </c>
      <c r="Q243" s="36"/>
      <c r="R243" s="53"/>
    </row>
    <row r="244" spans="1:18" ht="114.75" customHeight="1" thickTop="1" thickBot="1" x14ac:dyDescent="0.25">
      <c r="A244" s="101" t="s">
        <v>47</v>
      </c>
      <c r="B244" s="101" t="s">
        <v>187</v>
      </c>
      <c r="C244" s="101" t="s">
        <v>194</v>
      </c>
      <c r="D244" s="101" t="s">
        <v>346</v>
      </c>
      <c r="E244" s="310">
        <f>'d3'!E244-d3П!E239</f>
        <v>0</v>
      </c>
      <c r="F244" s="310">
        <f>'d3'!F244-d3П!F239</f>
        <v>0</v>
      </c>
      <c r="G244" s="310">
        <f>'d3'!G244-d3П!G239</f>
        <v>0</v>
      </c>
      <c r="H244" s="310">
        <f>'d3'!H244-d3П!H239</f>
        <v>0</v>
      </c>
      <c r="I244" s="310">
        <f>'d3'!I244-d3П!I239</f>
        <v>0</v>
      </c>
      <c r="J244" s="310">
        <f>'d3'!J244-d3П!J239</f>
        <v>0</v>
      </c>
      <c r="K244" s="310">
        <f>'d3'!K244-d3П!K239</f>
        <v>0</v>
      </c>
      <c r="L244" s="310">
        <f>'d3'!L244-d3П!L239</f>
        <v>0</v>
      </c>
      <c r="M244" s="310">
        <f>'d3'!M244-d3П!M239</f>
        <v>0</v>
      </c>
      <c r="N244" s="310">
        <f>'d3'!N244-d3П!N239</f>
        <v>0</v>
      </c>
      <c r="O244" s="310">
        <f>'d3'!O244-d3П!O239</f>
        <v>0</v>
      </c>
      <c r="P244" s="310">
        <f>'d3'!P244-d3П!P239</f>
        <v>0</v>
      </c>
      <c r="Q244" s="20"/>
      <c r="R244" s="46"/>
    </row>
    <row r="245" spans="1:18" ht="79.5" customHeight="1" thickTop="1" thickBot="1" x14ac:dyDescent="0.25">
      <c r="A245" s="598" t="s">
        <v>764</v>
      </c>
      <c r="B245" s="598" t="s">
        <v>765</v>
      </c>
      <c r="C245" s="598"/>
      <c r="D245" s="598" t="s">
        <v>766</v>
      </c>
      <c r="E245" s="310">
        <f>'d3'!E245-d3П!E240</f>
        <v>2360787</v>
      </c>
      <c r="F245" s="310">
        <f>'d3'!F245-d3П!F240</f>
        <v>2360787</v>
      </c>
      <c r="G245" s="310">
        <f>'d3'!G245-d3П!G240</f>
        <v>808126</v>
      </c>
      <c r="H245" s="310">
        <f>'d3'!H245-d3П!H240</f>
        <v>0</v>
      </c>
      <c r="I245" s="310">
        <f>'d3'!I245-d3П!I240</f>
        <v>0</v>
      </c>
      <c r="J245" s="310">
        <f>'d3'!J245-d3П!J240</f>
        <v>1964866</v>
      </c>
      <c r="K245" s="310">
        <f>'d3'!K245-d3П!K240</f>
        <v>1964866</v>
      </c>
      <c r="L245" s="310">
        <f>'d3'!L245-d3П!L240</f>
        <v>0</v>
      </c>
      <c r="M245" s="310">
        <f>'d3'!M245-d3П!M240</f>
        <v>0</v>
      </c>
      <c r="N245" s="310">
        <f>'d3'!N245-d3П!N240</f>
        <v>0</v>
      </c>
      <c r="O245" s="310">
        <f>'d3'!O245-d3П!O240</f>
        <v>1964866</v>
      </c>
      <c r="P245" s="310">
        <f>'d3'!P245-d3П!P240</f>
        <v>4325653</v>
      </c>
      <c r="Q245" s="20"/>
      <c r="R245" s="46"/>
    </row>
    <row r="246" spans="1:18" ht="133.5" customHeight="1" thickTop="1" thickBot="1" x14ac:dyDescent="0.25">
      <c r="A246" s="101" t="s">
        <v>28</v>
      </c>
      <c r="B246" s="101" t="s">
        <v>191</v>
      </c>
      <c r="C246" s="101" t="s">
        <v>194</v>
      </c>
      <c r="D246" s="101" t="s">
        <v>1622</v>
      </c>
      <c r="E246" s="310">
        <f>'d3'!E246-d3П!E241</f>
        <v>2360787</v>
      </c>
      <c r="F246" s="310">
        <f>'d3'!F246-d3П!F241</f>
        <v>2360787</v>
      </c>
      <c r="G246" s="310">
        <f>'d3'!G246-d3П!G241</f>
        <v>808126</v>
      </c>
      <c r="H246" s="310">
        <f>'d3'!H246-d3П!H241</f>
        <v>0</v>
      </c>
      <c r="I246" s="310">
        <f>'d3'!I246-d3П!I241</f>
        <v>0</v>
      </c>
      <c r="J246" s="310">
        <f>'d3'!J246-d3П!J241</f>
        <v>1964866</v>
      </c>
      <c r="K246" s="310">
        <f>'d3'!K246-d3П!K241</f>
        <v>1964866</v>
      </c>
      <c r="L246" s="310">
        <f>'d3'!L246-d3П!L241</f>
        <v>0</v>
      </c>
      <c r="M246" s="310">
        <f>'d3'!M246-d3П!M241</f>
        <v>0</v>
      </c>
      <c r="N246" s="310">
        <f>'d3'!N246-d3П!N241</f>
        <v>0</v>
      </c>
      <c r="O246" s="310">
        <f>'d3'!O246-d3П!O241</f>
        <v>1964866</v>
      </c>
      <c r="P246" s="310">
        <f>'d3'!P246-d3П!P241</f>
        <v>4325653</v>
      </c>
      <c r="Q246" s="20"/>
      <c r="R246" s="46"/>
    </row>
    <row r="247" spans="1:18" ht="108.75" customHeight="1" thickTop="1" thickBot="1" x14ac:dyDescent="0.25">
      <c r="A247" s="101" t="s">
        <v>29</v>
      </c>
      <c r="B247" s="101" t="s">
        <v>192</v>
      </c>
      <c r="C247" s="101" t="s">
        <v>194</v>
      </c>
      <c r="D247" s="101" t="s">
        <v>49</v>
      </c>
      <c r="E247" s="310">
        <f>'d3'!E247-d3П!E242</f>
        <v>0</v>
      </c>
      <c r="F247" s="310">
        <f>'d3'!F247-d3П!F242</f>
        <v>0</v>
      </c>
      <c r="G247" s="310">
        <f>'d3'!G247-d3П!G242</f>
        <v>0</v>
      </c>
      <c r="H247" s="310">
        <f>'d3'!H247-d3П!H242</f>
        <v>0</v>
      </c>
      <c r="I247" s="310">
        <f>'d3'!I247-d3П!I242</f>
        <v>0</v>
      </c>
      <c r="J247" s="310">
        <f>'d3'!J247-d3П!J242</f>
        <v>0</v>
      </c>
      <c r="K247" s="310">
        <f>'d3'!K247-d3П!K242</f>
        <v>0</v>
      </c>
      <c r="L247" s="310">
        <f>'d3'!L247-d3П!L242</f>
        <v>0</v>
      </c>
      <c r="M247" s="310">
        <f>'d3'!M247-d3П!M242</f>
        <v>0</v>
      </c>
      <c r="N247" s="310">
        <f>'d3'!N247-d3П!N242</f>
        <v>0</v>
      </c>
      <c r="O247" s="310">
        <f>'d3'!O247-d3П!O242</f>
        <v>0</v>
      </c>
      <c r="P247" s="310">
        <f>'d3'!P247-d3П!P242</f>
        <v>0</v>
      </c>
      <c r="Q247" s="20"/>
      <c r="R247" s="46"/>
    </row>
    <row r="248" spans="1:18" ht="72.75" customHeight="1" thickTop="1" thickBot="1" x14ac:dyDescent="0.25">
      <c r="A248" s="641" t="s">
        <v>1317</v>
      </c>
      <c r="B248" s="598" t="s">
        <v>801</v>
      </c>
      <c r="C248" s="598"/>
      <c r="D248" s="598" t="s">
        <v>802</v>
      </c>
      <c r="E248" s="310">
        <f>'d3'!E248-d3П!E243</f>
        <v>0</v>
      </c>
      <c r="F248" s="310">
        <f>'d3'!F248-d3П!F243</f>
        <v>0</v>
      </c>
      <c r="G248" s="310">
        <f>'d3'!G248-d3П!G243</f>
        <v>0</v>
      </c>
      <c r="H248" s="310">
        <f>'d3'!H248-d3П!H243</f>
        <v>0</v>
      </c>
      <c r="I248" s="310">
        <f>'d3'!I248-d3П!I243</f>
        <v>0</v>
      </c>
      <c r="J248" s="310">
        <f>'d3'!J248-d3П!J243</f>
        <v>0</v>
      </c>
      <c r="K248" s="310">
        <f>'d3'!K248-d3П!K243</f>
        <v>0</v>
      </c>
      <c r="L248" s="310">
        <f>'d3'!L248-d3П!L243</f>
        <v>0</v>
      </c>
      <c r="M248" s="310">
        <f>'d3'!M248-d3П!M243</f>
        <v>0</v>
      </c>
      <c r="N248" s="310">
        <f>'d3'!N248-d3П!N243</f>
        <v>0</v>
      </c>
      <c r="O248" s="310">
        <f>'d3'!O248-d3П!O243</f>
        <v>0</v>
      </c>
      <c r="P248" s="310">
        <f>'d3'!P248-d3П!P243</f>
        <v>0</v>
      </c>
      <c r="Q248" s="20"/>
      <c r="R248" s="46"/>
    </row>
    <row r="249" spans="1:18" ht="130.69999999999999" customHeight="1" thickTop="1" thickBot="1" x14ac:dyDescent="0.25">
      <c r="A249" s="101" t="s">
        <v>1318</v>
      </c>
      <c r="B249" s="101" t="s">
        <v>1319</v>
      </c>
      <c r="C249" s="101" t="s">
        <v>194</v>
      </c>
      <c r="D249" s="101" t="s">
        <v>1320</v>
      </c>
      <c r="E249" s="310">
        <f>'d3'!E249-d3П!E244</f>
        <v>0</v>
      </c>
      <c r="F249" s="310">
        <f>'d3'!F249-d3П!F244</f>
        <v>0</v>
      </c>
      <c r="G249" s="310">
        <f>'d3'!G249-d3П!G244</f>
        <v>0</v>
      </c>
      <c r="H249" s="310">
        <f>'d3'!H249-d3П!H244</f>
        <v>0</v>
      </c>
      <c r="I249" s="310">
        <f>'d3'!I249-d3П!I244</f>
        <v>0</v>
      </c>
      <c r="J249" s="310">
        <f>'d3'!J249-d3П!J244</f>
        <v>0</v>
      </c>
      <c r="K249" s="310">
        <f>'d3'!K249-d3П!K244</f>
        <v>0</v>
      </c>
      <c r="L249" s="310">
        <f>'d3'!L249-d3П!L244</f>
        <v>0</v>
      </c>
      <c r="M249" s="310">
        <f>'d3'!M249-d3П!M244</f>
        <v>0</v>
      </c>
      <c r="N249" s="310">
        <f>'d3'!N249-d3П!N244</f>
        <v>0</v>
      </c>
      <c r="O249" s="310">
        <f>'d3'!O249-d3П!O244</f>
        <v>0</v>
      </c>
      <c r="P249" s="310">
        <f>'d3'!P249-d3П!P244</f>
        <v>0</v>
      </c>
      <c r="Q249" s="20"/>
      <c r="R249" s="46"/>
    </row>
    <row r="250" spans="1:18" ht="82.5" customHeight="1" thickTop="1" thickBot="1" x14ac:dyDescent="0.25">
      <c r="A250" s="641" t="s">
        <v>767</v>
      </c>
      <c r="B250" s="598" t="s">
        <v>768</v>
      </c>
      <c r="C250" s="598"/>
      <c r="D250" s="598" t="s">
        <v>769</v>
      </c>
      <c r="E250" s="310">
        <f>'d3'!E250-d3П!E245</f>
        <v>-522250</v>
      </c>
      <c r="F250" s="310">
        <f>'d3'!F250-d3П!F245</f>
        <v>-522250</v>
      </c>
      <c r="G250" s="310">
        <f>'d3'!G250-d3П!G245</f>
        <v>74000</v>
      </c>
      <c r="H250" s="310">
        <f>'d3'!H250-d3П!H245</f>
        <v>0</v>
      </c>
      <c r="I250" s="310">
        <f>'d3'!I250-d3П!I245</f>
        <v>0</v>
      </c>
      <c r="J250" s="310">
        <f>'d3'!J250-d3П!J245</f>
        <v>0</v>
      </c>
      <c r="K250" s="310">
        <f>'d3'!K250-d3П!K245</f>
        <v>0</v>
      </c>
      <c r="L250" s="310">
        <f>'d3'!L250-d3П!L245</f>
        <v>0</v>
      </c>
      <c r="M250" s="310">
        <f>'d3'!M250-d3П!M245</f>
        <v>0</v>
      </c>
      <c r="N250" s="310">
        <f>'d3'!N250-d3П!N245</f>
        <v>0</v>
      </c>
      <c r="O250" s="310">
        <f>'d3'!O250-d3П!O245</f>
        <v>0</v>
      </c>
      <c r="P250" s="310">
        <f>'d3'!P250-d3П!P245</f>
        <v>-522250</v>
      </c>
      <c r="Q250" s="20"/>
      <c r="R250" s="46"/>
    </row>
    <row r="251" spans="1:18" ht="138.75" thickTop="1" thickBot="1" x14ac:dyDescent="0.25">
      <c r="A251" s="642" t="s">
        <v>30</v>
      </c>
      <c r="B251" s="642" t="s">
        <v>193</v>
      </c>
      <c r="C251" s="642" t="s">
        <v>194</v>
      </c>
      <c r="D251" s="101" t="s">
        <v>31</v>
      </c>
      <c r="E251" s="310">
        <f>'d3'!E251-d3П!E246</f>
        <v>50000</v>
      </c>
      <c r="F251" s="310">
        <f>'d3'!F251-d3П!F246</f>
        <v>50000</v>
      </c>
      <c r="G251" s="310">
        <f>'d3'!G251-d3П!G246</f>
        <v>0</v>
      </c>
      <c r="H251" s="310">
        <f>'d3'!H251-d3П!H246</f>
        <v>0</v>
      </c>
      <c r="I251" s="310">
        <f>'d3'!I251-d3П!I246</f>
        <v>0</v>
      </c>
      <c r="J251" s="310">
        <f>'d3'!J251-d3П!J246</f>
        <v>0</v>
      </c>
      <c r="K251" s="310">
        <f>'d3'!K251-d3П!K246</f>
        <v>0</v>
      </c>
      <c r="L251" s="310">
        <f>'d3'!L251-d3П!L246</f>
        <v>0</v>
      </c>
      <c r="M251" s="310">
        <f>'d3'!M251-d3П!M246</f>
        <v>0</v>
      </c>
      <c r="N251" s="310">
        <f>'d3'!N251-d3П!N246</f>
        <v>0</v>
      </c>
      <c r="O251" s="310">
        <f>'d3'!O251-d3П!O246</f>
        <v>0</v>
      </c>
      <c r="P251" s="310">
        <f>'d3'!P251-d3П!P246</f>
        <v>50000</v>
      </c>
      <c r="Q251" s="20"/>
      <c r="R251" s="46"/>
    </row>
    <row r="252" spans="1:18" ht="111.75" customHeight="1" thickTop="1" thickBot="1" x14ac:dyDescent="0.25">
      <c r="A252" s="642" t="s">
        <v>507</v>
      </c>
      <c r="B252" s="642" t="s">
        <v>505</v>
      </c>
      <c r="C252" s="642" t="s">
        <v>194</v>
      </c>
      <c r="D252" s="101" t="s">
        <v>506</v>
      </c>
      <c r="E252" s="310">
        <f>'d3'!E252-d3П!E247</f>
        <v>-681250</v>
      </c>
      <c r="F252" s="310">
        <f>'d3'!F252-d3П!F247</f>
        <v>-681250</v>
      </c>
      <c r="G252" s="310">
        <f>'d3'!G252-d3П!G247</f>
        <v>0</v>
      </c>
      <c r="H252" s="310">
        <f>'d3'!H252-d3П!H247</f>
        <v>0</v>
      </c>
      <c r="I252" s="310">
        <f>'d3'!I252-d3П!I247</f>
        <v>0</v>
      </c>
      <c r="J252" s="310">
        <f>'d3'!J252-d3П!J247</f>
        <v>0</v>
      </c>
      <c r="K252" s="310">
        <f>'d3'!K252-d3П!K247</f>
        <v>0</v>
      </c>
      <c r="L252" s="310">
        <f>'d3'!L252-d3П!L247</f>
        <v>0</v>
      </c>
      <c r="M252" s="310">
        <f>'d3'!M252-d3П!M247</f>
        <v>0</v>
      </c>
      <c r="N252" s="310">
        <f>'d3'!N252-d3П!N247</f>
        <v>0</v>
      </c>
      <c r="O252" s="310">
        <f>'d3'!O252-d3П!O247</f>
        <v>0</v>
      </c>
      <c r="P252" s="310">
        <f>'d3'!P252-d3П!P247</f>
        <v>-681250</v>
      </c>
      <c r="Q252" s="20"/>
      <c r="R252" s="46"/>
    </row>
    <row r="253" spans="1:18" ht="100.5" customHeight="1" thickTop="1" thickBot="1" x14ac:dyDescent="0.25">
      <c r="A253" s="642" t="s">
        <v>32</v>
      </c>
      <c r="B253" s="642" t="s">
        <v>195</v>
      </c>
      <c r="C253" s="642" t="s">
        <v>194</v>
      </c>
      <c r="D253" s="101" t="s">
        <v>33</v>
      </c>
      <c r="E253" s="310">
        <f>'d3'!E253-d3П!E248</f>
        <v>109000</v>
      </c>
      <c r="F253" s="310">
        <f>'d3'!F253-d3П!F248</f>
        <v>109000</v>
      </c>
      <c r="G253" s="310">
        <f>'d3'!G253-d3П!G248</f>
        <v>74000</v>
      </c>
      <c r="H253" s="310">
        <f>'d3'!H253-d3П!H248</f>
        <v>0</v>
      </c>
      <c r="I253" s="310">
        <f>'d3'!I253-d3П!I248</f>
        <v>0</v>
      </c>
      <c r="J253" s="310">
        <f>'d3'!J253-d3П!J248</f>
        <v>0</v>
      </c>
      <c r="K253" s="310">
        <f>'d3'!K253-d3П!K248</f>
        <v>0</v>
      </c>
      <c r="L253" s="310">
        <f>'d3'!L253-d3П!L248</f>
        <v>0</v>
      </c>
      <c r="M253" s="310">
        <f>'d3'!M253-d3П!M248</f>
        <v>0</v>
      </c>
      <c r="N253" s="310">
        <f>'d3'!N253-d3П!N248</f>
        <v>0</v>
      </c>
      <c r="O253" s="310">
        <f>'d3'!O253-d3П!O248</f>
        <v>0</v>
      </c>
      <c r="P253" s="310">
        <f>'d3'!P253-d3П!P248</f>
        <v>109000</v>
      </c>
      <c r="Q253" s="20"/>
      <c r="R253" s="46"/>
    </row>
    <row r="254" spans="1:18" ht="80.45" customHeight="1" thickTop="1" thickBot="1" x14ac:dyDescent="0.25">
      <c r="A254" s="642" t="s">
        <v>1713</v>
      </c>
      <c r="B254" s="642" t="s">
        <v>1714</v>
      </c>
      <c r="C254" s="642" t="s">
        <v>194</v>
      </c>
      <c r="D254" s="101" t="s">
        <v>1712</v>
      </c>
      <c r="E254" s="310">
        <f>'d3'!E254-d3П!E249</f>
        <v>0</v>
      </c>
      <c r="F254" s="310">
        <f>'d3'!F254-d3П!F249</f>
        <v>0</v>
      </c>
      <c r="G254" s="310">
        <f>'d3'!G254-d3П!G249</f>
        <v>0</v>
      </c>
      <c r="H254" s="310">
        <f>'d3'!H254-d3П!H249</f>
        <v>0</v>
      </c>
      <c r="I254" s="310">
        <f>'d3'!I254-d3П!I249</f>
        <v>0</v>
      </c>
      <c r="J254" s="310">
        <f>'d3'!J254-d3П!J249</f>
        <v>0</v>
      </c>
      <c r="K254" s="310">
        <f>'d3'!K254-d3П!K249</f>
        <v>0</v>
      </c>
      <c r="L254" s="310">
        <f>'d3'!L254-d3П!L249</f>
        <v>0</v>
      </c>
      <c r="M254" s="310">
        <f>'d3'!M254-d3П!M249</f>
        <v>0</v>
      </c>
      <c r="N254" s="310">
        <f>'d3'!N254-d3П!N249</f>
        <v>0</v>
      </c>
      <c r="O254" s="310">
        <f>'d3'!O254-d3П!O249</f>
        <v>0</v>
      </c>
      <c r="P254" s="310">
        <f>'d3'!P254-d3П!P249</f>
        <v>0</v>
      </c>
      <c r="Q254" s="20"/>
      <c r="R254" s="46"/>
    </row>
    <row r="255" spans="1:18" ht="47.25" hidden="1" thickTop="1" thickBot="1" x14ac:dyDescent="0.25">
      <c r="A255" s="123" t="s">
        <v>770</v>
      </c>
      <c r="B255" s="123" t="s">
        <v>729</v>
      </c>
      <c r="C255" s="123"/>
      <c r="D255" s="372" t="s">
        <v>730</v>
      </c>
      <c r="E255" s="310">
        <f>'d3'!E255-d3П!E250</f>
        <v>0</v>
      </c>
      <c r="F255" s="310">
        <f>'d3'!F255-d3П!F250</f>
        <v>0</v>
      </c>
      <c r="G255" s="310">
        <f>'d3'!G255-d3П!G250</f>
        <v>0</v>
      </c>
      <c r="H255" s="310">
        <f>'d3'!H255-d3П!H250</f>
        <v>0</v>
      </c>
      <c r="I255" s="310">
        <f>'d3'!I255-d3П!I250</f>
        <v>0</v>
      </c>
      <c r="J255" s="310">
        <f>'d3'!J255-d3П!J250</f>
        <v>0</v>
      </c>
      <c r="K255" s="310">
        <f>'d3'!K255-d3П!K250</f>
        <v>0</v>
      </c>
      <c r="L255" s="310">
        <f>'d3'!L255-d3П!L250</f>
        <v>0</v>
      </c>
      <c r="M255" s="310">
        <f>'d3'!M255-d3П!M250</f>
        <v>0</v>
      </c>
      <c r="N255" s="310">
        <f>'d3'!N255-d3П!N250</f>
        <v>0</v>
      </c>
      <c r="O255" s="310">
        <f>'d3'!O255-d3П!O250</f>
        <v>0</v>
      </c>
      <c r="P255" s="310">
        <f>'d3'!P255-d3П!P250</f>
        <v>0</v>
      </c>
      <c r="Q255" s="20"/>
      <c r="R255" s="46"/>
    </row>
    <row r="256" spans="1:18" ht="47.25" hidden="1" thickTop="1" thickBot="1" x14ac:dyDescent="0.25">
      <c r="A256" s="373" t="s">
        <v>771</v>
      </c>
      <c r="B256" s="373" t="s">
        <v>732</v>
      </c>
      <c r="C256" s="373"/>
      <c r="D256" s="138" t="s">
        <v>733</v>
      </c>
      <c r="E256" s="310">
        <f>'d3'!E256-d3П!E251</f>
        <v>0</v>
      </c>
      <c r="F256" s="310">
        <f>'d3'!F256-d3П!F251</f>
        <v>0</v>
      </c>
      <c r="G256" s="310">
        <f>'d3'!G256-d3П!G251</f>
        <v>0</v>
      </c>
      <c r="H256" s="310">
        <f>'d3'!H256-d3П!H251</f>
        <v>0</v>
      </c>
      <c r="I256" s="310">
        <f>'d3'!I256-d3П!I251</f>
        <v>0</v>
      </c>
      <c r="J256" s="310">
        <f>'d3'!J256-d3П!J251</f>
        <v>0</v>
      </c>
      <c r="K256" s="310">
        <f>'d3'!K256-d3П!K251</f>
        <v>0</v>
      </c>
      <c r="L256" s="310">
        <f>'d3'!L256-d3П!L251</f>
        <v>0</v>
      </c>
      <c r="M256" s="310">
        <f>'d3'!M256-d3П!M251</f>
        <v>0</v>
      </c>
      <c r="N256" s="310">
        <f>'d3'!N256-d3П!N251</f>
        <v>0</v>
      </c>
      <c r="O256" s="310">
        <f>'d3'!O256-d3П!O251</f>
        <v>0</v>
      </c>
      <c r="P256" s="310">
        <f>'d3'!P256-d3П!P251</f>
        <v>0</v>
      </c>
      <c r="Q256" s="20"/>
      <c r="R256" s="46"/>
    </row>
    <row r="257" spans="1:18" ht="138.75" hidden="1" thickTop="1" thickBot="1" x14ac:dyDescent="0.25">
      <c r="A257" s="374" t="s">
        <v>339</v>
      </c>
      <c r="B257" s="374" t="s">
        <v>338</v>
      </c>
      <c r="C257" s="374" t="s">
        <v>337</v>
      </c>
      <c r="D257" s="126" t="s">
        <v>630</v>
      </c>
      <c r="E257" s="310">
        <f>'d3'!E257-d3П!E252</f>
        <v>0</v>
      </c>
      <c r="F257" s="310">
        <f>'d3'!F257-d3П!F252</f>
        <v>0</v>
      </c>
      <c r="G257" s="310">
        <f>'d3'!G257-d3П!G252</f>
        <v>0</v>
      </c>
      <c r="H257" s="310">
        <f>'d3'!H257-d3П!H252</f>
        <v>0</v>
      </c>
      <c r="I257" s="310">
        <f>'d3'!I257-d3П!I252</f>
        <v>0</v>
      </c>
      <c r="J257" s="310">
        <f>'d3'!J257-d3П!J252</f>
        <v>0</v>
      </c>
      <c r="K257" s="310">
        <f>'d3'!K257-d3П!K252</f>
        <v>0</v>
      </c>
      <c r="L257" s="310">
        <f>'d3'!L257-d3П!L252</f>
        <v>0</v>
      </c>
      <c r="M257" s="310">
        <f>'d3'!M257-d3П!M252</f>
        <v>0</v>
      </c>
      <c r="N257" s="310">
        <f>'d3'!N257-d3П!N252</f>
        <v>0</v>
      </c>
      <c r="O257" s="310">
        <f>'d3'!O257-d3П!O252</f>
        <v>0</v>
      </c>
      <c r="P257" s="310">
        <f>'d3'!P257-d3П!P252</f>
        <v>0</v>
      </c>
      <c r="Q257" s="20"/>
      <c r="R257" s="50"/>
    </row>
    <row r="258" spans="1:18" ht="83.25" customHeight="1" thickTop="1" thickBot="1" x14ac:dyDescent="0.25">
      <c r="A258" s="298" t="s">
        <v>772</v>
      </c>
      <c r="B258" s="298" t="s">
        <v>735</v>
      </c>
      <c r="C258" s="298"/>
      <c r="D258" s="298" t="s">
        <v>736</v>
      </c>
      <c r="E258" s="310">
        <f>'d3'!E258-d3П!E253</f>
        <v>0</v>
      </c>
      <c r="F258" s="310">
        <f>'d3'!F258-d3П!F253</f>
        <v>0</v>
      </c>
      <c r="G258" s="310">
        <f>'d3'!G258-d3П!G253</f>
        <v>0</v>
      </c>
      <c r="H258" s="310">
        <f>'d3'!H258-d3П!H253</f>
        <v>0</v>
      </c>
      <c r="I258" s="310">
        <f>'d3'!I258-d3П!I253</f>
        <v>0</v>
      </c>
      <c r="J258" s="310">
        <f>'d3'!J258-d3П!J253</f>
        <v>998662</v>
      </c>
      <c r="K258" s="310">
        <f>'d3'!K258-d3П!K253</f>
        <v>998662</v>
      </c>
      <c r="L258" s="310">
        <f>'d3'!L258-d3П!L253</f>
        <v>0</v>
      </c>
      <c r="M258" s="310">
        <f>'d3'!M258-d3П!M253</f>
        <v>0</v>
      </c>
      <c r="N258" s="310">
        <f>'d3'!N258-d3П!N253</f>
        <v>0</v>
      </c>
      <c r="O258" s="310">
        <f>'d3'!O258-d3П!O253</f>
        <v>998662</v>
      </c>
      <c r="P258" s="310">
        <f>'d3'!P258-d3П!P253</f>
        <v>998662</v>
      </c>
      <c r="Q258" s="20"/>
      <c r="R258" s="50"/>
    </row>
    <row r="259" spans="1:18" ht="47.25" hidden="1" thickTop="1" thickBot="1" x14ac:dyDescent="0.25">
      <c r="A259" s="134" t="s">
        <v>1062</v>
      </c>
      <c r="B259" s="134" t="s">
        <v>788</v>
      </c>
      <c r="C259" s="134"/>
      <c r="D259" s="134" t="s">
        <v>789</v>
      </c>
      <c r="E259" s="310">
        <f>'d3'!E259-d3П!E254</f>
        <v>0</v>
      </c>
      <c r="F259" s="310">
        <f>'d3'!F259-d3П!F254</f>
        <v>0</v>
      </c>
      <c r="G259" s="310">
        <f>'d3'!G259-d3П!G254</f>
        <v>0</v>
      </c>
      <c r="H259" s="310">
        <f>'d3'!H259-d3П!H254</f>
        <v>0</v>
      </c>
      <c r="I259" s="310">
        <f>'d3'!I259-d3П!I254</f>
        <v>0</v>
      </c>
      <c r="J259" s="310">
        <f>'d3'!J259-d3П!J254</f>
        <v>0</v>
      </c>
      <c r="K259" s="310">
        <f>'d3'!K259-d3П!K254</f>
        <v>0</v>
      </c>
      <c r="L259" s="310">
        <f>'d3'!L259-d3П!L254</f>
        <v>0</v>
      </c>
      <c r="M259" s="310">
        <f>'d3'!M259-d3П!M254</f>
        <v>0</v>
      </c>
      <c r="N259" s="310">
        <f>'d3'!N259-d3П!N254</f>
        <v>0</v>
      </c>
      <c r="O259" s="310">
        <f>'d3'!O259-d3П!O254</f>
        <v>0</v>
      </c>
      <c r="P259" s="310">
        <f>'d3'!P259-d3П!P254</f>
        <v>0</v>
      </c>
      <c r="Q259" s="20"/>
      <c r="R259" s="50"/>
    </row>
    <row r="260" spans="1:18" ht="54" hidden="1" thickTop="1" thickBot="1" x14ac:dyDescent="0.25">
      <c r="A260" s="138" t="s">
        <v>1063</v>
      </c>
      <c r="B260" s="138" t="s">
        <v>805</v>
      </c>
      <c r="C260" s="138"/>
      <c r="D260" s="138" t="s">
        <v>1417</v>
      </c>
      <c r="E260" s="310">
        <f>'d3'!E260-d3П!E255</f>
        <v>0</v>
      </c>
      <c r="F260" s="310">
        <f>'d3'!F260-d3П!F255</f>
        <v>0</v>
      </c>
      <c r="G260" s="310">
        <f>'d3'!G260-d3П!G255</f>
        <v>0</v>
      </c>
      <c r="H260" s="310">
        <f>'d3'!H260-d3П!H255</f>
        <v>0</v>
      </c>
      <c r="I260" s="310">
        <f>'d3'!I260-d3П!I255</f>
        <v>0</v>
      </c>
      <c r="J260" s="310">
        <f>'d3'!J260-d3П!J255</f>
        <v>0</v>
      </c>
      <c r="K260" s="310">
        <f>'d3'!K260-d3П!K255</f>
        <v>0</v>
      </c>
      <c r="L260" s="310">
        <f>'d3'!L260-d3П!L255</f>
        <v>0</v>
      </c>
      <c r="M260" s="310">
        <f>'d3'!M260-d3П!M255</f>
        <v>0</v>
      </c>
      <c r="N260" s="310">
        <f>'d3'!N260-d3П!N255</f>
        <v>0</v>
      </c>
      <c r="O260" s="310">
        <f>'d3'!O260-d3П!O255</f>
        <v>0</v>
      </c>
      <c r="P260" s="310">
        <f>'d3'!P260-d3П!P255</f>
        <v>0</v>
      </c>
      <c r="Q260" s="20"/>
      <c r="R260" s="50"/>
    </row>
    <row r="261" spans="1:18" ht="54" hidden="1" thickTop="1" thickBot="1" x14ac:dyDescent="0.25">
      <c r="A261" s="126" t="s">
        <v>1064</v>
      </c>
      <c r="B261" s="126" t="s">
        <v>311</v>
      </c>
      <c r="C261" s="126" t="s">
        <v>302</v>
      </c>
      <c r="D261" s="126" t="s">
        <v>1196</v>
      </c>
      <c r="E261" s="310">
        <f>'d3'!E261-d3П!E256</f>
        <v>0</v>
      </c>
      <c r="F261" s="310">
        <f>'d3'!F261-d3П!F256</f>
        <v>0</v>
      </c>
      <c r="G261" s="310">
        <f>'d3'!G261-d3П!G256</f>
        <v>0</v>
      </c>
      <c r="H261" s="310">
        <f>'d3'!H261-d3П!H256</f>
        <v>0</v>
      </c>
      <c r="I261" s="310">
        <f>'d3'!I261-d3П!I256</f>
        <v>0</v>
      </c>
      <c r="J261" s="310">
        <f>'d3'!J261-d3П!J256</f>
        <v>0</v>
      </c>
      <c r="K261" s="310">
        <f>'d3'!K261-d3П!K256</f>
        <v>0</v>
      </c>
      <c r="L261" s="310">
        <f>'d3'!L261-d3П!L256</f>
        <v>0</v>
      </c>
      <c r="M261" s="310">
        <f>'d3'!M261-d3П!M256</f>
        <v>0</v>
      </c>
      <c r="N261" s="310">
        <f>'d3'!N261-d3П!N256</f>
        <v>0</v>
      </c>
      <c r="O261" s="310">
        <f>'d3'!O261-d3П!O256</f>
        <v>0</v>
      </c>
      <c r="P261" s="310">
        <f>'d3'!P261-d3П!P256</f>
        <v>0</v>
      </c>
      <c r="Q261" s="20"/>
      <c r="R261" s="50"/>
    </row>
    <row r="262" spans="1:18" ht="83.25" customHeight="1" thickTop="1" thickBot="1" x14ac:dyDescent="0.25">
      <c r="A262" s="593" t="s">
        <v>773</v>
      </c>
      <c r="B262" s="593" t="s">
        <v>679</v>
      </c>
      <c r="C262" s="593"/>
      <c r="D262" s="593" t="s">
        <v>677</v>
      </c>
      <c r="E262" s="310">
        <f>'d3'!E262-d3П!E257</f>
        <v>0</v>
      </c>
      <c r="F262" s="310">
        <f>'d3'!F262-d3П!F257</f>
        <v>0</v>
      </c>
      <c r="G262" s="310">
        <f>'d3'!G262-d3П!G257</f>
        <v>0</v>
      </c>
      <c r="H262" s="310">
        <f>'d3'!H262-d3П!H257</f>
        <v>0</v>
      </c>
      <c r="I262" s="310">
        <f>'d3'!I262-d3П!I257</f>
        <v>0</v>
      </c>
      <c r="J262" s="310">
        <f>'d3'!J262-d3П!J257</f>
        <v>998662</v>
      </c>
      <c r="K262" s="310">
        <f>'d3'!K262-d3П!K257</f>
        <v>998662</v>
      </c>
      <c r="L262" s="310">
        <f>'d3'!L262-d3П!L257</f>
        <v>0</v>
      </c>
      <c r="M262" s="310">
        <f>'d3'!M262-d3П!M257</f>
        <v>0</v>
      </c>
      <c r="N262" s="310">
        <f>'d3'!N262-d3П!N257</f>
        <v>0</v>
      </c>
      <c r="O262" s="310">
        <f>'d3'!O262-d3П!O257</f>
        <v>998662</v>
      </c>
      <c r="P262" s="310">
        <f>'d3'!P262-d3П!P257</f>
        <v>998662</v>
      </c>
      <c r="Q262" s="20"/>
      <c r="R262" s="50"/>
    </row>
    <row r="263" spans="1:18" ht="47.25" hidden="1" thickTop="1" thickBot="1" x14ac:dyDescent="0.25">
      <c r="A263" s="374" t="s">
        <v>1281</v>
      </c>
      <c r="B263" s="374" t="s">
        <v>211</v>
      </c>
      <c r="C263" s="374"/>
      <c r="D263" s="126" t="s">
        <v>41</v>
      </c>
      <c r="E263" s="310">
        <f>'d3'!E263-d3П!E258</f>
        <v>0</v>
      </c>
      <c r="F263" s="310">
        <f>'d3'!F263-d3П!F258</f>
        <v>0</v>
      </c>
      <c r="G263" s="310">
        <f>'d3'!G263-d3П!G258</f>
        <v>0</v>
      </c>
      <c r="H263" s="310">
        <f>'d3'!H263-d3П!H258</f>
        <v>0</v>
      </c>
      <c r="I263" s="310">
        <f>'d3'!I263-d3П!I258</f>
        <v>0</v>
      </c>
      <c r="J263" s="310">
        <f>'d3'!J263-d3П!J258</f>
        <v>0</v>
      </c>
      <c r="K263" s="310">
        <f>'d3'!K263-d3П!K258</f>
        <v>0</v>
      </c>
      <c r="L263" s="310">
        <f>'d3'!L263-d3П!L258</f>
        <v>0</v>
      </c>
      <c r="M263" s="310">
        <f>'d3'!M263-d3П!M258</f>
        <v>0</v>
      </c>
      <c r="N263" s="310">
        <f>'d3'!N263-d3П!N258</f>
        <v>0</v>
      </c>
      <c r="O263" s="310">
        <f>'d3'!O263-d3П!O258</f>
        <v>0</v>
      </c>
      <c r="P263" s="310">
        <f>'d3'!P263-d3П!P258</f>
        <v>0</v>
      </c>
      <c r="Q263" s="20"/>
      <c r="R263" s="50"/>
    </row>
    <row r="264" spans="1:18" ht="87" customHeight="1" thickTop="1" thickBot="1" x14ac:dyDescent="0.25">
      <c r="A264" s="709" t="s">
        <v>598</v>
      </c>
      <c r="B264" s="709" t="s">
        <v>196</v>
      </c>
      <c r="C264" s="709" t="s">
        <v>169</v>
      </c>
      <c r="D264" s="709" t="s">
        <v>34</v>
      </c>
      <c r="E264" s="310">
        <f>'d3'!E264-d3П!E259</f>
        <v>0</v>
      </c>
      <c r="F264" s="310">
        <f>'d3'!F264-d3П!F259</f>
        <v>0</v>
      </c>
      <c r="G264" s="310">
        <f>'d3'!G264-d3П!G259</f>
        <v>0</v>
      </c>
      <c r="H264" s="310">
        <f>'d3'!H264-d3П!H259</f>
        <v>0</v>
      </c>
      <c r="I264" s="310">
        <f>'d3'!I264-d3П!I259</f>
        <v>0</v>
      </c>
      <c r="J264" s="310">
        <f>'d3'!J264-d3П!J259</f>
        <v>998662</v>
      </c>
      <c r="K264" s="310">
        <f>'d3'!K264-d3П!K259</f>
        <v>998662</v>
      </c>
      <c r="L264" s="310">
        <f>'d3'!L264-d3П!L259</f>
        <v>0</v>
      </c>
      <c r="M264" s="310">
        <f>'d3'!M264-d3П!M259</f>
        <v>0</v>
      </c>
      <c r="N264" s="310">
        <f>'d3'!N264-d3П!N259</f>
        <v>0</v>
      </c>
      <c r="O264" s="310">
        <f>'d3'!O264-d3П!O259</f>
        <v>998662</v>
      </c>
      <c r="P264" s="310">
        <f>'d3'!P264-d3П!P259</f>
        <v>998662</v>
      </c>
      <c r="Q264" s="20"/>
      <c r="R264" s="46"/>
    </row>
    <row r="265" spans="1:18" ht="47.25" hidden="1" thickTop="1" thickBot="1" x14ac:dyDescent="0.25">
      <c r="A265" s="123" t="s">
        <v>1070</v>
      </c>
      <c r="B265" s="123" t="s">
        <v>689</v>
      </c>
      <c r="C265" s="123"/>
      <c r="D265" s="123" t="s">
        <v>690</v>
      </c>
      <c r="E265" s="125">
        <f>E266</f>
        <v>0</v>
      </c>
      <c r="F265" s="125">
        <f t="shared" ref="F265:P266" si="44">F266</f>
        <v>0</v>
      </c>
      <c r="G265" s="125">
        <f t="shared" si="44"/>
        <v>0</v>
      </c>
      <c r="H265" s="125">
        <f t="shared" si="44"/>
        <v>0</v>
      </c>
      <c r="I265" s="125">
        <f t="shared" si="44"/>
        <v>0</v>
      </c>
      <c r="J265" s="125">
        <f t="shared" si="44"/>
        <v>0</v>
      </c>
      <c r="K265" s="125">
        <f t="shared" si="44"/>
        <v>0</v>
      </c>
      <c r="L265" s="125">
        <f t="shared" si="44"/>
        <v>0</v>
      </c>
      <c r="M265" s="125">
        <f t="shared" si="44"/>
        <v>0</v>
      </c>
      <c r="N265" s="125">
        <f t="shared" si="44"/>
        <v>0</v>
      </c>
      <c r="O265" s="125">
        <f t="shared" si="44"/>
        <v>0</v>
      </c>
      <c r="P265" s="125">
        <f t="shared" si="44"/>
        <v>0</v>
      </c>
      <c r="Q265" s="20"/>
      <c r="R265" s="46"/>
    </row>
    <row r="266" spans="1:18" ht="91.5" hidden="1" thickTop="1" thickBot="1" x14ac:dyDescent="0.25">
      <c r="A266" s="134" t="s">
        <v>1071</v>
      </c>
      <c r="B266" s="134" t="s">
        <v>692</v>
      </c>
      <c r="C266" s="134"/>
      <c r="D266" s="134" t="s">
        <v>693</v>
      </c>
      <c r="E266" s="135">
        <f>E267</f>
        <v>0</v>
      </c>
      <c r="F266" s="135">
        <f t="shared" si="44"/>
        <v>0</v>
      </c>
      <c r="G266" s="135">
        <f t="shared" si="44"/>
        <v>0</v>
      </c>
      <c r="H266" s="135">
        <f t="shared" si="44"/>
        <v>0</v>
      </c>
      <c r="I266" s="135">
        <f t="shared" si="44"/>
        <v>0</v>
      </c>
      <c r="J266" s="135">
        <f t="shared" si="44"/>
        <v>0</v>
      </c>
      <c r="K266" s="135">
        <f t="shared" si="44"/>
        <v>0</v>
      </c>
      <c r="L266" s="135">
        <f t="shared" si="44"/>
        <v>0</v>
      </c>
      <c r="M266" s="135">
        <f t="shared" si="44"/>
        <v>0</v>
      </c>
      <c r="N266" s="135">
        <f t="shared" si="44"/>
        <v>0</v>
      </c>
      <c r="O266" s="135">
        <f t="shared" si="44"/>
        <v>0</v>
      </c>
      <c r="P266" s="135">
        <f t="shared" si="44"/>
        <v>0</v>
      </c>
      <c r="Q266" s="20"/>
      <c r="R266" s="46"/>
    </row>
    <row r="267" spans="1:18" ht="48" hidden="1" thickTop="1" thickBot="1" x14ac:dyDescent="0.25">
      <c r="A267" s="126" t="s">
        <v>1072</v>
      </c>
      <c r="B267" s="126" t="s">
        <v>359</v>
      </c>
      <c r="C267" s="126" t="s">
        <v>43</v>
      </c>
      <c r="D267" s="126" t="s">
        <v>360</v>
      </c>
      <c r="E267" s="125">
        <f t="shared" ref="E267" si="45">F267</f>
        <v>0</v>
      </c>
      <c r="F267" s="132"/>
      <c r="G267" s="132"/>
      <c r="H267" s="132"/>
      <c r="I267" s="132"/>
      <c r="J267" s="125">
        <f>L267+O267</f>
        <v>0</v>
      </c>
      <c r="K267" s="132"/>
      <c r="L267" s="132"/>
      <c r="M267" s="132"/>
      <c r="N267" s="132"/>
      <c r="O267" s="130">
        <f>K267</f>
        <v>0</v>
      </c>
      <c r="P267" s="125">
        <f>E267+J267</f>
        <v>0</v>
      </c>
      <c r="Q267" s="20"/>
      <c r="R267" s="46"/>
    </row>
    <row r="268" spans="1:18" ht="91.5" thickTop="1" thickBot="1" x14ac:dyDescent="0.25">
      <c r="A268" s="624" t="s">
        <v>157</v>
      </c>
      <c r="B268" s="624"/>
      <c r="C268" s="624"/>
      <c r="D268" s="625" t="s">
        <v>554</v>
      </c>
      <c r="E268" s="626">
        <f>E269</f>
        <v>2577472.6400000006</v>
      </c>
      <c r="F268" s="627">
        <f t="shared" ref="F268:G268" si="46">F269</f>
        <v>2577472.6400000006</v>
      </c>
      <c r="G268" s="627">
        <f t="shared" si="46"/>
        <v>-265300</v>
      </c>
      <c r="H268" s="627">
        <f>H269</f>
        <v>0</v>
      </c>
      <c r="I268" s="627">
        <f t="shared" ref="I268" si="47">I269</f>
        <v>0</v>
      </c>
      <c r="J268" s="626">
        <f>J269</f>
        <v>-27750152</v>
      </c>
      <c r="K268" s="627">
        <f>K269</f>
        <v>-27750152</v>
      </c>
      <c r="L268" s="627">
        <f>L269</f>
        <v>0</v>
      </c>
      <c r="M268" s="627">
        <f t="shared" ref="M268" si="48">M269</f>
        <v>0</v>
      </c>
      <c r="N268" s="627">
        <f>N269</f>
        <v>0</v>
      </c>
      <c r="O268" s="626">
        <f>O269</f>
        <v>-27750152</v>
      </c>
      <c r="P268" s="627">
        <f>P269</f>
        <v>-25172679.359999999</v>
      </c>
      <c r="Q268" s="20"/>
      <c r="R268" s="50"/>
    </row>
    <row r="269" spans="1:18" ht="120" customHeight="1" thickTop="1" thickBot="1" x14ac:dyDescent="0.25">
      <c r="A269" s="588" t="s">
        <v>158</v>
      </c>
      <c r="B269" s="588"/>
      <c r="C269" s="588"/>
      <c r="D269" s="589" t="s">
        <v>555</v>
      </c>
      <c r="E269" s="590">
        <f>E270+E276+E286+E295+E274</f>
        <v>2577472.6400000006</v>
      </c>
      <c r="F269" s="590">
        <f t="shared" ref="F269:I269" si="49">F270+F276+F286+F295+F274</f>
        <v>2577472.6400000006</v>
      </c>
      <c r="G269" s="590">
        <f t="shared" si="49"/>
        <v>-265300</v>
      </c>
      <c r="H269" s="590">
        <f t="shared" si="49"/>
        <v>0</v>
      </c>
      <c r="I269" s="590">
        <f t="shared" si="49"/>
        <v>0</v>
      </c>
      <c r="J269" s="590">
        <f>L269+O269</f>
        <v>-27750152</v>
      </c>
      <c r="K269" s="590">
        <f>K270+K276+K286+K295+K274</f>
        <v>-27750152</v>
      </c>
      <c r="L269" s="590">
        <f t="shared" ref="L269:N269" si="50">L270+L276+L286+L295+L274</f>
        <v>0</v>
      </c>
      <c r="M269" s="590">
        <f t="shared" si="50"/>
        <v>0</v>
      </c>
      <c r="N269" s="590">
        <f t="shared" si="50"/>
        <v>0</v>
      </c>
      <c r="O269" s="590">
        <f>O270+O276+O286+O295+O274</f>
        <v>-27750152</v>
      </c>
      <c r="P269" s="590">
        <f>E269+J269</f>
        <v>-25172679.359999999</v>
      </c>
      <c r="Q269" s="452" t="b">
        <f>P269=P271+P278+P280+P281+P283+P284+P285+P290+P291+P297+P288+P275+P282</f>
        <v>1</v>
      </c>
      <c r="R269" s="54"/>
    </row>
    <row r="270" spans="1:18" ht="69" customHeight="1" thickTop="1" thickBot="1" x14ac:dyDescent="0.25">
      <c r="A270" s="298" t="s">
        <v>774</v>
      </c>
      <c r="B270" s="298" t="s">
        <v>672</v>
      </c>
      <c r="C270" s="298"/>
      <c r="D270" s="298" t="s">
        <v>673</v>
      </c>
      <c r="E270" s="310">
        <f>'d3'!E270-d3П!E265</f>
        <v>-323700</v>
      </c>
      <c r="F270" s="310">
        <f>'d3'!F270-d3П!F265</f>
        <v>-323700</v>
      </c>
      <c r="G270" s="310">
        <f>'d3'!G270-d3П!G265</f>
        <v>-265300</v>
      </c>
      <c r="H270" s="310">
        <f>'d3'!H270-d3П!H265</f>
        <v>0</v>
      </c>
      <c r="I270" s="310">
        <f>'d3'!I270-d3П!I265</f>
        <v>0</v>
      </c>
      <c r="J270" s="310">
        <f>'d3'!J270-d3П!J265</f>
        <v>0</v>
      </c>
      <c r="K270" s="310">
        <f>'d3'!K270-d3П!K265</f>
        <v>0</v>
      </c>
      <c r="L270" s="310">
        <f>'d3'!L270-d3П!L265</f>
        <v>0</v>
      </c>
      <c r="M270" s="310">
        <f>'d3'!M270-d3П!M265</f>
        <v>0</v>
      </c>
      <c r="N270" s="310">
        <f>'d3'!N270-d3П!N265</f>
        <v>0</v>
      </c>
      <c r="O270" s="310">
        <f>'d3'!O270-d3П!O265</f>
        <v>0</v>
      </c>
      <c r="P270" s="310">
        <f>'d3'!P270-d3П!P265</f>
        <v>-323700</v>
      </c>
      <c r="Q270" s="47"/>
      <c r="R270" s="54"/>
    </row>
    <row r="271" spans="1:18" ht="117.75" customHeight="1" thickTop="1" thickBot="1" x14ac:dyDescent="0.25">
      <c r="A271" s="101" t="s">
        <v>416</v>
      </c>
      <c r="B271" s="101" t="s">
        <v>235</v>
      </c>
      <c r="C271" s="101" t="s">
        <v>233</v>
      </c>
      <c r="D271" s="101" t="s">
        <v>234</v>
      </c>
      <c r="E271" s="310">
        <f>'d3'!E271-d3П!E266</f>
        <v>-323700</v>
      </c>
      <c r="F271" s="310">
        <f>'d3'!F271-d3П!F266</f>
        <v>-323700</v>
      </c>
      <c r="G271" s="310">
        <f>'d3'!G271-d3П!G266</f>
        <v>-265300</v>
      </c>
      <c r="H271" s="310">
        <f>'d3'!H271-d3П!H266</f>
        <v>0</v>
      </c>
      <c r="I271" s="310">
        <f>'d3'!I271-d3П!I266</f>
        <v>0</v>
      </c>
      <c r="J271" s="310">
        <f>'d3'!J271-d3П!J266</f>
        <v>0</v>
      </c>
      <c r="K271" s="310">
        <f>'d3'!K271-d3П!K266</f>
        <v>0</v>
      </c>
      <c r="L271" s="310">
        <f>'d3'!L271-d3П!L266</f>
        <v>0</v>
      </c>
      <c r="M271" s="310">
        <f>'d3'!M271-d3П!M266</f>
        <v>0</v>
      </c>
      <c r="N271" s="310">
        <f>'d3'!N271-d3П!N266</f>
        <v>0</v>
      </c>
      <c r="O271" s="310">
        <f>'d3'!O271-d3П!O266</f>
        <v>0</v>
      </c>
      <c r="P271" s="310">
        <f>'d3'!P271-d3П!P266</f>
        <v>-323700</v>
      </c>
      <c r="Q271" s="20"/>
      <c r="R271" s="54"/>
    </row>
    <row r="272" spans="1:18" ht="93" hidden="1" thickTop="1" thickBot="1" x14ac:dyDescent="0.25">
      <c r="A272" s="126" t="s">
        <v>618</v>
      </c>
      <c r="B272" s="126" t="s">
        <v>358</v>
      </c>
      <c r="C272" s="126" t="s">
        <v>616</v>
      </c>
      <c r="D272" s="126" t="s">
        <v>617</v>
      </c>
      <c r="E272" s="310">
        <f>'d3'!E272-d3П!E267</f>
        <v>0</v>
      </c>
      <c r="F272" s="310">
        <f>'d3'!F272-d3П!F267</f>
        <v>0</v>
      </c>
      <c r="G272" s="310">
        <f>'d3'!G272-d3П!G267</f>
        <v>0</v>
      </c>
      <c r="H272" s="310">
        <f>'d3'!H272-d3П!H267</f>
        <v>0</v>
      </c>
      <c r="I272" s="310">
        <f>'d3'!I272-d3П!I267</f>
        <v>0</v>
      </c>
      <c r="J272" s="310">
        <f>'d3'!J272-d3П!J267</f>
        <v>0</v>
      </c>
      <c r="K272" s="310">
        <f>'d3'!K272-d3П!K267</f>
        <v>0</v>
      </c>
      <c r="L272" s="310">
        <f>'d3'!L272-d3П!L267</f>
        <v>0</v>
      </c>
      <c r="M272" s="310">
        <f>'d3'!M272-d3П!M267</f>
        <v>0</v>
      </c>
      <c r="N272" s="310">
        <f>'d3'!N272-d3П!N267</f>
        <v>0</v>
      </c>
      <c r="O272" s="310">
        <f>'d3'!O272-d3П!O267</f>
        <v>0</v>
      </c>
      <c r="P272" s="310">
        <f>'d3'!P272-d3П!P267</f>
        <v>0</v>
      </c>
      <c r="Q272" s="20"/>
      <c r="R272" s="54"/>
    </row>
    <row r="273" spans="1:18" ht="47.25" hidden="1" thickTop="1" thickBot="1" x14ac:dyDescent="0.25">
      <c r="A273" s="126" t="s">
        <v>1105</v>
      </c>
      <c r="B273" s="126" t="s">
        <v>43</v>
      </c>
      <c r="C273" s="126" t="s">
        <v>42</v>
      </c>
      <c r="D273" s="126" t="s">
        <v>246</v>
      </c>
      <c r="E273" s="310">
        <f>'d3'!E273-d3П!E268</f>
        <v>0</v>
      </c>
      <c r="F273" s="310">
        <f>'d3'!F273-d3П!F268</f>
        <v>0</v>
      </c>
      <c r="G273" s="310">
        <f>'d3'!G273-d3П!G268</f>
        <v>0</v>
      </c>
      <c r="H273" s="310">
        <f>'d3'!H273-d3П!H268</f>
        <v>0</v>
      </c>
      <c r="I273" s="310">
        <f>'d3'!I273-d3П!I268</f>
        <v>0</v>
      </c>
      <c r="J273" s="310">
        <f>'d3'!J273-d3П!J268</f>
        <v>0</v>
      </c>
      <c r="K273" s="310">
        <f>'d3'!K273-d3П!K268</f>
        <v>0</v>
      </c>
      <c r="L273" s="310">
        <f>'d3'!L273-d3П!L268</f>
        <v>0</v>
      </c>
      <c r="M273" s="310">
        <f>'d3'!M273-d3П!M268</f>
        <v>0</v>
      </c>
      <c r="N273" s="310">
        <f>'d3'!N273-d3П!N268</f>
        <v>0</v>
      </c>
      <c r="O273" s="310">
        <f>'d3'!O273-d3П!O268</f>
        <v>0</v>
      </c>
      <c r="P273" s="310">
        <f>'d3'!P273-d3П!P268</f>
        <v>0</v>
      </c>
      <c r="Q273" s="20"/>
      <c r="R273" s="54"/>
    </row>
    <row r="274" spans="1:18" ht="72" customHeight="1" thickTop="1" thickBot="1" x14ac:dyDescent="0.25">
      <c r="A274" s="298" t="s">
        <v>1708</v>
      </c>
      <c r="B274" s="298" t="s">
        <v>698</v>
      </c>
      <c r="C274" s="298"/>
      <c r="D274" s="298" t="s">
        <v>699</v>
      </c>
      <c r="E274" s="310">
        <f>'d3'!E274-d3П!E269</f>
        <v>0</v>
      </c>
      <c r="F274" s="310">
        <f>'d3'!F274-d3П!F269</f>
        <v>0</v>
      </c>
      <c r="G274" s="310">
        <f>'d3'!G274-d3П!G269</f>
        <v>0</v>
      </c>
      <c r="H274" s="310">
        <f>'d3'!H274-d3П!H269</f>
        <v>0</v>
      </c>
      <c r="I274" s="310">
        <f>'d3'!I274-d3П!I269</f>
        <v>0</v>
      </c>
      <c r="J274" s="310">
        <f>'d3'!J274-d3П!J269</f>
        <v>-990000</v>
      </c>
      <c r="K274" s="310">
        <f>'d3'!K274-d3П!K269</f>
        <v>-990000</v>
      </c>
      <c r="L274" s="310">
        <f>'d3'!L274-d3П!L269</f>
        <v>0</v>
      </c>
      <c r="M274" s="310">
        <f>'d3'!M274-d3П!M269</f>
        <v>0</v>
      </c>
      <c r="N274" s="310">
        <f>'d3'!N274-d3П!N269</f>
        <v>0</v>
      </c>
      <c r="O274" s="310">
        <f>'d3'!O274-d3П!O269</f>
        <v>-990000</v>
      </c>
      <c r="P274" s="310">
        <f>'d3'!P274-d3П!P269</f>
        <v>-990000</v>
      </c>
      <c r="Q274" s="20"/>
      <c r="R274" s="54"/>
    </row>
    <row r="275" spans="1:18" ht="140.25" customHeight="1" thickTop="1" thickBot="1" x14ac:dyDescent="0.25">
      <c r="A275" s="101" t="s">
        <v>1709</v>
      </c>
      <c r="B275" s="101" t="s">
        <v>1159</v>
      </c>
      <c r="C275" s="101" t="s">
        <v>205</v>
      </c>
      <c r="D275" s="600" t="s">
        <v>1160</v>
      </c>
      <c r="E275" s="310">
        <f>'d3'!E275-d3П!E270</f>
        <v>0</v>
      </c>
      <c r="F275" s="310">
        <f>'d3'!F275-d3П!F270</f>
        <v>0</v>
      </c>
      <c r="G275" s="310">
        <f>'d3'!G275-d3П!G270</f>
        <v>0</v>
      </c>
      <c r="H275" s="310">
        <f>'d3'!H275-d3П!H270</f>
        <v>0</v>
      </c>
      <c r="I275" s="310">
        <f>'d3'!I275-d3П!I270</f>
        <v>0</v>
      </c>
      <c r="J275" s="310">
        <f>'d3'!J275-d3П!J270</f>
        <v>-990000</v>
      </c>
      <c r="K275" s="310">
        <f>'d3'!K275-d3П!K270</f>
        <v>-990000</v>
      </c>
      <c r="L275" s="310">
        <f>'d3'!L275-d3П!L270</f>
        <v>0</v>
      </c>
      <c r="M275" s="310">
        <f>'d3'!M275-d3П!M270</f>
        <v>0</v>
      </c>
      <c r="N275" s="310">
        <f>'d3'!N275-d3П!N270</f>
        <v>0</v>
      </c>
      <c r="O275" s="310">
        <f>'d3'!O275-d3П!O270</f>
        <v>-990000</v>
      </c>
      <c r="P275" s="310">
        <f>'d3'!P275-d3П!P270</f>
        <v>-990000</v>
      </c>
      <c r="Q275" s="20"/>
      <c r="R275" s="54"/>
    </row>
    <row r="276" spans="1:18" ht="47.25" thickTop="1" thickBot="1" x14ac:dyDescent="0.25">
      <c r="A276" s="298" t="s">
        <v>775</v>
      </c>
      <c r="B276" s="298" t="s">
        <v>729</v>
      </c>
      <c r="C276" s="298"/>
      <c r="D276" s="597" t="s">
        <v>730</v>
      </c>
      <c r="E276" s="310">
        <f>'d3'!E276-d3П!E271</f>
        <v>3834329</v>
      </c>
      <c r="F276" s="310">
        <f>'d3'!F276-d3П!F271</f>
        <v>3834329</v>
      </c>
      <c r="G276" s="310">
        <f>'d3'!G276-d3П!G271</f>
        <v>0</v>
      </c>
      <c r="H276" s="310">
        <f>'d3'!H276-d3П!H271</f>
        <v>0</v>
      </c>
      <c r="I276" s="310">
        <f>'d3'!I276-d3П!I271</f>
        <v>0</v>
      </c>
      <c r="J276" s="310">
        <f>'d3'!J276-d3П!J271</f>
        <v>3239848</v>
      </c>
      <c r="K276" s="310">
        <f>'d3'!K276-d3П!K271</f>
        <v>3239848</v>
      </c>
      <c r="L276" s="310">
        <f>'d3'!L276-d3П!L271</f>
        <v>0</v>
      </c>
      <c r="M276" s="310">
        <f>'d3'!M276-d3П!M271</f>
        <v>0</v>
      </c>
      <c r="N276" s="310">
        <f>'d3'!N276-d3П!N271</f>
        <v>0</v>
      </c>
      <c r="O276" s="310">
        <f>'d3'!O276-d3П!O271</f>
        <v>3239848</v>
      </c>
      <c r="P276" s="310">
        <f>'d3'!P276-d3П!P271</f>
        <v>7074177</v>
      </c>
      <c r="Q276" s="20"/>
      <c r="R276" s="54"/>
    </row>
    <row r="277" spans="1:18" s="33" customFormat="1" ht="93" thickTop="1" thickBot="1" x14ac:dyDescent="0.25">
      <c r="A277" s="598" t="s">
        <v>776</v>
      </c>
      <c r="B277" s="598" t="s">
        <v>777</v>
      </c>
      <c r="C277" s="598"/>
      <c r="D277" s="598" t="s">
        <v>778</v>
      </c>
      <c r="E277" s="310">
        <f>'d3'!E277-d3П!E272</f>
        <v>624260</v>
      </c>
      <c r="F277" s="310">
        <f>'d3'!F277-d3П!F272</f>
        <v>624260</v>
      </c>
      <c r="G277" s="310">
        <f>'d3'!G277-d3П!G272</f>
        <v>0</v>
      </c>
      <c r="H277" s="310">
        <f>'d3'!H277-d3П!H272</f>
        <v>0</v>
      </c>
      <c r="I277" s="310">
        <f>'d3'!I277-d3П!I272</f>
        <v>0</v>
      </c>
      <c r="J277" s="310">
        <f>'d3'!J277-d3П!J272</f>
        <v>3239848</v>
      </c>
      <c r="K277" s="310">
        <f>'d3'!K277-d3П!K272</f>
        <v>3239848</v>
      </c>
      <c r="L277" s="310">
        <f>'d3'!L277-d3П!L272</f>
        <v>0</v>
      </c>
      <c r="M277" s="310">
        <f>'d3'!M277-d3П!M272</f>
        <v>0</v>
      </c>
      <c r="N277" s="310">
        <f>'d3'!N277-d3П!N272</f>
        <v>0</v>
      </c>
      <c r="O277" s="310">
        <f>'d3'!O277-d3П!O272</f>
        <v>3239848</v>
      </c>
      <c r="P277" s="310">
        <f>'d3'!P277-d3П!P272</f>
        <v>3864108</v>
      </c>
      <c r="Q277" s="36"/>
      <c r="R277" s="54"/>
    </row>
    <row r="278" spans="1:18" ht="88.5" customHeight="1" thickTop="1" thickBot="1" x14ac:dyDescent="0.25">
      <c r="A278" s="101" t="s">
        <v>278</v>
      </c>
      <c r="B278" s="101" t="s">
        <v>279</v>
      </c>
      <c r="C278" s="101" t="s">
        <v>337</v>
      </c>
      <c r="D278" s="101" t="s">
        <v>280</v>
      </c>
      <c r="E278" s="310">
        <f>'d3'!E278-d3П!E273</f>
        <v>624260</v>
      </c>
      <c r="F278" s="310">
        <f>'d3'!F278-d3П!F273</f>
        <v>624260</v>
      </c>
      <c r="G278" s="310">
        <f>'d3'!G278-d3П!G273</f>
        <v>0</v>
      </c>
      <c r="H278" s="310">
        <f>'d3'!H278-d3П!H273</f>
        <v>0</v>
      </c>
      <c r="I278" s="310">
        <f>'d3'!I278-d3П!I273</f>
        <v>0</v>
      </c>
      <c r="J278" s="310">
        <f>'d3'!J278-d3П!J273</f>
        <v>452775</v>
      </c>
      <c r="K278" s="310">
        <f>'d3'!K278-d3П!K273</f>
        <v>452775</v>
      </c>
      <c r="L278" s="310">
        <f>'d3'!L278-d3П!L273</f>
        <v>0</v>
      </c>
      <c r="M278" s="310">
        <f>'d3'!M278-d3П!M273</f>
        <v>0</v>
      </c>
      <c r="N278" s="310">
        <f>'d3'!N278-d3П!N273</f>
        <v>0</v>
      </c>
      <c r="O278" s="310">
        <f>'d3'!O278-d3П!O273</f>
        <v>452775</v>
      </c>
      <c r="P278" s="310">
        <f>'d3'!P278-d3П!P273</f>
        <v>1077035</v>
      </c>
      <c r="Q278" s="20"/>
      <c r="R278" s="54"/>
    </row>
    <row r="279" spans="1:18" ht="47.25" hidden="1" thickTop="1" thickBot="1" x14ac:dyDescent="0.25">
      <c r="A279" s="126" t="s">
        <v>1521</v>
      </c>
      <c r="B279" s="126" t="s">
        <v>284</v>
      </c>
      <c r="C279" s="126" t="s">
        <v>281</v>
      </c>
      <c r="D279" s="126" t="s">
        <v>285</v>
      </c>
      <c r="E279" s="310">
        <f>'d3'!E279-d3П!E274</f>
        <v>0</v>
      </c>
      <c r="F279" s="310">
        <f>'d3'!F279-d3П!F274</f>
        <v>0</v>
      </c>
      <c r="G279" s="310">
        <f>'d3'!G279-d3П!G274</f>
        <v>0</v>
      </c>
      <c r="H279" s="310">
        <f>'d3'!H279-d3П!H274</f>
        <v>0</v>
      </c>
      <c r="I279" s="310">
        <f>'d3'!I279-d3П!I274</f>
        <v>0</v>
      </c>
      <c r="J279" s="310">
        <f>'d3'!J279-d3П!J274</f>
        <v>0</v>
      </c>
      <c r="K279" s="310">
        <f>'d3'!K279-d3П!K274</f>
        <v>0</v>
      </c>
      <c r="L279" s="310">
        <f>'d3'!L279-d3П!L274</f>
        <v>0</v>
      </c>
      <c r="M279" s="310">
        <f>'d3'!M279-d3П!M274</f>
        <v>0</v>
      </c>
      <c r="N279" s="310">
        <f>'d3'!N279-d3П!N274</f>
        <v>0</v>
      </c>
      <c r="O279" s="310">
        <f>'d3'!O279-d3П!O274</f>
        <v>0</v>
      </c>
      <c r="P279" s="310">
        <f>'d3'!P279-d3П!P274</f>
        <v>0</v>
      </c>
      <c r="Q279" s="20"/>
      <c r="R279" s="54"/>
    </row>
    <row r="280" spans="1:18" ht="82.5" customHeight="1" thickTop="1" thickBot="1" x14ac:dyDescent="0.25">
      <c r="A280" s="101" t="s">
        <v>299</v>
      </c>
      <c r="B280" s="101" t="s">
        <v>300</v>
      </c>
      <c r="C280" s="101" t="s">
        <v>281</v>
      </c>
      <c r="D280" s="101" t="s">
        <v>301</v>
      </c>
      <c r="E280" s="310">
        <f>'d3'!E280-d3П!E275</f>
        <v>0</v>
      </c>
      <c r="F280" s="310">
        <f>'d3'!F280-d3П!F275</f>
        <v>0</v>
      </c>
      <c r="G280" s="310">
        <f>'d3'!G280-d3П!G275</f>
        <v>0</v>
      </c>
      <c r="H280" s="310">
        <f>'d3'!H280-d3П!H275</f>
        <v>0</v>
      </c>
      <c r="I280" s="310">
        <f>'d3'!I280-d3П!I275</f>
        <v>0</v>
      </c>
      <c r="J280" s="310">
        <f>'d3'!J280-d3П!J275</f>
        <v>2787073</v>
      </c>
      <c r="K280" s="310">
        <f>'d3'!K280-d3П!K275</f>
        <v>2787073</v>
      </c>
      <c r="L280" s="310">
        <f>'d3'!L280-d3П!L275</f>
        <v>0</v>
      </c>
      <c r="M280" s="310">
        <f>'d3'!M280-d3П!M275</f>
        <v>0</v>
      </c>
      <c r="N280" s="310">
        <f>'d3'!N280-d3П!N275</f>
        <v>0</v>
      </c>
      <c r="O280" s="310">
        <f>'d3'!O280-d3П!O275</f>
        <v>2787073</v>
      </c>
      <c r="P280" s="310">
        <f>'d3'!P280-d3П!P275</f>
        <v>2787073</v>
      </c>
      <c r="Q280" s="20"/>
      <c r="R280" s="54"/>
    </row>
    <row r="281" spans="1:18" ht="93" thickTop="1" thickBot="1" x14ac:dyDescent="0.25">
      <c r="A281" s="101" t="s">
        <v>282</v>
      </c>
      <c r="B281" s="101" t="s">
        <v>283</v>
      </c>
      <c r="C281" s="101" t="s">
        <v>281</v>
      </c>
      <c r="D281" s="101" t="s">
        <v>461</v>
      </c>
      <c r="E281" s="310">
        <f>'d3'!E281-d3П!E276</f>
        <v>0</v>
      </c>
      <c r="F281" s="310">
        <f>'d3'!F281-d3П!F276</f>
        <v>0</v>
      </c>
      <c r="G281" s="310">
        <f>'d3'!G281-d3П!G276</f>
        <v>0</v>
      </c>
      <c r="H281" s="310">
        <f>'d3'!H281-d3П!H276</f>
        <v>0</v>
      </c>
      <c r="I281" s="310">
        <f>'d3'!I281-d3П!I276</f>
        <v>0</v>
      </c>
      <c r="J281" s="310">
        <f>'d3'!J281-d3П!J276</f>
        <v>0</v>
      </c>
      <c r="K281" s="310">
        <f>'d3'!K281-d3П!K276</f>
        <v>0</v>
      </c>
      <c r="L281" s="310">
        <f>'d3'!L281-d3П!L276</f>
        <v>0</v>
      </c>
      <c r="M281" s="310">
        <f>'d3'!M281-d3П!M276</f>
        <v>0</v>
      </c>
      <c r="N281" s="310">
        <f>'d3'!N281-d3П!N276</f>
        <v>0</v>
      </c>
      <c r="O281" s="310">
        <f>'d3'!O281-d3П!O276</f>
        <v>0</v>
      </c>
      <c r="P281" s="310">
        <f>'d3'!P281-d3П!P276</f>
        <v>0</v>
      </c>
      <c r="Q281" s="20"/>
      <c r="R281" s="54"/>
    </row>
    <row r="282" spans="1:18" ht="117.75" customHeight="1" thickTop="1" thickBot="1" x14ac:dyDescent="0.25">
      <c r="A282" s="101" t="s">
        <v>909</v>
      </c>
      <c r="B282" s="101" t="s">
        <v>295</v>
      </c>
      <c r="C282" s="101" t="s">
        <v>281</v>
      </c>
      <c r="D282" s="101" t="s">
        <v>296</v>
      </c>
      <c r="E282" s="310">
        <f>'d3'!E282-d3П!E277</f>
        <v>1154108</v>
      </c>
      <c r="F282" s="310">
        <f>'d3'!F282-d3П!F277</f>
        <v>1154108</v>
      </c>
      <c r="G282" s="310">
        <f>'d3'!G282-d3П!G277</f>
        <v>0</v>
      </c>
      <c r="H282" s="310">
        <f>'d3'!H282-d3П!H277</f>
        <v>0</v>
      </c>
      <c r="I282" s="310">
        <f>'d3'!I282-d3П!I277</f>
        <v>0</v>
      </c>
      <c r="J282" s="310">
        <f>'d3'!J282-d3П!J277</f>
        <v>0</v>
      </c>
      <c r="K282" s="310">
        <f>'d3'!K282-d3П!K277</f>
        <v>0</v>
      </c>
      <c r="L282" s="310">
        <f>'d3'!L282-d3П!L277</f>
        <v>0</v>
      </c>
      <c r="M282" s="310">
        <f>'d3'!M282-d3П!M277</f>
        <v>0</v>
      </c>
      <c r="N282" s="310">
        <f>'d3'!N282-d3П!N277</f>
        <v>0</v>
      </c>
      <c r="O282" s="310">
        <f>'d3'!O282-d3П!O277</f>
        <v>0</v>
      </c>
      <c r="P282" s="310">
        <f>'d3'!P282-d3П!P277</f>
        <v>1154108</v>
      </c>
      <c r="Q282" s="20"/>
      <c r="R282" s="54"/>
    </row>
    <row r="283" spans="1:18" ht="72.75" customHeight="1" thickTop="1" thickBot="1" x14ac:dyDescent="0.25">
      <c r="A283" s="101" t="s">
        <v>286</v>
      </c>
      <c r="B283" s="101" t="s">
        <v>287</v>
      </c>
      <c r="C283" s="101" t="s">
        <v>281</v>
      </c>
      <c r="D283" s="101" t="s">
        <v>288</v>
      </c>
      <c r="E283" s="310">
        <f>'d3'!E283-d3П!E278</f>
        <v>2000000</v>
      </c>
      <c r="F283" s="310">
        <f>'d3'!F283-d3П!F278</f>
        <v>2000000</v>
      </c>
      <c r="G283" s="310">
        <f>'d3'!G283-d3П!G278</f>
        <v>0</v>
      </c>
      <c r="H283" s="310">
        <f>'d3'!H283-d3П!H278</f>
        <v>0</v>
      </c>
      <c r="I283" s="310">
        <f>'d3'!I283-d3П!I278</f>
        <v>0</v>
      </c>
      <c r="J283" s="310">
        <f>'d3'!J283-d3П!J278</f>
        <v>0</v>
      </c>
      <c r="K283" s="310">
        <f>'d3'!K283-d3П!K278</f>
        <v>0</v>
      </c>
      <c r="L283" s="310">
        <f>'d3'!L283-d3П!L278</f>
        <v>0</v>
      </c>
      <c r="M283" s="310">
        <f>'d3'!M283-d3П!M278</f>
        <v>0</v>
      </c>
      <c r="N283" s="310">
        <f>'d3'!N283-d3П!N278</f>
        <v>0</v>
      </c>
      <c r="O283" s="310">
        <f>'d3'!O283-d3П!O278</f>
        <v>0</v>
      </c>
      <c r="P283" s="310">
        <f>'d3'!P283-d3П!P278</f>
        <v>2000000</v>
      </c>
      <c r="Q283" s="20"/>
      <c r="R283" s="50"/>
    </row>
    <row r="284" spans="1:18" ht="72.75" customHeight="1" thickTop="1" thickBot="1" x14ac:dyDescent="0.25">
      <c r="A284" s="101" t="s">
        <v>1219</v>
      </c>
      <c r="B284" s="101" t="s">
        <v>1110</v>
      </c>
      <c r="C284" s="101" t="s">
        <v>1111</v>
      </c>
      <c r="D284" s="101" t="s">
        <v>1108</v>
      </c>
      <c r="E284" s="310">
        <f>'d3'!E284-d3П!E279</f>
        <v>55961</v>
      </c>
      <c r="F284" s="310">
        <f>'d3'!F284-d3П!F279</f>
        <v>55961</v>
      </c>
      <c r="G284" s="310">
        <f>'d3'!G284-d3П!G279</f>
        <v>0</v>
      </c>
      <c r="H284" s="310">
        <f>'d3'!H284-d3П!H279</f>
        <v>0</v>
      </c>
      <c r="I284" s="310">
        <f>'d3'!I284-d3П!I279</f>
        <v>0</v>
      </c>
      <c r="J284" s="310">
        <f>'d3'!J284-d3П!J279</f>
        <v>0</v>
      </c>
      <c r="K284" s="310">
        <f>'d3'!K284-d3П!K279</f>
        <v>0</v>
      </c>
      <c r="L284" s="310">
        <f>'d3'!L284-d3П!L279</f>
        <v>0</v>
      </c>
      <c r="M284" s="310">
        <f>'d3'!M284-d3П!M279</f>
        <v>0</v>
      </c>
      <c r="N284" s="310">
        <f>'d3'!N284-d3П!N279</f>
        <v>0</v>
      </c>
      <c r="O284" s="310">
        <f>'d3'!O284-d3П!O279</f>
        <v>0</v>
      </c>
      <c r="P284" s="310">
        <f>'d3'!P284-d3П!P279</f>
        <v>55961</v>
      </c>
      <c r="Q284" s="20"/>
      <c r="R284" s="50"/>
    </row>
    <row r="285" spans="1:18" ht="72.75" customHeight="1" thickTop="1" thickBot="1" x14ac:dyDescent="0.25">
      <c r="A285" s="101" t="s">
        <v>1559</v>
      </c>
      <c r="B285" s="101" t="s">
        <v>1560</v>
      </c>
      <c r="C285" s="101" t="s">
        <v>1111</v>
      </c>
      <c r="D285" s="101" t="s">
        <v>1561</v>
      </c>
      <c r="E285" s="310">
        <f>'d3'!E285-d3П!E280</f>
        <v>0</v>
      </c>
      <c r="F285" s="310">
        <f>'d3'!F285-d3П!F280</f>
        <v>0</v>
      </c>
      <c r="G285" s="310">
        <f>'d3'!G285-d3П!G280</f>
        <v>0</v>
      </c>
      <c r="H285" s="310">
        <f>'d3'!H285-d3П!H280</f>
        <v>0</v>
      </c>
      <c r="I285" s="310">
        <f>'d3'!I285-d3П!I280</f>
        <v>0</v>
      </c>
      <c r="J285" s="310">
        <f>'d3'!J285-d3П!J280</f>
        <v>0</v>
      </c>
      <c r="K285" s="310">
        <f>'d3'!K285-d3П!K280</f>
        <v>0</v>
      </c>
      <c r="L285" s="310">
        <f>'d3'!L285-d3П!L280</f>
        <v>0</v>
      </c>
      <c r="M285" s="310">
        <f>'d3'!M285-d3П!M280</f>
        <v>0</v>
      </c>
      <c r="N285" s="310">
        <f>'d3'!N285-d3П!N280</f>
        <v>0</v>
      </c>
      <c r="O285" s="310">
        <f>'d3'!O285-d3П!O280</f>
        <v>0</v>
      </c>
      <c r="P285" s="310">
        <f>'d3'!P285-d3П!P280</f>
        <v>0</v>
      </c>
      <c r="Q285" s="20"/>
      <c r="R285" s="50"/>
    </row>
    <row r="286" spans="1:18" ht="47.25" thickTop="1" thickBot="1" x14ac:dyDescent="0.25">
      <c r="A286" s="298" t="s">
        <v>779</v>
      </c>
      <c r="B286" s="298" t="s">
        <v>735</v>
      </c>
      <c r="C286" s="298"/>
      <c r="D286" s="298" t="s">
        <v>780</v>
      </c>
      <c r="E286" s="310">
        <f>'d3'!E286-d3П!E281</f>
        <v>-333156.3599999994</v>
      </c>
      <c r="F286" s="310">
        <f>'d3'!F286-d3П!F281</f>
        <v>-333156.3599999994</v>
      </c>
      <c r="G286" s="310">
        <f>'d3'!G286-d3П!G281</f>
        <v>0</v>
      </c>
      <c r="H286" s="310">
        <f>'d3'!H286-d3П!H281</f>
        <v>0</v>
      </c>
      <c r="I286" s="310">
        <f>'d3'!I286-d3П!I281</f>
        <v>0</v>
      </c>
      <c r="J286" s="310">
        <f>'d3'!J286-d3П!J281</f>
        <v>-30000000</v>
      </c>
      <c r="K286" s="310">
        <f>'d3'!K286-d3П!K281</f>
        <v>-30000000</v>
      </c>
      <c r="L286" s="310">
        <f>'d3'!L286-d3П!L281</f>
        <v>0</v>
      </c>
      <c r="M286" s="310">
        <f>'d3'!M286-d3П!M281</f>
        <v>0</v>
      </c>
      <c r="N286" s="310">
        <f>'d3'!N286-d3П!N281</f>
        <v>0</v>
      </c>
      <c r="O286" s="310">
        <f>'d3'!O286-d3П!O281</f>
        <v>-30000000</v>
      </c>
      <c r="P286" s="310">
        <f>'d3'!P286-d3П!P281</f>
        <v>-30333156.359999999</v>
      </c>
      <c r="Q286" s="20"/>
      <c r="R286" s="50"/>
    </row>
    <row r="287" spans="1:18" ht="47.25" thickTop="1" thickBot="1" x14ac:dyDescent="0.25">
      <c r="A287" s="593" t="s">
        <v>1672</v>
      </c>
      <c r="B287" s="593" t="s">
        <v>824</v>
      </c>
      <c r="C287" s="593"/>
      <c r="D287" s="593" t="s">
        <v>825</v>
      </c>
      <c r="E287" s="310">
        <f>'d3'!E287-d3П!E282</f>
        <v>0</v>
      </c>
      <c r="F287" s="310">
        <f>'d3'!F287-d3П!F282</f>
        <v>0</v>
      </c>
      <c r="G287" s="310">
        <f>'d3'!G287-d3П!G282</f>
        <v>0</v>
      </c>
      <c r="H287" s="310">
        <f>'d3'!H287-d3П!H282</f>
        <v>0</v>
      </c>
      <c r="I287" s="310">
        <f>'d3'!I287-d3П!I282</f>
        <v>0</v>
      </c>
      <c r="J287" s="310">
        <f>'d3'!J287-d3П!J282</f>
        <v>0</v>
      </c>
      <c r="K287" s="310">
        <f>'d3'!K287-d3П!K282</f>
        <v>0</v>
      </c>
      <c r="L287" s="310">
        <f>'d3'!L287-d3П!L282</f>
        <v>0</v>
      </c>
      <c r="M287" s="310">
        <f>'d3'!M287-d3П!M282</f>
        <v>0</v>
      </c>
      <c r="N287" s="310">
        <f>'d3'!N287-d3П!N282</f>
        <v>0</v>
      </c>
      <c r="O287" s="310">
        <f>'d3'!O287-d3П!O282</f>
        <v>0</v>
      </c>
      <c r="P287" s="310">
        <f>'d3'!P287-d3П!P282</f>
        <v>0</v>
      </c>
      <c r="Q287" s="20"/>
      <c r="R287" s="50"/>
    </row>
    <row r="288" spans="1:18" ht="60.75" customHeight="1" thickTop="1" thickBot="1" x14ac:dyDescent="0.25">
      <c r="A288" s="101" t="s">
        <v>1673</v>
      </c>
      <c r="B288" s="101" t="s">
        <v>305</v>
      </c>
      <c r="C288" s="101" t="s">
        <v>306</v>
      </c>
      <c r="D288" s="101" t="s">
        <v>456</v>
      </c>
      <c r="E288" s="310">
        <f>'d3'!E288-d3П!E283</f>
        <v>0</v>
      </c>
      <c r="F288" s="310">
        <f>'d3'!F288-d3П!F283</f>
        <v>0</v>
      </c>
      <c r="G288" s="310">
        <f>'d3'!G288-d3П!G283</f>
        <v>0</v>
      </c>
      <c r="H288" s="310">
        <f>'d3'!H288-d3П!H283</f>
        <v>0</v>
      </c>
      <c r="I288" s="310">
        <f>'d3'!I288-d3П!I283</f>
        <v>0</v>
      </c>
      <c r="J288" s="310">
        <f>'d3'!J288-d3П!J283</f>
        <v>0</v>
      </c>
      <c r="K288" s="310">
        <f>'d3'!K288-d3П!K283</f>
        <v>0</v>
      </c>
      <c r="L288" s="310">
        <f>'d3'!L288-d3П!L283</f>
        <v>0</v>
      </c>
      <c r="M288" s="310">
        <f>'d3'!M288-d3П!M283</f>
        <v>0</v>
      </c>
      <c r="N288" s="310">
        <f>'d3'!N288-d3П!N283</f>
        <v>0</v>
      </c>
      <c r="O288" s="310">
        <f>'d3'!O288-d3П!O283</f>
        <v>0</v>
      </c>
      <c r="P288" s="310">
        <f>'d3'!P288-d3П!P283</f>
        <v>0</v>
      </c>
      <c r="Q288" s="20"/>
      <c r="R288" s="50"/>
    </row>
    <row r="289" spans="1:18" ht="47.25" thickTop="1" thickBot="1" x14ac:dyDescent="0.25">
      <c r="A289" s="593" t="s">
        <v>781</v>
      </c>
      <c r="B289" s="593" t="s">
        <v>679</v>
      </c>
      <c r="C289" s="593"/>
      <c r="D289" s="593" t="s">
        <v>677</v>
      </c>
      <c r="E289" s="310">
        <f>'d3'!E289-d3П!E284</f>
        <v>-333156.3599999994</v>
      </c>
      <c r="F289" s="310">
        <f>'d3'!F289-d3П!F284</f>
        <v>-333156.3599999994</v>
      </c>
      <c r="G289" s="310">
        <f>'d3'!G289-d3П!G284</f>
        <v>0</v>
      </c>
      <c r="H289" s="310">
        <f>'d3'!H289-d3П!H284</f>
        <v>0</v>
      </c>
      <c r="I289" s="310">
        <f>'d3'!I289-d3П!I284</f>
        <v>0</v>
      </c>
      <c r="J289" s="310">
        <f>'d3'!J289-d3П!J284</f>
        <v>-30000000</v>
      </c>
      <c r="K289" s="310">
        <f>'d3'!K289-d3П!K284</f>
        <v>-30000000</v>
      </c>
      <c r="L289" s="310">
        <f>'d3'!L289-d3П!L284</f>
        <v>0</v>
      </c>
      <c r="M289" s="310">
        <f>'d3'!M289-d3П!M284</f>
        <v>0</v>
      </c>
      <c r="N289" s="310">
        <f>'d3'!N289-d3П!N284</f>
        <v>0</v>
      </c>
      <c r="O289" s="310">
        <f>'d3'!O289-d3П!O284</f>
        <v>-30000000</v>
      </c>
      <c r="P289" s="310">
        <f>'d3'!P289-d3П!P284</f>
        <v>-30333156.359999999</v>
      </c>
      <c r="Q289" s="20"/>
      <c r="R289" s="50"/>
    </row>
    <row r="290" spans="1:18" ht="82.5" customHeight="1" thickTop="1" thickBot="1" x14ac:dyDescent="0.25">
      <c r="A290" s="101" t="s">
        <v>294</v>
      </c>
      <c r="B290" s="101" t="s">
        <v>211</v>
      </c>
      <c r="C290" s="101" t="s">
        <v>212</v>
      </c>
      <c r="D290" s="101" t="s">
        <v>41</v>
      </c>
      <c r="E290" s="310">
        <f>'d3'!E290-d3П!E285</f>
        <v>-333156.3599999994</v>
      </c>
      <c r="F290" s="310">
        <f>'d3'!F290-d3П!F285</f>
        <v>-333156.3599999994</v>
      </c>
      <c r="G290" s="310">
        <f>'d3'!G290-d3П!G285</f>
        <v>0</v>
      </c>
      <c r="H290" s="310">
        <f>'d3'!H290-d3П!H285</f>
        <v>0</v>
      </c>
      <c r="I290" s="310">
        <f>'d3'!I290-d3П!I285</f>
        <v>0</v>
      </c>
      <c r="J290" s="310">
        <f>'d3'!J290-d3П!J285</f>
        <v>0</v>
      </c>
      <c r="K290" s="310">
        <f>'d3'!K290-d3П!K285</f>
        <v>0</v>
      </c>
      <c r="L290" s="310">
        <f>'d3'!L290-d3П!L285</f>
        <v>0</v>
      </c>
      <c r="M290" s="310">
        <f>'d3'!M290-d3П!M285</f>
        <v>0</v>
      </c>
      <c r="N290" s="310">
        <f>'d3'!N290-d3П!N285</f>
        <v>0</v>
      </c>
      <c r="O290" s="310">
        <f>'d3'!O290-d3П!O285</f>
        <v>0</v>
      </c>
      <c r="P290" s="310">
        <f>'d3'!P290-d3П!P285</f>
        <v>-333156.3599999994</v>
      </c>
      <c r="Q290" s="20"/>
      <c r="R290" s="54"/>
    </row>
    <row r="291" spans="1:18" ht="72.75" customHeight="1" thickTop="1" thickBot="1" x14ac:dyDescent="0.25">
      <c r="A291" s="709" t="s">
        <v>900</v>
      </c>
      <c r="B291" s="709" t="s">
        <v>196</v>
      </c>
      <c r="C291" s="709" t="s">
        <v>169</v>
      </c>
      <c r="D291" s="709" t="s">
        <v>34</v>
      </c>
      <c r="E291" s="310">
        <f>'d3'!E291-d3П!E286</f>
        <v>0</v>
      </c>
      <c r="F291" s="310">
        <f>'d3'!F291-d3П!F286</f>
        <v>0</v>
      </c>
      <c r="G291" s="310">
        <f>'d3'!G291-d3П!G286</f>
        <v>0</v>
      </c>
      <c r="H291" s="310">
        <f>'d3'!H291-d3П!H286</f>
        <v>0</v>
      </c>
      <c r="I291" s="310">
        <f>'d3'!I291-d3П!I286</f>
        <v>0</v>
      </c>
      <c r="J291" s="310">
        <f>'d3'!J291-d3П!J286</f>
        <v>-30000000</v>
      </c>
      <c r="K291" s="310">
        <f>'d3'!K291-d3П!K286</f>
        <v>-30000000</v>
      </c>
      <c r="L291" s="310">
        <f>'d3'!L291-d3П!L286</f>
        <v>0</v>
      </c>
      <c r="M291" s="310">
        <f>'d3'!M291-d3П!M286</f>
        <v>0</v>
      </c>
      <c r="N291" s="310">
        <f>'d3'!N291-d3П!N286</f>
        <v>0</v>
      </c>
      <c r="O291" s="310">
        <f>'d3'!O291-d3П!O286</f>
        <v>-30000000</v>
      </c>
      <c r="P291" s="310">
        <f>'d3'!P291-d3П!P286</f>
        <v>-30000000</v>
      </c>
      <c r="Q291" s="20"/>
      <c r="R291" s="54"/>
    </row>
    <row r="292" spans="1:18" ht="48" hidden="1" customHeight="1" thickTop="1" thickBot="1" x14ac:dyDescent="0.25">
      <c r="A292" s="138" t="s">
        <v>782</v>
      </c>
      <c r="B292" s="138" t="s">
        <v>682</v>
      </c>
      <c r="C292" s="138"/>
      <c r="D292" s="138" t="s">
        <v>783</v>
      </c>
      <c r="E292" s="310">
        <f>'d3'!E292-d3П!E287</f>
        <v>0</v>
      </c>
      <c r="F292" s="310">
        <f>'d3'!F292-d3П!F287</f>
        <v>0</v>
      </c>
      <c r="G292" s="310">
        <f>'d3'!G292-d3П!G287</f>
        <v>0</v>
      </c>
      <c r="H292" s="310">
        <f>'d3'!H292-d3П!H287</f>
        <v>0</v>
      </c>
      <c r="I292" s="310">
        <f>'d3'!I292-d3П!I287</f>
        <v>0</v>
      </c>
      <c r="J292" s="310">
        <f>'d3'!J292-d3П!J287</f>
        <v>0</v>
      </c>
      <c r="K292" s="310">
        <f>'d3'!K292-d3П!K287</f>
        <v>0</v>
      </c>
      <c r="L292" s="310">
        <f>'d3'!L292-d3П!L287</f>
        <v>0</v>
      </c>
      <c r="M292" s="310">
        <f>'d3'!M292-d3П!M287</f>
        <v>0</v>
      </c>
      <c r="N292" s="310">
        <f>'d3'!N292-d3П!N287</f>
        <v>0</v>
      </c>
      <c r="O292" s="310">
        <f>'d3'!O292-d3П!O287</f>
        <v>0</v>
      </c>
      <c r="P292" s="310">
        <f>'d3'!P292-d3П!P287</f>
        <v>0</v>
      </c>
      <c r="Q292" s="20"/>
      <c r="R292" s="50"/>
    </row>
    <row r="293" spans="1:18" ht="214.5" hidden="1" customHeight="1" thickTop="1" thickBot="1" x14ac:dyDescent="0.7">
      <c r="A293" s="770" t="s">
        <v>419</v>
      </c>
      <c r="B293" s="770" t="s">
        <v>335</v>
      </c>
      <c r="C293" s="770" t="s">
        <v>169</v>
      </c>
      <c r="D293" s="152" t="s">
        <v>435</v>
      </c>
      <c r="E293" s="310">
        <f>'d3'!E293-d3П!E288</f>
        <v>0</v>
      </c>
      <c r="F293" s="310">
        <f>'d3'!F293-d3П!F288</f>
        <v>0</v>
      </c>
      <c r="G293" s="310">
        <f>'d3'!G293-d3П!G288</f>
        <v>0</v>
      </c>
      <c r="H293" s="310">
        <f>'d3'!H293-d3П!H288</f>
        <v>0</v>
      </c>
      <c r="I293" s="310">
        <f>'d3'!I293-d3П!I288</f>
        <v>0</v>
      </c>
      <c r="J293" s="310">
        <f>'d3'!J293-d3П!J288</f>
        <v>0</v>
      </c>
      <c r="K293" s="310">
        <f>'d3'!K293-d3П!K288</f>
        <v>0</v>
      </c>
      <c r="L293" s="310">
        <f>'d3'!L293-d3П!L288</f>
        <v>0</v>
      </c>
      <c r="M293" s="310">
        <f>'d3'!M293-d3П!M288</f>
        <v>0</v>
      </c>
      <c r="N293" s="310">
        <f>'d3'!N293-d3П!N288</f>
        <v>0</v>
      </c>
      <c r="O293" s="310">
        <f>'d3'!O293-d3П!O288</f>
        <v>0</v>
      </c>
      <c r="P293" s="310">
        <f>'d3'!P293-d3П!P288</f>
        <v>0</v>
      </c>
      <c r="Q293" s="20"/>
      <c r="R293" s="50"/>
    </row>
    <row r="294" spans="1:18" ht="93" hidden="1" customHeight="1" thickTop="1" thickBot="1" x14ac:dyDescent="0.25">
      <c r="A294" s="770"/>
      <c r="B294" s="770"/>
      <c r="C294" s="770"/>
      <c r="D294" s="153" t="s">
        <v>436</v>
      </c>
      <c r="E294" s="310">
        <f>'d3'!E294-d3П!E289</f>
        <v>0</v>
      </c>
      <c r="F294" s="310">
        <f>'d3'!F294-d3П!F289</f>
        <v>0</v>
      </c>
      <c r="G294" s="310">
        <f>'d3'!G294-d3П!G289</f>
        <v>0</v>
      </c>
      <c r="H294" s="310">
        <f>'d3'!H294-d3П!H289</f>
        <v>0</v>
      </c>
      <c r="I294" s="310">
        <f>'d3'!I294-d3П!I289</f>
        <v>0</v>
      </c>
      <c r="J294" s="310">
        <f>'d3'!J294-d3П!J289</f>
        <v>0</v>
      </c>
      <c r="K294" s="310">
        <f>'d3'!K294-d3П!K289</f>
        <v>0</v>
      </c>
      <c r="L294" s="310">
        <f>'d3'!L294-d3П!L289</f>
        <v>0</v>
      </c>
      <c r="M294" s="310">
        <f>'d3'!M294-d3П!M289</f>
        <v>0</v>
      </c>
      <c r="N294" s="310">
        <f>'d3'!N294-d3П!N289</f>
        <v>0</v>
      </c>
      <c r="O294" s="310">
        <f>'d3'!O294-d3П!O289</f>
        <v>0</v>
      </c>
      <c r="P294" s="310">
        <f>'d3'!P294-d3П!P289</f>
        <v>0</v>
      </c>
      <c r="Q294" s="20"/>
      <c r="R294" s="50"/>
    </row>
    <row r="295" spans="1:18" ht="47.25" thickTop="1" thickBot="1" x14ac:dyDescent="0.25">
      <c r="A295" s="298" t="s">
        <v>1189</v>
      </c>
      <c r="B295" s="298" t="s">
        <v>684</v>
      </c>
      <c r="C295" s="298"/>
      <c r="D295" s="298" t="s">
        <v>685</v>
      </c>
      <c r="E295" s="310">
        <f>'d3'!E295-d3П!E290</f>
        <v>-600000</v>
      </c>
      <c r="F295" s="310">
        <f>'d3'!F295-d3П!F290</f>
        <v>-600000</v>
      </c>
      <c r="G295" s="310">
        <f>'d3'!G295-d3П!G290</f>
        <v>0</v>
      </c>
      <c r="H295" s="310">
        <f>'d3'!H295-d3П!H290</f>
        <v>0</v>
      </c>
      <c r="I295" s="310">
        <f>'d3'!I295-d3П!I290</f>
        <v>0</v>
      </c>
      <c r="J295" s="310">
        <f>'d3'!J295-d3П!J290</f>
        <v>0</v>
      </c>
      <c r="K295" s="310">
        <f>'d3'!K295-d3П!K290</f>
        <v>0</v>
      </c>
      <c r="L295" s="310">
        <f>'d3'!L295-d3П!L290</f>
        <v>0</v>
      </c>
      <c r="M295" s="310">
        <f>'d3'!M295-d3П!M290</f>
        <v>0</v>
      </c>
      <c r="N295" s="310">
        <f>'d3'!N295-d3П!N290</f>
        <v>0</v>
      </c>
      <c r="O295" s="310">
        <f>'d3'!O295-d3П!O290</f>
        <v>0</v>
      </c>
      <c r="P295" s="310">
        <f>'d3'!P295-d3П!P290</f>
        <v>-600000</v>
      </c>
      <c r="Q295" s="20"/>
      <c r="R295" s="50"/>
    </row>
    <row r="296" spans="1:18" ht="47.25" thickTop="1" thickBot="1" x14ac:dyDescent="0.25">
      <c r="A296" s="593" t="s">
        <v>1422</v>
      </c>
      <c r="B296" s="593" t="s">
        <v>797</v>
      </c>
      <c r="C296" s="593"/>
      <c r="D296" s="594" t="s">
        <v>1236</v>
      </c>
      <c r="E296" s="310">
        <f>'d3'!E296-d3П!E291</f>
        <v>-600000</v>
      </c>
      <c r="F296" s="310">
        <f>'d3'!F296-d3П!F291</f>
        <v>-600000</v>
      </c>
      <c r="G296" s="310">
        <f>'d3'!G296-d3П!G291</f>
        <v>0</v>
      </c>
      <c r="H296" s="310">
        <f>'d3'!H296-d3П!H291</f>
        <v>0</v>
      </c>
      <c r="I296" s="310">
        <f>'d3'!I296-d3П!I291</f>
        <v>0</v>
      </c>
      <c r="J296" s="310">
        <f>'d3'!J296-d3П!J291</f>
        <v>0</v>
      </c>
      <c r="K296" s="310">
        <f>'d3'!K296-d3П!K291</f>
        <v>0</v>
      </c>
      <c r="L296" s="310">
        <f>'d3'!L296-d3П!L291</f>
        <v>0</v>
      </c>
      <c r="M296" s="310">
        <f>'d3'!M296-d3П!M291</f>
        <v>0</v>
      </c>
      <c r="N296" s="310">
        <f>'d3'!N296-d3П!N291</f>
        <v>0</v>
      </c>
      <c r="O296" s="310">
        <f>'d3'!O296-d3П!O291</f>
        <v>0</v>
      </c>
      <c r="P296" s="310">
        <f>'d3'!P296-d3П!P291</f>
        <v>-600000</v>
      </c>
      <c r="Q296" s="20"/>
      <c r="R296" s="50"/>
    </row>
    <row r="297" spans="1:18" ht="93" thickTop="1" thickBot="1" x14ac:dyDescent="0.25">
      <c r="A297" s="101" t="s">
        <v>1423</v>
      </c>
      <c r="B297" s="101" t="s">
        <v>511</v>
      </c>
      <c r="C297" s="101" t="s">
        <v>249</v>
      </c>
      <c r="D297" s="101" t="s">
        <v>512</v>
      </c>
      <c r="E297" s="310">
        <f>'d3'!E297-d3П!E292</f>
        <v>-600000</v>
      </c>
      <c r="F297" s="310">
        <f>'d3'!F297-d3П!F292</f>
        <v>-600000</v>
      </c>
      <c r="G297" s="310">
        <f>'d3'!G297-d3П!G292</f>
        <v>0</v>
      </c>
      <c r="H297" s="310">
        <f>'d3'!H297-d3П!H292</f>
        <v>0</v>
      </c>
      <c r="I297" s="310">
        <f>'d3'!I297-d3П!I292</f>
        <v>0</v>
      </c>
      <c r="J297" s="310">
        <f>'d3'!J297-d3П!J292</f>
        <v>0</v>
      </c>
      <c r="K297" s="310">
        <f>'d3'!K297-d3П!K292</f>
        <v>0</v>
      </c>
      <c r="L297" s="310">
        <f>'d3'!L297-d3П!L292</f>
        <v>0</v>
      </c>
      <c r="M297" s="310">
        <f>'d3'!M297-d3П!M292</f>
        <v>0</v>
      </c>
      <c r="N297" s="310">
        <f>'d3'!N297-d3П!N292</f>
        <v>0</v>
      </c>
      <c r="O297" s="310">
        <f>'d3'!O297-d3П!O292</f>
        <v>0</v>
      </c>
      <c r="P297" s="310">
        <f>'d3'!P297-d3П!P292</f>
        <v>-600000</v>
      </c>
      <c r="Q297" s="20"/>
      <c r="R297" s="50"/>
    </row>
    <row r="298" spans="1:18" ht="47.25" hidden="1" thickTop="1" thickBot="1" x14ac:dyDescent="0.25">
      <c r="A298" s="134" t="s">
        <v>1190</v>
      </c>
      <c r="B298" s="134" t="s">
        <v>1145</v>
      </c>
      <c r="C298" s="134"/>
      <c r="D298" s="134" t="s">
        <v>1143</v>
      </c>
      <c r="E298" s="135">
        <f t="shared" ref="E298:P298" si="51">SUM(E299:E299)</f>
        <v>0</v>
      </c>
      <c r="F298" s="135">
        <f t="shared" si="51"/>
        <v>0</v>
      </c>
      <c r="G298" s="135">
        <f t="shared" si="51"/>
        <v>0</v>
      </c>
      <c r="H298" s="135">
        <f t="shared" si="51"/>
        <v>0</v>
      </c>
      <c r="I298" s="135">
        <f t="shared" si="51"/>
        <v>0</v>
      </c>
      <c r="J298" s="135">
        <f t="shared" si="51"/>
        <v>0</v>
      </c>
      <c r="K298" s="135">
        <f t="shared" si="51"/>
        <v>0</v>
      </c>
      <c r="L298" s="135">
        <f t="shared" si="51"/>
        <v>0</v>
      </c>
      <c r="M298" s="135">
        <f t="shared" si="51"/>
        <v>0</v>
      </c>
      <c r="N298" s="135">
        <f t="shared" si="51"/>
        <v>0</v>
      </c>
      <c r="O298" s="135">
        <f t="shared" si="51"/>
        <v>0</v>
      </c>
      <c r="P298" s="135">
        <f t="shared" si="51"/>
        <v>0</v>
      </c>
      <c r="Q298" s="20"/>
      <c r="R298" s="50"/>
    </row>
    <row r="299" spans="1:18" ht="48" hidden="1" thickTop="1" thickBot="1" x14ac:dyDescent="0.25">
      <c r="A299" s="126" t="s">
        <v>1191</v>
      </c>
      <c r="B299" s="126" t="s">
        <v>1172</v>
      </c>
      <c r="C299" s="126" t="s">
        <v>1147</v>
      </c>
      <c r="D299" s="126" t="s">
        <v>1173</v>
      </c>
      <c r="E299" s="125">
        <f>F299</f>
        <v>0</v>
      </c>
      <c r="F299" s="132"/>
      <c r="G299" s="132"/>
      <c r="H299" s="132"/>
      <c r="I299" s="132"/>
      <c r="J299" s="125">
        <f>L299+O299</f>
        <v>0</v>
      </c>
      <c r="K299" s="132"/>
      <c r="L299" s="132"/>
      <c r="M299" s="132"/>
      <c r="N299" s="132"/>
      <c r="O299" s="130">
        <f>K299</f>
        <v>0</v>
      </c>
      <c r="P299" s="125">
        <f>E299+J299</f>
        <v>0</v>
      </c>
      <c r="Q299" s="20"/>
      <c r="R299" s="50"/>
    </row>
    <row r="300" spans="1:18" ht="120" customHeight="1" thickTop="1" thickBot="1" x14ac:dyDescent="0.25">
      <c r="A300" s="624" t="s">
        <v>533</v>
      </c>
      <c r="B300" s="624"/>
      <c r="C300" s="624"/>
      <c r="D300" s="625" t="s">
        <v>552</v>
      </c>
      <c r="E300" s="626">
        <f>E301</f>
        <v>37566603</v>
      </c>
      <c r="F300" s="627">
        <f t="shared" ref="F300:G300" si="52">F301</f>
        <v>37566603</v>
      </c>
      <c r="G300" s="627">
        <f t="shared" si="52"/>
        <v>-225800</v>
      </c>
      <c r="H300" s="627">
        <f>H301</f>
        <v>83074</v>
      </c>
      <c r="I300" s="627">
        <f t="shared" ref="I300" si="53">I301</f>
        <v>0</v>
      </c>
      <c r="J300" s="626">
        <f>J301</f>
        <v>13981873.789999999</v>
      </c>
      <c r="K300" s="627">
        <f>K301</f>
        <v>13877735.789999999</v>
      </c>
      <c r="L300" s="627">
        <f>L301</f>
        <v>0</v>
      </c>
      <c r="M300" s="627">
        <f t="shared" ref="M300" si="54">M301</f>
        <v>0</v>
      </c>
      <c r="N300" s="627">
        <f>N301</f>
        <v>0</v>
      </c>
      <c r="O300" s="626">
        <f>O301</f>
        <v>13981873.789999999</v>
      </c>
      <c r="P300" s="627">
        <f>P301</f>
        <v>51548476.789999999</v>
      </c>
      <c r="Q300" s="20"/>
      <c r="R300" s="50"/>
    </row>
    <row r="301" spans="1:18" ht="120" customHeight="1" thickTop="1" thickBot="1" x14ac:dyDescent="0.25">
      <c r="A301" s="588" t="s">
        <v>534</v>
      </c>
      <c r="B301" s="588"/>
      <c r="C301" s="588"/>
      <c r="D301" s="589" t="s">
        <v>553</v>
      </c>
      <c r="E301" s="590">
        <f>E302+E306+E315+E326+E331</f>
        <v>37566603</v>
      </c>
      <c r="F301" s="590">
        <f>F302+F306+F315+F326+F331</f>
        <v>37566603</v>
      </c>
      <c r="G301" s="590">
        <f>G302+G306+G315+G326+G331</f>
        <v>-225800</v>
      </c>
      <c r="H301" s="590">
        <f>H302+H306+H315+H326+H331</f>
        <v>83074</v>
      </c>
      <c r="I301" s="590">
        <f>I302+I306+I315+I326+I331</f>
        <v>0</v>
      </c>
      <c r="J301" s="590">
        <f t="shared" ref="J301" si="55">L301+O301</f>
        <v>13981873.789999999</v>
      </c>
      <c r="K301" s="590">
        <f>K302+K306+K315+K326+K331</f>
        <v>13877735.789999999</v>
      </c>
      <c r="L301" s="590">
        <f>L302+L306+L315+L326+L331</f>
        <v>0</v>
      </c>
      <c r="M301" s="590">
        <f>M302+M306+M315+M326+M331</f>
        <v>0</v>
      </c>
      <c r="N301" s="590">
        <f>N302+N306+N315+N326+N331</f>
        <v>0</v>
      </c>
      <c r="O301" s="590">
        <f>O302+O306+O315+O326+O331</f>
        <v>13981873.789999999</v>
      </c>
      <c r="P301" s="590">
        <f>E301+J301</f>
        <v>51548476.789999999</v>
      </c>
      <c r="Q301" s="452" t="b">
        <f>P301=P303+P305+P308+P309+P311+P312+P314+P318+P321+P323+P328+P329+P333+P313</f>
        <v>1</v>
      </c>
      <c r="R301" s="45"/>
    </row>
    <row r="302" spans="1:18" ht="47.25" thickTop="1" thickBot="1" x14ac:dyDescent="0.25">
      <c r="A302" s="298" t="s">
        <v>784</v>
      </c>
      <c r="B302" s="298" t="s">
        <v>672</v>
      </c>
      <c r="C302" s="298"/>
      <c r="D302" s="298" t="s">
        <v>673</v>
      </c>
      <c r="E302" s="310">
        <f>'d3'!E302-d3П!E297</f>
        <v>-238500</v>
      </c>
      <c r="F302" s="310">
        <f>'d3'!F302-d3П!F297</f>
        <v>-238500</v>
      </c>
      <c r="G302" s="310">
        <f>'d3'!G302-d3П!G297</f>
        <v>-225800</v>
      </c>
      <c r="H302" s="310">
        <f>'d3'!H302-d3П!H297</f>
        <v>83074</v>
      </c>
      <c r="I302" s="310">
        <f>'d3'!I302-d3П!I297</f>
        <v>0</v>
      </c>
      <c r="J302" s="310">
        <f>'d3'!J302-d3П!J297</f>
        <v>0</v>
      </c>
      <c r="K302" s="310">
        <f>'d3'!K302-d3П!K297</f>
        <v>0</v>
      </c>
      <c r="L302" s="310">
        <f>'d3'!L302-d3П!L297</f>
        <v>0</v>
      </c>
      <c r="M302" s="310">
        <f>'d3'!M302-d3П!M297</f>
        <v>0</v>
      </c>
      <c r="N302" s="310">
        <f>'d3'!N302-d3П!N297</f>
        <v>0</v>
      </c>
      <c r="O302" s="310">
        <f>'d3'!O302-d3П!O297</f>
        <v>0</v>
      </c>
      <c r="P302" s="310">
        <f>'d3'!P302-d3П!P297</f>
        <v>-238500</v>
      </c>
      <c r="Q302" s="47"/>
      <c r="R302" s="45"/>
    </row>
    <row r="303" spans="1:18" ht="93" thickTop="1" thickBot="1" x14ac:dyDescent="0.25">
      <c r="A303" s="101" t="s">
        <v>535</v>
      </c>
      <c r="B303" s="101" t="s">
        <v>235</v>
      </c>
      <c r="C303" s="101" t="s">
        <v>233</v>
      </c>
      <c r="D303" s="101" t="s">
        <v>234</v>
      </c>
      <c r="E303" s="310">
        <f>'d3'!E303-d3П!E298</f>
        <v>-238500</v>
      </c>
      <c r="F303" s="310">
        <f>'d3'!F303-d3П!F298</f>
        <v>-238500</v>
      </c>
      <c r="G303" s="310">
        <f>'d3'!G303-d3П!G298</f>
        <v>-225800</v>
      </c>
      <c r="H303" s="310">
        <f>'d3'!H303-d3П!H298</f>
        <v>83074</v>
      </c>
      <c r="I303" s="310">
        <f>'d3'!I303-d3П!I298</f>
        <v>0</v>
      </c>
      <c r="J303" s="310">
        <f>'d3'!J303-d3П!J298</f>
        <v>0</v>
      </c>
      <c r="K303" s="310">
        <f>'d3'!K303-d3П!K298</f>
        <v>0</v>
      </c>
      <c r="L303" s="310">
        <f>'d3'!L303-d3П!L298</f>
        <v>0</v>
      </c>
      <c r="M303" s="310">
        <f>'d3'!M303-d3П!M298</f>
        <v>0</v>
      </c>
      <c r="N303" s="310">
        <f>'d3'!N303-d3П!N298</f>
        <v>0</v>
      </c>
      <c r="O303" s="310">
        <f>'d3'!O303-d3П!O298</f>
        <v>0</v>
      </c>
      <c r="P303" s="310">
        <f>'d3'!P303-d3П!P298</f>
        <v>-238500</v>
      </c>
      <c r="Q303" s="20"/>
      <c r="R303" s="45"/>
    </row>
    <row r="304" spans="1:18" ht="93" hidden="1" thickTop="1" thickBot="1" x14ac:dyDescent="0.25">
      <c r="A304" s="126" t="s">
        <v>620</v>
      </c>
      <c r="B304" s="126" t="s">
        <v>358</v>
      </c>
      <c r="C304" s="126" t="s">
        <v>616</v>
      </c>
      <c r="D304" s="126" t="s">
        <v>617</v>
      </c>
      <c r="E304" s="310">
        <f>'d3'!E304-d3П!E299</f>
        <v>0</v>
      </c>
      <c r="F304" s="310">
        <f>'d3'!F304-d3П!F299</f>
        <v>0</v>
      </c>
      <c r="G304" s="310">
        <f>'d3'!G304-d3П!G299</f>
        <v>0</v>
      </c>
      <c r="H304" s="310">
        <f>'d3'!H304-d3П!H299</f>
        <v>0</v>
      </c>
      <c r="I304" s="310">
        <f>'d3'!I304-d3П!I299</f>
        <v>0</v>
      </c>
      <c r="J304" s="310">
        <f>'d3'!J304-d3П!J299</f>
        <v>0</v>
      </c>
      <c r="K304" s="310">
        <f>'d3'!K304-d3П!K299</f>
        <v>0</v>
      </c>
      <c r="L304" s="310">
        <f>'d3'!L304-d3П!L299</f>
        <v>0</v>
      </c>
      <c r="M304" s="310">
        <f>'d3'!M304-d3П!M299</f>
        <v>0</v>
      </c>
      <c r="N304" s="310">
        <f>'d3'!N304-d3П!N299</f>
        <v>0</v>
      </c>
      <c r="O304" s="310">
        <f>'d3'!O304-d3П!O299</f>
        <v>0</v>
      </c>
      <c r="P304" s="310">
        <f>'d3'!P304-d3П!P299</f>
        <v>0</v>
      </c>
      <c r="Q304" s="20"/>
      <c r="R304" s="45"/>
    </row>
    <row r="305" spans="1:18" ht="60.75" customHeight="1" thickTop="1" thickBot="1" x14ac:dyDescent="0.25">
      <c r="A305" s="101" t="s">
        <v>536</v>
      </c>
      <c r="B305" s="101" t="s">
        <v>43</v>
      </c>
      <c r="C305" s="101" t="s">
        <v>42</v>
      </c>
      <c r="D305" s="101" t="s">
        <v>246</v>
      </c>
      <c r="E305" s="310">
        <f>'d3'!E305-d3П!E300</f>
        <v>0</v>
      </c>
      <c r="F305" s="310">
        <f>'d3'!F305-d3П!F300</f>
        <v>0</v>
      </c>
      <c r="G305" s="310">
        <f>'d3'!G305-d3П!G300</f>
        <v>0</v>
      </c>
      <c r="H305" s="310">
        <f>'d3'!H305-d3П!H300</f>
        <v>0</v>
      </c>
      <c r="I305" s="310">
        <f>'d3'!I305-d3П!I300</f>
        <v>0</v>
      </c>
      <c r="J305" s="310">
        <f>'d3'!J305-d3П!J300</f>
        <v>0</v>
      </c>
      <c r="K305" s="310">
        <f>'d3'!K305-d3П!K300</f>
        <v>0</v>
      </c>
      <c r="L305" s="310">
        <f>'d3'!L305-d3П!L300</f>
        <v>0</v>
      </c>
      <c r="M305" s="310">
        <f>'d3'!M305-d3П!M300</f>
        <v>0</v>
      </c>
      <c r="N305" s="310">
        <f>'d3'!N305-d3П!N300</f>
        <v>0</v>
      </c>
      <c r="O305" s="310">
        <f>'d3'!O305-d3П!O300</f>
        <v>0</v>
      </c>
      <c r="P305" s="310">
        <f>'d3'!P305-d3П!P300</f>
        <v>0</v>
      </c>
      <c r="Q305" s="20"/>
      <c r="R305" s="50"/>
    </row>
    <row r="306" spans="1:18" ht="47.25" thickTop="1" thickBot="1" x14ac:dyDescent="0.25">
      <c r="A306" s="298" t="s">
        <v>785</v>
      </c>
      <c r="B306" s="298" t="s">
        <v>729</v>
      </c>
      <c r="C306" s="298"/>
      <c r="D306" s="597" t="s">
        <v>730</v>
      </c>
      <c r="E306" s="310">
        <f>'d3'!E306-d3П!E301</f>
        <v>37005103</v>
      </c>
      <c r="F306" s="310">
        <f>'d3'!F306-d3П!F301</f>
        <v>37005103</v>
      </c>
      <c r="G306" s="310">
        <f>'d3'!G306-d3П!G301</f>
        <v>0</v>
      </c>
      <c r="H306" s="310">
        <f>'d3'!H306-d3П!H301</f>
        <v>0</v>
      </c>
      <c r="I306" s="310">
        <f>'d3'!I306-d3П!I301</f>
        <v>0</v>
      </c>
      <c r="J306" s="310">
        <f>'d3'!J306-d3П!J301</f>
        <v>494365</v>
      </c>
      <c r="K306" s="310">
        <f>'d3'!K306-d3П!K301</f>
        <v>494365</v>
      </c>
      <c r="L306" s="310">
        <f>'d3'!L306-d3П!L301</f>
        <v>0</v>
      </c>
      <c r="M306" s="310">
        <f>'d3'!M306-d3П!M301</f>
        <v>0</v>
      </c>
      <c r="N306" s="310">
        <f>'d3'!N306-d3П!N301</f>
        <v>0</v>
      </c>
      <c r="O306" s="310">
        <f>'d3'!O306-d3П!O301</f>
        <v>494365</v>
      </c>
      <c r="P306" s="310">
        <f>'d3'!P306-d3П!P301</f>
        <v>37499468</v>
      </c>
      <c r="Q306" s="20"/>
      <c r="R306" s="50"/>
    </row>
    <row r="307" spans="1:18" ht="93" thickTop="1" thickBot="1" x14ac:dyDescent="0.25">
      <c r="A307" s="598" t="s">
        <v>786</v>
      </c>
      <c r="B307" s="598" t="s">
        <v>777</v>
      </c>
      <c r="C307" s="598"/>
      <c r="D307" s="598" t="s">
        <v>778</v>
      </c>
      <c r="E307" s="310">
        <f>'d3'!E307-d3П!E302</f>
        <v>30000000</v>
      </c>
      <c r="F307" s="310">
        <f>'d3'!F307-d3П!F302</f>
        <v>30000000</v>
      </c>
      <c r="G307" s="310">
        <f>'d3'!G307-d3П!G302</f>
        <v>0</v>
      </c>
      <c r="H307" s="310">
        <f>'d3'!H307-d3П!H302</f>
        <v>0</v>
      </c>
      <c r="I307" s="310">
        <f>'d3'!I307-d3П!I302</f>
        <v>0</v>
      </c>
      <c r="J307" s="310">
        <f>'d3'!J307-d3П!J302</f>
        <v>0</v>
      </c>
      <c r="K307" s="310">
        <f>'d3'!K307-d3П!K302</f>
        <v>0</v>
      </c>
      <c r="L307" s="310">
        <f>'d3'!L307-d3П!L302</f>
        <v>0</v>
      </c>
      <c r="M307" s="310">
        <f>'d3'!M307-d3П!M302</f>
        <v>0</v>
      </c>
      <c r="N307" s="310">
        <f>'d3'!N307-d3П!N302</f>
        <v>0</v>
      </c>
      <c r="O307" s="310">
        <f>'d3'!O307-d3П!O302</f>
        <v>0</v>
      </c>
      <c r="P307" s="310">
        <f>'d3'!P307-d3П!P302</f>
        <v>30000000</v>
      </c>
      <c r="Q307" s="20"/>
      <c r="R307" s="50"/>
    </row>
    <row r="308" spans="1:18" ht="93" thickTop="1" thickBot="1" x14ac:dyDescent="0.25">
      <c r="A308" s="101" t="s">
        <v>537</v>
      </c>
      <c r="B308" s="101" t="s">
        <v>372</v>
      </c>
      <c r="C308" s="101" t="s">
        <v>281</v>
      </c>
      <c r="D308" s="101" t="s">
        <v>373</v>
      </c>
      <c r="E308" s="310">
        <f>'d3'!E308-d3П!E303</f>
        <v>15000000</v>
      </c>
      <c r="F308" s="310">
        <f>'d3'!F308-d3П!F303</f>
        <v>15000000</v>
      </c>
      <c r="G308" s="310">
        <f>'d3'!G308-d3П!G303</f>
        <v>0</v>
      </c>
      <c r="H308" s="310">
        <f>'d3'!H308-d3П!H303</f>
        <v>0</v>
      </c>
      <c r="I308" s="310">
        <f>'d3'!I308-d3П!I303</f>
        <v>0</v>
      </c>
      <c r="J308" s="310">
        <f>'d3'!J308-d3П!J303</f>
        <v>0</v>
      </c>
      <c r="K308" s="310">
        <f>'d3'!K308-d3П!K303</f>
        <v>0</v>
      </c>
      <c r="L308" s="310">
        <f>'d3'!L308-d3П!L303</f>
        <v>0</v>
      </c>
      <c r="M308" s="310">
        <f>'d3'!M308-d3П!M303</f>
        <v>0</v>
      </c>
      <c r="N308" s="310">
        <f>'d3'!N308-d3П!N303</f>
        <v>0</v>
      </c>
      <c r="O308" s="310">
        <f>'d3'!O308-d3П!O303</f>
        <v>0</v>
      </c>
      <c r="P308" s="310">
        <f>'d3'!P308-d3П!P303</f>
        <v>15000000</v>
      </c>
      <c r="Q308" s="20"/>
      <c r="R308" s="50"/>
    </row>
    <row r="309" spans="1:18" ht="72.75" customHeight="1" thickTop="1" thickBot="1" x14ac:dyDescent="0.25">
      <c r="A309" s="101" t="s">
        <v>538</v>
      </c>
      <c r="B309" s="101" t="s">
        <v>284</v>
      </c>
      <c r="C309" s="101" t="s">
        <v>281</v>
      </c>
      <c r="D309" s="101" t="s">
        <v>285</v>
      </c>
      <c r="E309" s="310">
        <f>'d3'!E309-d3П!E304</f>
        <v>15000000</v>
      </c>
      <c r="F309" s="310">
        <f>'d3'!F309-d3П!F304</f>
        <v>15000000</v>
      </c>
      <c r="G309" s="310">
        <f>'d3'!G309-d3П!G304</f>
        <v>0</v>
      </c>
      <c r="H309" s="310">
        <f>'d3'!H309-d3П!H304</f>
        <v>0</v>
      </c>
      <c r="I309" s="310">
        <f>'d3'!I309-d3П!I304</f>
        <v>0</v>
      </c>
      <c r="J309" s="310">
        <f>'d3'!J309-d3П!J304</f>
        <v>0</v>
      </c>
      <c r="K309" s="310">
        <f>'d3'!K309-d3П!K304</f>
        <v>0</v>
      </c>
      <c r="L309" s="310">
        <f>'d3'!L309-d3П!L304</f>
        <v>0</v>
      </c>
      <c r="M309" s="310">
        <f>'d3'!M309-d3П!M304</f>
        <v>0</v>
      </c>
      <c r="N309" s="310">
        <f>'d3'!N309-d3П!N304</f>
        <v>0</v>
      </c>
      <c r="O309" s="310">
        <f>'d3'!O309-d3П!O304</f>
        <v>0</v>
      </c>
      <c r="P309" s="310">
        <f>'d3'!P309-d3П!P304</f>
        <v>15000000</v>
      </c>
      <c r="Q309" s="20"/>
      <c r="R309" s="50"/>
    </row>
    <row r="310" spans="1:18" ht="93" hidden="1" thickTop="1" thickBot="1" x14ac:dyDescent="0.25">
      <c r="A310" s="101" t="s">
        <v>1347</v>
      </c>
      <c r="B310" s="101" t="s">
        <v>1348</v>
      </c>
      <c r="C310" s="101" t="s">
        <v>281</v>
      </c>
      <c r="D310" s="101" t="s">
        <v>1349</v>
      </c>
      <c r="E310" s="310">
        <f>'d3'!E310-d3П!E305</f>
        <v>0</v>
      </c>
      <c r="F310" s="310">
        <f>'d3'!F310-d3П!F305</f>
        <v>0</v>
      </c>
      <c r="G310" s="310">
        <f>'d3'!G310-d3П!G305</f>
        <v>0</v>
      </c>
      <c r="H310" s="310">
        <f>'d3'!H310-d3П!H305</f>
        <v>0</v>
      </c>
      <c r="I310" s="310">
        <f>'d3'!I310-d3П!I305</f>
        <v>0</v>
      </c>
      <c r="J310" s="310">
        <f>'d3'!J310-d3П!J305</f>
        <v>0</v>
      </c>
      <c r="K310" s="310">
        <f>'d3'!K310-d3П!K305</f>
        <v>0</v>
      </c>
      <c r="L310" s="310">
        <f>'d3'!L310-d3П!L305</f>
        <v>0</v>
      </c>
      <c r="M310" s="310">
        <f>'d3'!M310-d3П!M305</f>
        <v>0</v>
      </c>
      <c r="N310" s="310">
        <f>'d3'!N310-d3П!N305</f>
        <v>0</v>
      </c>
      <c r="O310" s="310">
        <f>'d3'!O310-d3П!O305</f>
        <v>0</v>
      </c>
      <c r="P310" s="310">
        <f>'d3'!P310-d3П!P305</f>
        <v>0</v>
      </c>
      <c r="Q310" s="20"/>
      <c r="R310" s="50"/>
    </row>
    <row r="311" spans="1:18" ht="117.75" customHeight="1" thickTop="1" thickBot="1" x14ac:dyDescent="0.25">
      <c r="A311" s="101" t="s">
        <v>539</v>
      </c>
      <c r="B311" s="101" t="s">
        <v>295</v>
      </c>
      <c r="C311" s="101" t="s">
        <v>281</v>
      </c>
      <c r="D311" s="101" t="s">
        <v>296</v>
      </c>
      <c r="E311" s="310">
        <f>'d3'!E311-d3П!E306</f>
        <v>366336</v>
      </c>
      <c r="F311" s="310">
        <f>'d3'!F311-d3П!F306</f>
        <v>366336</v>
      </c>
      <c r="G311" s="310">
        <f>'d3'!G311-d3П!G306</f>
        <v>0</v>
      </c>
      <c r="H311" s="310">
        <f>'d3'!H311-d3П!H306</f>
        <v>0</v>
      </c>
      <c r="I311" s="310">
        <f>'d3'!I311-d3П!I306</f>
        <v>0</v>
      </c>
      <c r="J311" s="310">
        <f>'d3'!J311-d3П!J306</f>
        <v>0</v>
      </c>
      <c r="K311" s="310">
        <f>'d3'!K311-d3П!K306</f>
        <v>0</v>
      </c>
      <c r="L311" s="310">
        <f>'d3'!L311-d3П!L306</f>
        <v>0</v>
      </c>
      <c r="M311" s="310">
        <f>'d3'!M311-d3П!M306</f>
        <v>0</v>
      </c>
      <c r="N311" s="310">
        <f>'d3'!N311-d3П!N306</f>
        <v>0</v>
      </c>
      <c r="O311" s="310">
        <f>'d3'!O311-d3П!O306</f>
        <v>0</v>
      </c>
      <c r="P311" s="310">
        <f>'d3'!P311-d3П!P306</f>
        <v>366336</v>
      </c>
      <c r="Q311" s="20"/>
      <c r="R311" s="50"/>
    </row>
    <row r="312" spans="1:18" ht="79.5" customHeight="1" thickTop="1" thickBot="1" x14ac:dyDescent="0.25">
      <c r="A312" s="101" t="s">
        <v>540</v>
      </c>
      <c r="B312" s="101" t="s">
        <v>287</v>
      </c>
      <c r="C312" s="101" t="s">
        <v>281</v>
      </c>
      <c r="D312" s="101" t="s">
        <v>288</v>
      </c>
      <c r="E312" s="310">
        <f>'d3'!E312-d3П!E307</f>
        <v>5804203</v>
      </c>
      <c r="F312" s="310">
        <f>'d3'!F312-d3П!F307</f>
        <v>5804203</v>
      </c>
      <c r="G312" s="310">
        <f>'d3'!G312-d3П!G307</f>
        <v>0</v>
      </c>
      <c r="H312" s="310">
        <f>'d3'!H312-d3П!H307</f>
        <v>0</v>
      </c>
      <c r="I312" s="310">
        <f>'d3'!I312-d3П!I307</f>
        <v>0</v>
      </c>
      <c r="J312" s="310">
        <f>'d3'!J312-d3П!J307</f>
        <v>0</v>
      </c>
      <c r="K312" s="310">
        <f>'d3'!K312-d3П!K307</f>
        <v>0</v>
      </c>
      <c r="L312" s="310">
        <f>'d3'!L312-d3П!L307</f>
        <v>0</v>
      </c>
      <c r="M312" s="310">
        <f>'d3'!M312-d3П!M307</f>
        <v>0</v>
      </c>
      <c r="N312" s="310">
        <f>'d3'!N312-d3П!N307</f>
        <v>0</v>
      </c>
      <c r="O312" s="310">
        <f>'d3'!O312-d3П!O307</f>
        <v>0</v>
      </c>
      <c r="P312" s="310">
        <f>'d3'!P312-d3П!P307</f>
        <v>5804203</v>
      </c>
      <c r="Q312" s="20"/>
      <c r="R312" s="45"/>
    </row>
    <row r="313" spans="1:18" ht="76.7" customHeight="1" thickTop="1" thickBot="1" x14ac:dyDescent="0.25">
      <c r="A313" s="101" t="s">
        <v>1109</v>
      </c>
      <c r="B313" s="101" t="s">
        <v>1110</v>
      </c>
      <c r="C313" s="101" t="s">
        <v>1111</v>
      </c>
      <c r="D313" s="101" t="s">
        <v>1108</v>
      </c>
      <c r="E313" s="310">
        <f>'d3'!E313-d3П!E308</f>
        <v>834564</v>
      </c>
      <c r="F313" s="310">
        <f>'d3'!F313-d3П!F308</f>
        <v>834564</v>
      </c>
      <c r="G313" s="310">
        <f>'d3'!G313-d3П!G308</f>
        <v>0</v>
      </c>
      <c r="H313" s="310">
        <f>'d3'!H313-d3П!H308</f>
        <v>0</v>
      </c>
      <c r="I313" s="310">
        <f>'d3'!I313-d3П!I308</f>
        <v>0</v>
      </c>
      <c r="J313" s="310">
        <f>'d3'!J313-d3П!J308</f>
        <v>0</v>
      </c>
      <c r="K313" s="310">
        <f>'d3'!K313-d3П!K308</f>
        <v>0</v>
      </c>
      <c r="L313" s="310">
        <f>'d3'!L313-d3П!L308</f>
        <v>0</v>
      </c>
      <c r="M313" s="310">
        <f>'d3'!M313-d3П!M308</f>
        <v>0</v>
      </c>
      <c r="N313" s="310">
        <f>'d3'!N313-d3П!N308</f>
        <v>0</v>
      </c>
      <c r="O313" s="310">
        <f>'d3'!O313-d3П!O308</f>
        <v>0</v>
      </c>
      <c r="P313" s="310">
        <f>'d3'!P313-d3П!P308</f>
        <v>834564</v>
      </c>
      <c r="Q313" s="20"/>
      <c r="R313" s="45"/>
    </row>
    <row r="314" spans="1:18" ht="54" thickTop="1" thickBot="1" x14ac:dyDescent="0.25">
      <c r="A314" s="101" t="s">
        <v>1562</v>
      </c>
      <c r="B314" s="101" t="s">
        <v>1560</v>
      </c>
      <c r="C314" s="101" t="s">
        <v>1111</v>
      </c>
      <c r="D314" s="101" t="s">
        <v>1561</v>
      </c>
      <c r="E314" s="310">
        <f>'d3'!E314-d3П!E309</f>
        <v>0</v>
      </c>
      <c r="F314" s="310">
        <f>'d3'!F314-d3П!F309</f>
        <v>0</v>
      </c>
      <c r="G314" s="310">
        <f>'d3'!G314-d3П!G309</f>
        <v>0</v>
      </c>
      <c r="H314" s="310">
        <f>'d3'!H314-d3П!H309</f>
        <v>0</v>
      </c>
      <c r="I314" s="310">
        <f>'d3'!I314-d3П!I309</f>
        <v>0</v>
      </c>
      <c r="J314" s="310">
        <f>'d3'!J314-d3П!J309</f>
        <v>494365</v>
      </c>
      <c r="K314" s="310">
        <f>'d3'!K314-d3П!K309</f>
        <v>494365</v>
      </c>
      <c r="L314" s="310">
        <f>'d3'!L314-d3П!L309</f>
        <v>0</v>
      </c>
      <c r="M314" s="310">
        <f>'d3'!M314-d3П!M309</f>
        <v>0</v>
      </c>
      <c r="N314" s="310">
        <f>'d3'!N314-d3П!N309</f>
        <v>0</v>
      </c>
      <c r="O314" s="310">
        <f>'d3'!O314-d3П!O309</f>
        <v>494365</v>
      </c>
      <c r="P314" s="310">
        <f>'d3'!P314-d3П!P309</f>
        <v>494365</v>
      </c>
      <c r="Q314" s="20"/>
      <c r="R314" s="45"/>
    </row>
    <row r="315" spans="1:18" ht="47.25" thickTop="1" thickBot="1" x14ac:dyDescent="0.25">
      <c r="A315" s="298" t="s">
        <v>787</v>
      </c>
      <c r="B315" s="298" t="s">
        <v>735</v>
      </c>
      <c r="C315" s="298"/>
      <c r="D315" s="298" t="s">
        <v>736</v>
      </c>
      <c r="E315" s="310">
        <f>'d3'!E315-d3П!E310</f>
        <v>0</v>
      </c>
      <c r="F315" s="310">
        <f>'d3'!F315-d3П!F310</f>
        <v>0</v>
      </c>
      <c r="G315" s="310">
        <f>'d3'!G315-d3П!G310</f>
        <v>0</v>
      </c>
      <c r="H315" s="310">
        <f>'d3'!H315-d3П!H310</f>
        <v>0</v>
      </c>
      <c r="I315" s="310">
        <f>'d3'!I315-d3П!I310</f>
        <v>0</v>
      </c>
      <c r="J315" s="310">
        <f>'d3'!J315-d3П!J310</f>
        <v>13487508.789999999</v>
      </c>
      <c r="K315" s="310">
        <f>'d3'!K315-d3П!K310</f>
        <v>13383370.789999999</v>
      </c>
      <c r="L315" s="310">
        <f>'d3'!L315-d3П!L310</f>
        <v>0</v>
      </c>
      <c r="M315" s="310">
        <f>'d3'!M315-d3П!M310</f>
        <v>0</v>
      </c>
      <c r="N315" s="310">
        <f>'d3'!N315-d3П!N310</f>
        <v>0</v>
      </c>
      <c r="O315" s="310">
        <f>'d3'!O315-d3П!O310</f>
        <v>13487508.789999999</v>
      </c>
      <c r="P315" s="310">
        <f>'d3'!P315-d3П!P310</f>
        <v>13487508.789999999</v>
      </c>
      <c r="Q315" s="20"/>
      <c r="R315" s="50"/>
    </row>
    <row r="316" spans="1:18" ht="47.25" thickTop="1" thickBot="1" x14ac:dyDescent="0.25">
      <c r="A316" s="593" t="s">
        <v>790</v>
      </c>
      <c r="B316" s="593" t="s">
        <v>791</v>
      </c>
      <c r="C316" s="593"/>
      <c r="D316" s="593" t="s">
        <v>792</v>
      </c>
      <c r="E316" s="310">
        <f>'d3'!E316-d3П!E311</f>
        <v>0</v>
      </c>
      <c r="F316" s="310">
        <f>'d3'!F316-d3П!F311</f>
        <v>0</v>
      </c>
      <c r="G316" s="310">
        <f>'d3'!G316-d3П!G311</f>
        <v>0</v>
      </c>
      <c r="H316" s="310">
        <f>'d3'!H316-d3П!H311</f>
        <v>0</v>
      </c>
      <c r="I316" s="310">
        <f>'d3'!I316-d3П!I311</f>
        <v>0</v>
      </c>
      <c r="J316" s="310">
        <f>'d3'!J316-d3П!J311</f>
        <v>8000000</v>
      </c>
      <c r="K316" s="310">
        <f>'d3'!K316-d3П!K311</f>
        <v>8000000</v>
      </c>
      <c r="L316" s="310">
        <f>'d3'!L316-d3П!L311</f>
        <v>0</v>
      </c>
      <c r="M316" s="310">
        <f>'d3'!M316-d3П!M311</f>
        <v>0</v>
      </c>
      <c r="N316" s="310">
        <f>'d3'!N316-d3П!N311</f>
        <v>0</v>
      </c>
      <c r="O316" s="310">
        <f>'d3'!O316-d3П!O311</f>
        <v>8000000</v>
      </c>
      <c r="P316" s="310">
        <f>'d3'!P316-d3П!P311</f>
        <v>8000000</v>
      </c>
      <c r="Q316" s="20"/>
      <c r="R316" s="50"/>
    </row>
    <row r="317" spans="1:18" ht="93" thickTop="1" thickBot="1" x14ac:dyDescent="0.25">
      <c r="A317" s="101" t="s">
        <v>937</v>
      </c>
      <c r="B317" s="598" t="s">
        <v>938</v>
      </c>
      <c r="C317" s="593"/>
      <c r="D317" s="598" t="s">
        <v>939</v>
      </c>
      <c r="E317" s="310">
        <f>'d3'!E317-d3П!E312</f>
        <v>0</v>
      </c>
      <c r="F317" s="310">
        <f>'d3'!F317-d3П!F312</f>
        <v>0</v>
      </c>
      <c r="G317" s="310">
        <f>'d3'!G317-d3П!G312</f>
        <v>0</v>
      </c>
      <c r="H317" s="310">
        <f>'d3'!H317-d3П!H312</f>
        <v>0</v>
      </c>
      <c r="I317" s="310">
        <f>'d3'!I317-d3П!I312</f>
        <v>0</v>
      </c>
      <c r="J317" s="310">
        <f>'d3'!J317-d3П!J312</f>
        <v>8000000</v>
      </c>
      <c r="K317" s="310">
        <f>'d3'!K317-d3П!K312</f>
        <v>8000000</v>
      </c>
      <c r="L317" s="310">
        <f>'d3'!L317-d3П!L312</f>
        <v>0</v>
      </c>
      <c r="M317" s="310">
        <f>'d3'!M317-d3П!M312</f>
        <v>0</v>
      </c>
      <c r="N317" s="310">
        <f>'d3'!N317-d3П!N312</f>
        <v>0</v>
      </c>
      <c r="O317" s="310">
        <f>'d3'!O317-d3П!O312</f>
        <v>8000000</v>
      </c>
      <c r="P317" s="310">
        <f>'d3'!P317-d3П!P312</f>
        <v>8000000</v>
      </c>
      <c r="Q317" s="20"/>
      <c r="R317" s="50"/>
    </row>
    <row r="318" spans="1:18" ht="93" thickTop="1" thickBot="1" x14ac:dyDescent="0.25">
      <c r="A318" s="101" t="s">
        <v>542</v>
      </c>
      <c r="B318" s="101" t="s">
        <v>291</v>
      </c>
      <c r="C318" s="101" t="s">
        <v>293</v>
      </c>
      <c r="D318" s="101" t="s">
        <v>292</v>
      </c>
      <c r="E318" s="310">
        <f>'d3'!E318-d3П!E313</f>
        <v>0</v>
      </c>
      <c r="F318" s="310">
        <f>'d3'!F318-d3П!F313</f>
        <v>0</v>
      </c>
      <c r="G318" s="310">
        <f>'d3'!G318-d3П!G313</f>
        <v>0</v>
      </c>
      <c r="H318" s="310">
        <f>'d3'!H318-d3П!H313</f>
        <v>0</v>
      </c>
      <c r="I318" s="310">
        <f>'d3'!I318-d3П!I313</f>
        <v>0</v>
      </c>
      <c r="J318" s="310">
        <f>'d3'!J318-d3П!J313</f>
        <v>8000000</v>
      </c>
      <c r="K318" s="310">
        <f>'d3'!K318-d3П!K313</f>
        <v>8000000</v>
      </c>
      <c r="L318" s="310">
        <f>'d3'!L318-d3П!L313</f>
        <v>0</v>
      </c>
      <c r="M318" s="310">
        <f>'d3'!M318-d3П!M313</f>
        <v>0</v>
      </c>
      <c r="N318" s="310">
        <f>'d3'!N318-d3П!N313</f>
        <v>0</v>
      </c>
      <c r="O318" s="310">
        <f>'d3'!O318-d3П!O313</f>
        <v>8000000</v>
      </c>
      <c r="P318" s="310">
        <f>'d3'!P318-d3П!P313</f>
        <v>8000000</v>
      </c>
      <c r="Q318" s="20"/>
      <c r="R318" s="45"/>
    </row>
    <row r="319" spans="1:18" ht="47.25" thickTop="1" thickBot="1" x14ac:dyDescent="0.25">
      <c r="A319" s="593" t="s">
        <v>793</v>
      </c>
      <c r="B319" s="593" t="s">
        <v>679</v>
      </c>
      <c r="C319" s="593"/>
      <c r="D319" s="593" t="s">
        <v>677</v>
      </c>
      <c r="E319" s="310">
        <f>'d3'!E319-d3П!E314</f>
        <v>0</v>
      </c>
      <c r="F319" s="310">
        <f>'d3'!F319-d3П!F314</f>
        <v>0</v>
      </c>
      <c r="G319" s="310">
        <f>'d3'!G319-d3П!G314</f>
        <v>0</v>
      </c>
      <c r="H319" s="310">
        <f>'d3'!H319-d3П!H314</f>
        <v>0</v>
      </c>
      <c r="I319" s="310">
        <f>'d3'!I319-d3П!I314</f>
        <v>0</v>
      </c>
      <c r="J319" s="310">
        <f>'d3'!J319-d3П!J314</f>
        <v>5487508.7899999991</v>
      </c>
      <c r="K319" s="310">
        <f>'d3'!K319-d3П!K314</f>
        <v>5383370.7899999991</v>
      </c>
      <c r="L319" s="310">
        <f>'d3'!L319-d3П!L314</f>
        <v>0</v>
      </c>
      <c r="M319" s="310">
        <f>'d3'!M319-d3П!M314</f>
        <v>0</v>
      </c>
      <c r="N319" s="310">
        <f>'d3'!N319-d3П!N314</f>
        <v>0</v>
      </c>
      <c r="O319" s="310">
        <f>'d3'!O319-d3П!O314</f>
        <v>5487508.7899999991</v>
      </c>
      <c r="P319" s="310">
        <f>'d3'!P319-d3П!P314</f>
        <v>5487508.7899999991</v>
      </c>
      <c r="Q319" s="20"/>
      <c r="R319" s="45"/>
    </row>
    <row r="320" spans="1:18" ht="48" hidden="1" customHeight="1" thickTop="1" thickBot="1" x14ac:dyDescent="0.25">
      <c r="A320" s="126" t="s">
        <v>543</v>
      </c>
      <c r="B320" s="126" t="s">
        <v>211</v>
      </c>
      <c r="C320" s="126" t="s">
        <v>212</v>
      </c>
      <c r="D320" s="126" t="s">
        <v>41</v>
      </c>
      <c r="E320" s="310">
        <f>'d3'!E320-d3П!E315</f>
        <v>0</v>
      </c>
      <c r="F320" s="310">
        <f>'d3'!F320-d3П!F315</f>
        <v>0</v>
      </c>
      <c r="G320" s="310">
        <f>'d3'!G320-d3П!G315</f>
        <v>0</v>
      </c>
      <c r="H320" s="310">
        <f>'d3'!H320-d3П!H315</f>
        <v>0</v>
      </c>
      <c r="I320" s="310">
        <f>'d3'!I320-d3П!I315</f>
        <v>0</v>
      </c>
      <c r="J320" s="310">
        <f>'d3'!J320-d3П!J315</f>
        <v>0</v>
      </c>
      <c r="K320" s="310">
        <f>'d3'!K320-d3П!K315</f>
        <v>0</v>
      </c>
      <c r="L320" s="310">
        <f>'d3'!L320-d3П!L315</f>
        <v>0</v>
      </c>
      <c r="M320" s="310">
        <f>'d3'!M320-d3П!M315</f>
        <v>0</v>
      </c>
      <c r="N320" s="310">
        <f>'d3'!N320-d3П!N315</f>
        <v>0</v>
      </c>
      <c r="O320" s="310">
        <f>'d3'!O320-d3П!O315</f>
        <v>0</v>
      </c>
      <c r="P320" s="310">
        <f>'d3'!P320-d3П!P315</f>
        <v>0</v>
      </c>
      <c r="Q320" s="20"/>
      <c r="R320" s="45"/>
    </row>
    <row r="321" spans="1:18" ht="69.75" customHeight="1" thickTop="1" thickBot="1" x14ac:dyDescent="0.25">
      <c r="A321" s="101" t="s">
        <v>544</v>
      </c>
      <c r="B321" s="101" t="s">
        <v>196</v>
      </c>
      <c r="C321" s="101" t="s">
        <v>169</v>
      </c>
      <c r="D321" s="101" t="s">
        <v>34</v>
      </c>
      <c r="E321" s="310">
        <f>'d3'!E321-d3П!E316</f>
        <v>0</v>
      </c>
      <c r="F321" s="310">
        <f>'d3'!F321-d3П!F316</f>
        <v>0</v>
      </c>
      <c r="G321" s="310">
        <f>'d3'!G321-d3П!G316</f>
        <v>0</v>
      </c>
      <c r="H321" s="310">
        <f>'d3'!H321-d3П!H316</f>
        <v>0</v>
      </c>
      <c r="I321" s="310">
        <f>'d3'!I321-d3П!I316</f>
        <v>0</v>
      </c>
      <c r="J321" s="310">
        <f>'d3'!J321-d3П!J316</f>
        <v>5383370.7899999991</v>
      </c>
      <c r="K321" s="310">
        <f>'d3'!K321-d3П!K316</f>
        <v>5383370.7899999991</v>
      </c>
      <c r="L321" s="310">
        <f>'d3'!L321-d3П!L316</f>
        <v>0</v>
      </c>
      <c r="M321" s="310">
        <f>'d3'!M321-d3П!M316</f>
        <v>0</v>
      </c>
      <c r="N321" s="310">
        <f>'d3'!N321-d3П!N316</f>
        <v>0</v>
      </c>
      <c r="O321" s="310">
        <f>'d3'!O321-d3П!O316</f>
        <v>5383370.7899999991</v>
      </c>
      <c r="P321" s="310">
        <f>'d3'!P321-d3П!P316</f>
        <v>5383370.7899999991</v>
      </c>
      <c r="Q321" s="20"/>
      <c r="R321" s="45"/>
    </row>
    <row r="322" spans="1:18" ht="47.25" thickTop="1" thickBot="1" x14ac:dyDescent="0.25">
      <c r="A322" s="598" t="s">
        <v>794</v>
      </c>
      <c r="B322" s="598" t="s">
        <v>682</v>
      </c>
      <c r="C322" s="598"/>
      <c r="D322" s="598" t="s">
        <v>783</v>
      </c>
      <c r="E322" s="310">
        <f>'d3'!E322-d3П!E317</f>
        <v>0</v>
      </c>
      <c r="F322" s="310">
        <f>'d3'!F322-d3П!F317</f>
        <v>0</v>
      </c>
      <c r="G322" s="310">
        <f>'d3'!G322-d3П!G317</f>
        <v>0</v>
      </c>
      <c r="H322" s="310">
        <f>'d3'!H322-d3П!H317</f>
        <v>0</v>
      </c>
      <c r="I322" s="310">
        <f>'d3'!I322-d3П!I317</f>
        <v>0</v>
      </c>
      <c r="J322" s="310">
        <f>'d3'!J322-d3П!J317</f>
        <v>104138</v>
      </c>
      <c r="K322" s="310">
        <f>'d3'!K322-d3П!K317</f>
        <v>0</v>
      </c>
      <c r="L322" s="310">
        <f>'d3'!L322-d3П!L317</f>
        <v>0</v>
      </c>
      <c r="M322" s="310">
        <f>'d3'!M322-d3П!M317</f>
        <v>0</v>
      </c>
      <c r="N322" s="310">
        <f>'d3'!N322-d3П!N317</f>
        <v>0</v>
      </c>
      <c r="O322" s="310">
        <f>'d3'!O322-d3П!O317</f>
        <v>104138</v>
      </c>
      <c r="P322" s="310">
        <f>'d3'!P322-d3П!P317</f>
        <v>104138</v>
      </c>
      <c r="Q322" s="20"/>
      <c r="R322" s="50"/>
    </row>
    <row r="323" spans="1:18" ht="184.5" thickTop="1" thickBot="1" x14ac:dyDescent="0.7">
      <c r="A323" s="789" t="s">
        <v>545</v>
      </c>
      <c r="B323" s="789" t="s">
        <v>335</v>
      </c>
      <c r="C323" s="789" t="s">
        <v>169</v>
      </c>
      <c r="D323" s="475" t="s">
        <v>435</v>
      </c>
      <c r="E323" s="759">
        <f>'d3'!E323-d3П!E318</f>
        <v>0</v>
      </c>
      <c r="F323" s="759">
        <f>'d3'!F323-d3П!F318</f>
        <v>0</v>
      </c>
      <c r="G323" s="759">
        <f>'d3'!G323-d3П!G318</f>
        <v>0</v>
      </c>
      <c r="H323" s="759">
        <f>'d3'!H323-d3П!H318</f>
        <v>0</v>
      </c>
      <c r="I323" s="759">
        <f>'d3'!I323-d3П!I318</f>
        <v>0</v>
      </c>
      <c r="J323" s="759">
        <f>'d3'!J323-d3П!J318</f>
        <v>104138</v>
      </c>
      <c r="K323" s="759">
        <f>'d3'!K323-d3П!K318</f>
        <v>0</v>
      </c>
      <c r="L323" s="759">
        <f>'d3'!L323-d3П!L318</f>
        <v>0</v>
      </c>
      <c r="M323" s="759">
        <f>'d3'!M323-d3П!M318</f>
        <v>0</v>
      </c>
      <c r="N323" s="759">
        <f>'d3'!N323-d3П!N318</f>
        <v>0</v>
      </c>
      <c r="O323" s="759">
        <f>'d3'!O323-d3П!O318</f>
        <v>104138</v>
      </c>
      <c r="P323" s="759">
        <f>'d3'!P323-d3П!P318</f>
        <v>104138</v>
      </c>
      <c r="Q323" s="20"/>
      <c r="R323" s="50"/>
    </row>
    <row r="324" spans="1:18" ht="93" thickTop="1" thickBot="1" x14ac:dyDescent="0.25">
      <c r="A324" s="789"/>
      <c r="B324" s="789"/>
      <c r="C324" s="789"/>
      <c r="D324" s="608" t="s">
        <v>436</v>
      </c>
      <c r="E324" s="760"/>
      <c r="F324" s="760"/>
      <c r="G324" s="760"/>
      <c r="H324" s="760"/>
      <c r="I324" s="760"/>
      <c r="J324" s="760"/>
      <c r="K324" s="760"/>
      <c r="L324" s="760"/>
      <c r="M324" s="760"/>
      <c r="N324" s="760"/>
      <c r="O324" s="760"/>
      <c r="P324" s="760"/>
      <c r="Q324" s="20"/>
      <c r="R324" s="50"/>
    </row>
    <row r="325" spans="1:18" ht="48" hidden="1" thickTop="1" thickBot="1" x14ac:dyDescent="0.25">
      <c r="A325" s="126" t="s">
        <v>1142</v>
      </c>
      <c r="B325" s="126" t="s">
        <v>255</v>
      </c>
      <c r="C325" s="126" t="s">
        <v>169</v>
      </c>
      <c r="D325" s="126" t="s">
        <v>253</v>
      </c>
      <c r="E325" s="150"/>
      <c r="F325" s="127"/>
      <c r="G325" s="127"/>
      <c r="H325" s="127"/>
      <c r="I325" s="127"/>
      <c r="J325" s="125"/>
      <c r="K325" s="132"/>
      <c r="L325" s="127"/>
      <c r="M325" s="127"/>
      <c r="N325" s="127"/>
      <c r="O325" s="130"/>
      <c r="P325" s="125"/>
      <c r="Q325" s="20"/>
      <c r="R325" s="50"/>
    </row>
    <row r="326" spans="1:18" ht="47.25" thickTop="1" thickBot="1" x14ac:dyDescent="0.25">
      <c r="A326" s="298" t="s">
        <v>795</v>
      </c>
      <c r="B326" s="298" t="s">
        <v>684</v>
      </c>
      <c r="C326" s="298"/>
      <c r="D326" s="609" t="s">
        <v>685</v>
      </c>
      <c r="E326" s="310">
        <f>'d3'!E326-d3П!E321</f>
        <v>0</v>
      </c>
      <c r="F326" s="310">
        <f>'d3'!F326-d3П!F321</f>
        <v>0</v>
      </c>
      <c r="G326" s="310">
        <f>'d3'!G326-d3П!G321</f>
        <v>0</v>
      </c>
      <c r="H326" s="310">
        <f>'d3'!H326-d3П!H321</f>
        <v>0</v>
      </c>
      <c r="I326" s="310">
        <f>'d3'!I326-d3П!I321</f>
        <v>0</v>
      </c>
      <c r="J326" s="310">
        <f>'d3'!J326-d3П!J321</f>
        <v>0</v>
      </c>
      <c r="K326" s="310">
        <f>'d3'!K326-d3П!K321</f>
        <v>0</v>
      </c>
      <c r="L326" s="310">
        <f>'d3'!L326-d3П!L321</f>
        <v>0</v>
      </c>
      <c r="M326" s="310">
        <f>'d3'!M326-d3П!M321</f>
        <v>0</v>
      </c>
      <c r="N326" s="310">
        <f>'d3'!N326-d3П!N321</f>
        <v>0</v>
      </c>
      <c r="O326" s="310">
        <f>'d3'!O326-d3П!O321</f>
        <v>0</v>
      </c>
      <c r="P326" s="310">
        <f>'d3'!P326-d3П!P321</f>
        <v>0</v>
      </c>
      <c r="Q326" s="20"/>
      <c r="R326" s="50"/>
    </row>
    <row r="327" spans="1:18" ht="47.25" thickTop="1" thickBot="1" x14ac:dyDescent="0.25">
      <c r="A327" s="593" t="s">
        <v>796</v>
      </c>
      <c r="B327" s="593" t="s">
        <v>797</v>
      </c>
      <c r="C327" s="593"/>
      <c r="D327" s="594" t="s">
        <v>1236</v>
      </c>
      <c r="E327" s="310">
        <f>'d3'!E327-d3П!E322</f>
        <v>0</v>
      </c>
      <c r="F327" s="310">
        <f>'d3'!F327-d3П!F322</f>
        <v>0</v>
      </c>
      <c r="G327" s="310">
        <f>'d3'!G327-d3П!G322</f>
        <v>0</v>
      </c>
      <c r="H327" s="310">
        <f>'d3'!H327-d3П!H322</f>
        <v>0</v>
      </c>
      <c r="I327" s="310">
        <f>'d3'!I327-d3П!I322</f>
        <v>0</v>
      </c>
      <c r="J327" s="310">
        <f>'d3'!J327-d3П!J322</f>
        <v>0</v>
      </c>
      <c r="K327" s="310">
        <f>'d3'!K327-d3П!K322</f>
        <v>0</v>
      </c>
      <c r="L327" s="310">
        <f>'d3'!L327-d3П!L322</f>
        <v>0</v>
      </c>
      <c r="M327" s="310">
        <f>'d3'!M327-d3П!M322</f>
        <v>0</v>
      </c>
      <c r="N327" s="310">
        <f>'d3'!N327-d3П!N322</f>
        <v>0</v>
      </c>
      <c r="O327" s="310">
        <f>'d3'!O327-d3П!O322</f>
        <v>0</v>
      </c>
      <c r="P327" s="310">
        <f>'d3'!P327-d3П!P322</f>
        <v>0</v>
      </c>
      <c r="Q327" s="20"/>
      <c r="R327" s="50"/>
    </row>
    <row r="328" spans="1:18" ht="93" thickTop="1" thickBot="1" x14ac:dyDescent="0.25">
      <c r="A328" s="101" t="s">
        <v>546</v>
      </c>
      <c r="B328" s="101" t="s">
        <v>511</v>
      </c>
      <c r="C328" s="101" t="s">
        <v>249</v>
      </c>
      <c r="D328" s="101" t="s">
        <v>512</v>
      </c>
      <c r="E328" s="310">
        <f>'d3'!E328-d3П!E323</f>
        <v>0</v>
      </c>
      <c r="F328" s="310">
        <f>'d3'!F328-d3П!F323</f>
        <v>0</v>
      </c>
      <c r="G328" s="310">
        <f>'d3'!G328-d3П!G323</f>
        <v>0</v>
      </c>
      <c r="H328" s="310">
        <f>'d3'!H328-d3П!H323</f>
        <v>0</v>
      </c>
      <c r="I328" s="310">
        <f>'d3'!I328-d3П!I323</f>
        <v>0</v>
      </c>
      <c r="J328" s="310">
        <f>'d3'!J328-d3П!J323</f>
        <v>0</v>
      </c>
      <c r="K328" s="310">
        <f>'d3'!K328-d3П!K323</f>
        <v>0</v>
      </c>
      <c r="L328" s="310">
        <f>'d3'!L328-d3П!L323</f>
        <v>0</v>
      </c>
      <c r="M328" s="310">
        <f>'d3'!M328-d3П!M323</f>
        <v>0</v>
      </c>
      <c r="N328" s="310">
        <f>'d3'!N328-d3П!N323</f>
        <v>0</v>
      </c>
      <c r="O328" s="310">
        <f>'d3'!O328-d3П!O323</f>
        <v>0</v>
      </c>
      <c r="P328" s="310">
        <f>'d3'!P328-d3П!P323</f>
        <v>0</v>
      </c>
      <c r="Q328" s="20"/>
      <c r="R328" s="50"/>
    </row>
    <row r="329" spans="1:18" ht="47.25" thickTop="1" thickBot="1" x14ac:dyDescent="0.25">
      <c r="A329" s="101" t="s">
        <v>547</v>
      </c>
      <c r="B329" s="101" t="s">
        <v>248</v>
      </c>
      <c r="C329" s="101" t="s">
        <v>249</v>
      </c>
      <c r="D329" s="101" t="s">
        <v>247</v>
      </c>
      <c r="E329" s="310">
        <f>'d3'!E329-d3П!E324</f>
        <v>0</v>
      </c>
      <c r="F329" s="310">
        <f>'d3'!F329-d3П!F324</f>
        <v>0</v>
      </c>
      <c r="G329" s="310">
        <f>'d3'!G329-d3П!G324</f>
        <v>0</v>
      </c>
      <c r="H329" s="310">
        <f>'d3'!H329-d3П!H324</f>
        <v>0</v>
      </c>
      <c r="I329" s="310">
        <f>'d3'!I329-d3П!I324</f>
        <v>0</v>
      </c>
      <c r="J329" s="310">
        <f>'d3'!J329-d3П!J324</f>
        <v>0</v>
      </c>
      <c r="K329" s="310">
        <f>'d3'!K329-d3П!K324</f>
        <v>0</v>
      </c>
      <c r="L329" s="310">
        <f>'d3'!L329-d3П!L324</f>
        <v>0</v>
      </c>
      <c r="M329" s="310">
        <f>'d3'!M329-d3П!M324</f>
        <v>0</v>
      </c>
      <c r="N329" s="310">
        <f>'d3'!N329-d3П!N324</f>
        <v>0</v>
      </c>
      <c r="O329" s="310">
        <f>'d3'!O329-d3П!O324</f>
        <v>0</v>
      </c>
      <c r="P329" s="310">
        <f>'d3'!P329-d3П!P324</f>
        <v>0</v>
      </c>
      <c r="Q329" s="20"/>
      <c r="R329" s="46"/>
    </row>
    <row r="330" spans="1:18" ht="47.25" hidden="1" thickTop="1" thickBot="1" x14ac:dyDescent="0.25">
      <c r="A330" s="41" t="s">
        <v>548</v>
      </c>
      <c r="B330" s="41" t="s">
        <v>549</v>
      </c>
      <c r="C330" s="41" t="s">
        <v>249</v>
      </c>
      <c r="D330" s="41" t="s">
        <v>550</v>
      </c>
      <c r="E330" s="310">
        <f>'d3'!E330-d3П!E325</f>
        <v>0</v>
      </c>
      <c r="F330" s="310">
        <f>'d3'!F330-d3П!F325</f>
        <v>0</v>
      </c>
      <c r="G330" s="310">
        <f>'d3'!G330-d3П!G325</f>
        <v>0</v>
      </c>
      <c r="H330" s="310">
        <f>'d3'!H330-d3П!H325</f>
        <v>0</v>
      </c>
      <c r="I330" s="310">
        <f>'d3'!I330-d3П!I325</f>
        <v>0</v>
      </c>
      <c r="J330" s="310">
        <f>'d3'!J330-d3П!J325</f>
        <v>0</v>
      </c>
      <c r="K330" s="310">
        <f>'d3'!K330-d3П!K325</f>
        <v>0</v>
      </c>
      <c r="L330" s="310">
        <f>'d3'!L330-d3П!L325</f>
        <v>0</v>
      </c>
      <c r="M330" s="310">
        <f>'d3'!M330-d3П!M325</f>
        <v>0</v>
      </c>
      <c r="N330" s="310">
        <f>'d3'!N330-d3П!N325</f>
        <v>0</v>
      </c>
      <c r="O330" s="310">
        <f>'d3'!O330-d3П!O325</f>
        <v>0</v>
      </c>
      <c r="P330" s="310">
        <f>'d3'!P330-d3П!P325</f>
        <v>0</v>
      </c>
      <c r="Q330" s="20"/>
      <c r="R330" s="50"/>
    </row>
    <row r="331" spans="1:18" ht="66" customHeight="1" thickTop="1" thickBot="1" x14ac:dyDescent="0.25">
      <c r="A331" s="298" t="s">
        <v>1410</v>
      </c>
      <c r="B331" s="298" t="s">
        <v>689</v>
      </c>
      <c r="C331" s="298"/>
      <c r="D331" s="298" t="s">
        <v>690</v>
      </c>
      <c r="E331" s="310">
        <f>'d3'!E331-d3П!E326</f>
        <v>800000</v>
      </c>
      <c r="F331" s="310">
        <f>'d3'!F331-d3П!F326</f>
        <v>800000</v>
      </c>
      <c r="G331" s="310">
        <f>'d3'!G331-d3П!G326</f>
        <v>0</v>
      </c>
      <c r="H331" s="310">
        <f>'d3'!H331-d3П!H326</f>
        <v>0</v>
      </c>
      <c r="I331" s="310">
        <f>'d3'!I331-d3П!I326</f>
        <v>0</v>
      </c>
      <c r="J331" s="310">
        <f>'d3'!J331-d3П!J326</f>
        <v>0</v>
      </c>
      <c r="K331" s="310">
        <f>'d3'!K331-d3П!K326</f>
        <v>0</v>
      </c>
      <c r="L331" s="310">
        <f>'d3'!L331-d3П!L326</f>
        <v>0</v>
      </c>
      <c r="M331" s="310">
        <f>'d3'!M331-d3П!M326</f>
        <v>0</v>
      </c>
      <c r="N331" s="310">
        <f>'d3'!N331-d3П!N326</f>
        <v>0</v>
      </c>
      <c r="O331" s="310">
        <f>'d3'!O331-d3П!O326</f>
        <v>0</v>
      </c>
      <c r="P331" s="310">
        <f>'d3'!P331-d3П!P326</f>
        <v>800000</v>
      </c>
      <c r="Q331" s="20"/>
      <c r="R331" s="50"/>
    </row>
    <row r="332" spans="1:18" ht="113.25" customHeight="1" thickTop="1" thickBot="1" x14ac:dyDescent="0.25">
      <c r="A332" s="593" t="s">
        <v>1411</v>
      </c>
      <c r="B332" s="593" t="s">
        <v>692</v>
      </c>
      <c r="C332" s="593"/>
      <c r="D332" s="593" t="s">
        <v>693</v>
      </c>
      <c r="E332" s="310">
        <f>'d3'!E332-d3П!E327</f>
        <v>800000</v>
      </c>
      <c r="F332" s="310">
        <f>'d3'!F332-d3П!F327</f>
        <v>800000</v>
      </c>
      <c r="G332" s="310">
        <f>'d3'!G332-d3П!G327</f>
        <v>0</v>
      </c>
      <c r="H332" s="310">
        <f>'d3'!H332-d3П!H327</f>
        <v>0</v>
      </c>
      <c r="I332" s="310">
        <f>'d3'!I332-d3П!I327</f>
        <v>0</v>
      </c>
      <c r="J332" s="310">
        <f>'d3'!J332-d3П!J327</f>
        <v>0</v>
      </c>
      <c r="K332" s="310">
        <f>'d3'!K332-d3П!K327</f>
        <v>0</v>
      </c>
      <c r="L332" s="310">
        <f>'d3'!L332-d3П!L327</f>
        <v>0</v>
      </c>
      <c r="M332" s="310">
        <f>'d3'!M332-d3П!M327</f>
        <v>0</v>
      </c>
      <c r="N332" s="310">
        <f>'d3'!N332-d3П!N327</f>
        <v>0</v>
      </c>
      <c r="O332" s="310">
        <f>'d3'!O332-d3П!O327</f>
        <v>0</v>
      </c>
      <c r="P332" s="310">
        <f>'d3'!P332-d3П!P327</f>
        <v>800000</v>
      </c>
      <c r="Q332" s="20"/>
      <c r="R332" s="50"/>
    </row>
    <row r="333" spans="1:18" ht="72.75" customHeight="1" thickTop="1" thickBot="1" x14ac:dyDescent="0.25">
      <c r="A333" s="101" t="s">
        <v>1412</v>
      </c>
      <c r="B333" s="101" t="s">
        <v>359</v>
      </c>
      <c r="C333" s="101" t="s">
        <v>43</v>
      </c>
      <c r="D333" s="101" t="s">
        <v>360</v>
      </c>
      <c r="E333" s="310">
        <f>'d3'!E333-d3П!E328</f>
        <v>800000</v>
      </c>
      <c r="F333" s="310">
        <f>'d3'!F333-d3П!F328</f>
        <v>800000</v>
      </c>
      <c r="G333" s="310">
        <f>'d3'!G333-d3П!G328</f>
        <v>0</v>
      </c>
      <c r="H333" s="310">
        <f>'d3'!H333-d3П!H328</f>
        <v>0</v>
      </c>
      <c r="I333" s="310">
        <f>'d3'!I333-d3П!I328</f>
        <v>0</v>
      </c>
      <c r="J333" s="310">
        <f>'d3'!J333-d3П!J328</f>
        <v>0</v>
      </c>
      <c r="K333" s="310">
        <f>'d3'!K333-d3П!K328</f>
        <v>0</v>
      </c>
      <c r="L333" s="310">
        <f>'d3'!L333-d3П!L328</f>
        <v>0</v>
      </c>
      <c r="M333" s="310">
        <f>'d3'!M333-d3П!M328</f>
        <v>0</v>
      </c>
      <c r="N333" s="310">
        <f>'d3'!N333-d3П!N328</f>
        <v>0</v>
      </c>
      <c r="O333" s="310">
        <f>'d3'!O333-d3П!O328</f>
        <v>0</v>
      </c>
      <c r="P333" s="310">
        <f>'d3'!P333-d3П!P328</f>
        <v>800000</v>
      </c>
      <c r="Q333" s="20"/>
      <c r="R333" s="50"/>
    </row>
    <row r="334" spans="1:18" ht="120" customHeight="1" thickTop="1" thickBot="1" x14ac:dyDescent="0.25">
      <c r="A334" s="624" t="s">
        <v>25</v>
      </c>
      <c r="B334" s="624"/>
      <c r="C334" s="624"/>
      <c r="D334" s="625" t="s">
        <v>1291</v>
      </c>
      <c r="E334" s="626">
        <f>E335</f>
        <v>162000</v>
      </c>
      <c r="F334" s="627">
        <f t="shared" ref="F334:G334" si="56">F335</f>
        <v>162000</v>
      </c>
      <c r="G334" s="627">
        <f t="shared" si="56"/>
        <v>112000</v>
      </c>
      <c r="H334" s="627">
        <f>H335</f>
        <v>0</v>
      </c>
      <c r="I334" s="627">
        <f t="shared" ref="I334" si="57">I335</f>
        <v>0</v>
      </c>
      <c r="J334" s="626">
        <f>J335</f>
        <v>20485728.649999999</v>
      </c>
      <c r="K334" s="627">
        <f>K335</f>
        <v>20485728.649999999</v>
      </c>
      <c r="L334" s="627">
        <f>L335</f>
        <v>0</v>
      </c>
      <c r="M334" s="627">
        <f t="shared" ref="M334" si="58">M335</f>
        <v>0</v>
      </c>
      <c r="N334" s="627">
        <f>N335</f>
        <v>0</v>
      </c>
      <c r="O334" s="626">
        <f>O335</f>
        <v>20485728.649999999</v>
      </c>
      <c r="P334" s="627">
        <f t="shared" ref="P334" si="59">P335</f>
        <v>20647728.649999999</v>
      </c>
      <c r="Q334" s="20"/>
    </row>
    <row r="335" spans="1:18" ht="120" customHeight="1" thickTop="1" thickBot="1" x14ac:dyDescent="0.25">
      <c r="A335" s="588" t="s">
        <v>26</v>
      </c>
      <c r="B335" s="588"/>
      <c r="C335" s="588"/>
      <c r="D335" s="589" t="s">
        <v>874</v>
      </c>
      <c r="E335" s="590">
        <f t="shared" ref="E335:O335" si="60">E336+E348+E351+E342+E344+E340</f>
        <v>162000</v>
      </c>
      <c r="F335" s="590">
        <f t="shared" si="60"/>
        <v>162000</v>
      </c>
      <c r="G335" s="590">
        <f t="shared" si="60"/>
        <v>112000</v>
      </c>
      <c r="H335" s="590">
        <f t="shared" si="60"/>
        <v>0</v>
      </c>
      <c r="I335" s="590">
        <f t="shared" si="60"/>
        <v>0</v>
      </c>
      <c r="J335" s="590">
        <f t="shared" si="60"/>
        <v>20485728.649999999</v>
      </c>
      <c r="K335" s="590">
        <f t="shared" si="60"/>
        <v>20485728.649999999</v>
      </c>
      <c r="L335" s="590">
        <f t="shared" si="60"/>
        <v>0</v>
      </c>
      <c r="M335" s="590">
        <f t="shared" si="60"/>
        <v>0</v>
      </c>
      <c r="N335" s="590">
        <f t="shared" si="60"/>
        <v>0</v>
      </c>
      <c r="O335" s="590">
        <f t="shared" si="60"/>
        <v>20485728.649999999</v>
      </c>
      <c r="P335" s="590">
        <f>E335+J335</f>
        <v>20647728.649999999</v>
      </c>
      <c r="Q335" s="452" t="b">
        <f>P335=P337+P341+P346+P353+P350+P343</f>
        <v>1</v>
      </c>
      <c r="R335" s="46"/>
    </row>
    <row r="336" spans="1:18" ht="47.25" thickTop="1" thickBot="1" x14ac:dyDescent="0.25">
      <c r="A336" s="298" t="s">
        <v>798</v>
      </c>
      <c r="B336" s="298" t="s">
        <v>672</v>
      </c>
      <c r="C336" s="298"/>
      <c r="D336" s="298" t="s">
        <v>673</v>
      </c>
      <c r="E336" s="310">
        <f>'d3'!E336-d3П!E331</f>
        <v>162000</v>
      </c>
      <c r="F336" s="310">
        <f>'d3'!F336-d3П!F331</f>
        <v>162000</v>
      </c>
      <c r="G336" s="310">
        <f>'d3'!G336-d3П!G331</f>
        <v>112000</v>
      </c>
      <c r="H336" s="310">
        <f>'d3'!H336-d3П!H331</f>
        <v>0</v>
      </c>
      <c r="I336" s="310">
        <f>'d3'!I336-d3П!I331</f>
        <v>0</v>
      </c>
      <c r="J336" s="310">
        <f>'d3'!J336-d3П!J331</f>
        <v>0</v>
      </c>
      <c r="K336" s="310">
        <f>'d3'!K336-d3П!K331</f>
        <v>0</v>
      </c>
      <c r="L336" s="310">
        <f>'d3'!L336-d3П!L331</f>
        <v>0</v>
      </c>
      <c r="M336" s="310">
        <f>'d3'!M336-d3П!M331</f>
        <v>0</v>
      </c>
      <c r="N336" s="310">
        <f>'d3'!N336-d3П!N331</f>
        <v>0</v>
      </c>
      <c r="O336" s="310">
        <f>'d3'!O336-d3П!O331</f>
        <v>0</v>
      </c>
      <c r="P336" s="310">
        <f>'d3'!P336-d3П!P331</f>
        <v>162000</v>
      </c>
      <c r="Q336" s="47"/>
      <c r="R336" s="46"/>
    </row>
    <row r="337" spans="1:18" ht="114.75" customHeight="1" thickTop="1" thickBot="1" x14ac:dyDescent="0.25">
      <c r="A337" s="101" t="s">
        <v>412</v>
      </c>
      <c r="B337" s="101" t="s">
        <v>235</v>
      </c>
      <c r="C337" s="101" t="s">
        <v>233</v>
      </c>
      <c r="D337" s="101" t="s">
        <v>234</v>
      </c>
      <c r="E337" s="310">
        <f>'d3'!E337-d3П!E332</f>
        <v>162000</v>
      </c>
      <c r="F337" s="310">
        <f>'d3'!F337-d3П!F332</f>
        <v>162000</v>
      </c>
      <c r="G337" s="310">
        <f>'d3'!G337-d3П!G332</f>
        <v>112000</v>
      </c>
      <c r="H337" s="310">
        <f>'d3'!H337-d3П!H332</f>
        <v>0</v>
      </c>
      <c r="I337" s="310">
        <f>'d3'!I337-d3П!I332</f>
        <v>0</v>
      </c>
      <c r="J337" s="310">
        <f>'d3'!J337-d3П!J332</f>
        <v>0</v>
      </c>
      <c r="K337" s="310">
        <f>'d3'!K337-d3П!K332</f>
        <v>0</v>
      </c>
      <c r="L337" s="310">
        <f>'d3'!L337-d3П!L332</f>
        <v>0</v>
      </c>
      <c r="M337" s="310">
        <f>'d3'!M337-d3П!M332</f>
        <v>0</v>
      </c>
      <c r="N337" s="310">
        <f>'d3'!N337-d3П!N332</f>
        <v>0</v>
      </c>
      <c r="O337" s="310">
        <f>'d3'!O337-d3П!O332</f>
        <v>0</v>
      </c>
      <c r="P337" s="310">
        <f>'d3'!P337-d3П!P332</f>
        <v>162000</v>
      </c>
      <c r="Q337" s="47"/>
      <c r="R337" s="50"/>
    </row>
    <row r="338" spans="1:18" ht="93" hidden="1" thickTop="1" thickBot="1" x14ac:dyDescent="0.25">
      <c r="A338" s="126" t="s">
        <v>621</v>
      </c>
      <c r="B338" s="126" t="s">
        <v>358</v>
      </c>
      <c r="C338" s="126" t="s">
        <v>616</v>
      </c>
      <c r="D338" s="126" t="s">
        <v>617</v>
      </c>
      <c r="E338" s="310">
        <f>'d3'!E338-d3П!E333</f>
        <v>0</v>
      </c>
      <c r="F338" s="310">
        <f>'d3'!F338-d3П!F333</f>
        <v>0</v>
      </c>
      <c r="G338" s="310">
        <f>'d3'!G338-d3П!G333</f>
        <v>0</v>
      </c>
      <c r="H338" s="310">
        <f>'d3'!H338-d3П!H333</f>
        <v>0</v>
      </c>
      <c r="I338" s="310">
        <f>'d3'!I338-d3П!I333</f>
        <v>0</v>
      </c>
      <c r="J338" s="310">
        <f>'d3'!J338-d3П!J333</f>
        <v>0</v>
      </c>
      <c r="K338" s="310">
        <f>'d3'!K338-d3П!K333</f>
        <v>0</v>
      </c>
      <c r="L338" s="310">
        <f>'d3'!L338-d3П!L333</f>
        <v>0</v>
      </c>
      <c r="M338" s="310">
        <f>'d3'!M338-d3П!M333</f>
        <v>0</v>
      </c>
      <c r="N338" s="310">
        <f>'d3'!N338-d3П!N333</f>
        <v>0</v>
      </c>
      <c r="O338" s="310">
        <f>'d3'!O338-d3П!O333</f>
        <v>0</v>
      </c>
      <c r="P338" s="310">
        <f>'d3'!P338-d3П!P333</f>
        <v>0</v>
      </c>
      <c r="Q338" s="47"/>
      <c r="R338" s="50"/>
    </row>
    <row r="339" spans="1:18" ht="47.25" hidden="1" thickTop="1" thickBot="1" x14ac:dyDescent="0.25">
      <c r="A339" s="126" t="s">
        <v>908</v>
      </c>
      <c r="B339" s="126" t="s">
        <v>43</v>
      </c>
      <c r="C339" s="126" t="s">
        <v>42</v>
      </c>
      <c r="D339" s="126" t="s">
        <v>246</v>
      </c>
      <c r="E339" s="310">
        <f>'d3'!E339-d3П!E334</f>
        <v>0</v>
      </c>
      <c r="F339" s="310">
        <f>'d3'!F339-d3П!F334</f>
        <v>0</v>
      </c>
      <c r="G339" s="310">
        <f>'d3'!G339-d3П!G334</f>
        <v>0</v>
      </c>
      <c r="H339" s="310">
        <f>'d3'!H339-d3П!H334</f>
        <v>0</v>
      </c>
      <c r="I339" s="310">
        <f>'d3'!I339-d3П!I334</f>
        <v>0</v>
      </c>
      <c r="J339" s="310">
        <f>'d3'!J339-d3П!J334</f>
        <v>0</v>
      </c>
      <c r="K339" s="310">
        <f>'d3'!K339-d3П!K334</f>
        <v>0</v>
      </c>
      <c r="L339" s="310">
        <f>'d3'!L339-d3П!L334</f>
        <v>0</v>
      </c>
      <c r="M339" s="310">
        <f>'d3'!M339-d3П!M334</f>
        <v>0</v>
      </c>
      <c r="N339" s="310">
        <f>'d3'!N339-d3П!N334</f>
        <v>0</v>
      </c>
      <c r="O339" s="310">
        <f>'d3'!O339-d3П!O334</f>
        <v>0</v>
      </c>
      <c r="P339" s="310">
        <f>'d3'!P339-d3П!P334</f>
        <v>0</v>
      </c>
      <c r="Q339" s="47"/>
      <c r="R339" s="50"/>
    </row>
    <row r="340" spans="1:18" ht="63" customHeight="1" thickTop="1" thickBot="1" x14ac:dyDescent="0.25">
      <c r="A340" s="298" t="s">
        <v>1567</v>
      </c>
      <c r="B340" s="298" t="s">
        <v>695</v>
      </c>
      <c r="C340" s="298"/>
      <c r="D340" s="298" t="s">
        <v>696</v>
      </c>
      <c r="E340" s="310">
        <f>'d3'!E340-d3П!E335</f>
        <v>0</v>
      </c>
      <c r="F340" s="310">
        <f>'d3'!F340-d3П!F335</f>
        <v>0</v>
      </c>
      <c r="G340" s="310">
        <f>'d3'!G340-d3П!G335</f>
        <v>0</v>
      </c>
      <c r="H340" s="310">
        <f>'d3'!H340-d3П!H335</f>
        <v>0</v>
      </c>
      <c r="I340" s="310">
        <f>'d3'!I340-d3П!I335</f>
        <v>0</v>
      </c>
      <c r="J340" s="310">
        <f>'d3'!J340-d3П!J335</f>
        <v>12655728.649999999</v>
      </c>
      <c r="K340" s="310">
        <f>'d3'!K340-d3П!K335</f>
        <v>12655728.649999999</v>
      </c>
      <c r="L340" s="310">
        <f>'d3'!L340-d3П!L335</f>
        <v>0</v>
      </c>
      <c r="M340" s="310">
        <f>'d3'!M340-d3П!M335</f>
        <v>0</v>
      </c>
      <c r="N340" s="310">
        <f>'d3'!N340-d3П!N335</f>
        <v>0</v>
      </c>
      <c r="O340" s="310">
        <f>'d3'!O340-d3П!O335</f>
        <v>12655728.649999999</v>
      </c>
      <c r="P340" s="310">
        <f>'d3'!P340-d3П!P335</f>
        <v>12655728.649999999</v>
      </c>
      <c r="Q340" s="47"/>
      <c r="R340" s="50"/>
    </row>
    <row r="341" spans="1:18" ht="82.5" customHeight="1" thickTop="1" thickBot="1" x14ac:dyDescent="0.25">
      <c r="A341" s="101" t="s">
        <v>1568</v>
      </c>
      <c r="B341" s="101" t="s">
        <v>1569</v>
      </c>
      <c r="C341" s="101" t="s">
        <v>209</v>
      </c>
      <c r="D341" s="101" t="s">
        <v>1570</v>
      </c>
      <c r="E341" s="310">
        <f>'d3'!E341-d3П!E336</f>
        <v>0</v>
      </c>
      <c r="F341" s="310">
        <f>'d3'!F341-d3П!F336</f>
        <v>0</v>
      </c>
      <c r="G341" s="310">
        <f>'d3'!G341-d3П!G336</f>
        <v>0</v>
      </c>
      <c r="H341" s="310">
        <f>'d3'!H341-d3П!H336</f>
        <v>0</v>
      </c>
      <c r="I341" s="310">
        <f>'d3'!I341-d3П!I336</f>
        <v>0</v>
      </c>
      <c r="J341" s="310">
        <f>'d3'!J341-d3П!J336</f>
        <v>12655728.649999999</v>
      </c>
      <c r="K341" s="310">
        <f>'d3'!K341-d3П!K336</f>
        <v>12655728.649999999</v>
      </c>
      <c r="L341" s="310">
        <f>'d3'!L341-d3П!L336</f>
        <v>0</v>
      </c>
      <c r="M341" s="310">
        <f>'d3'!M341-d3П!M336</f>
        <v>0</v>
      </c>
      <c r="N341" s="310">
        <f>'d3'!N341-d3П!N336</f>
        <v>0</v>
      </c>
      <c r="O341" s="310">
        <f>'d3'!O341-d3П!O336</f>
        <v>12655728.649999999</v>
      </c>
      <c r="P341" s="310">
        <f>'d3'!P341-d3П!P336</f>
        <v>12655728.649999999</v>
      </c>
      <c r="Q341" s="47"/>
      <c r="R341" s="50"/>
    </row>
    <row r="342" spans="1:18" s="721" customFormat="1" ht="75.75" hidden="1" customHeight="1" thickTop="1" thickBot="1" x14ac:dyDescent="0.25">
      <c r="A342" s="718" t="s">
        <v>1194</v>
      </c>
      <c r="B342" s="718" t="s">
        <v>698</v>
      </c>
      <c r="C342" s="718"/>
      <c r="D342" s="718" t="s">
        <v>699</v>
      </c>
      <c r="E342" s="310">
        <f>'d3'!E342-d3П!E337</f>
        <v>0</v>
      </c>
      <c r="F342" s="310">
        <f>'d3'!F342-d3П!F337</f>
        <v>0</v>
      </c>
      <c r="G342" s="310">
        <f>'d3'!G342-d3П!G337</f>
        <v>0</v>
      </c>
      <c r="H342" s="310">
        <f>'d3'!H342-d3П!H337</f>
        <v>0</v>
      </c>
      <c r="I342" s="310">
        <f>'d3'!I342-d3П!I337</f>
        <v>0</v>
      </c>
      <c r="J342" s="310">
        <f>'d3'!J342-d3П!J337</f>
        <v>0</v>
      </c>
      <c r="K342" s="310">
        <f>'d3'!K342-d3П!K337</f>
        <v>0</v>
      </c>
      <c r="L342" s="310">
        <f>'d3'!L342-d3П!L337</f>
        <v>0</v>
      </c>
      <c r="M342" s="310">
        <f>'d3'!M342-d3П!M337</f>
        <v>0</v>
      </c>
      <c r="N342" s="310">
        <f>'d3'!N342-d3П!N337</f>
        <v>0</v>
      </c>
      <c r="O342" s="310">
        <f>'d3'!O342-d3П!O337</f>
        <v>0</v>
      </c>
      <c r="P342" s="310">
        <f>'d3'!P342-d3П!P337</f>
        <v>0</v>
      </c>
      <c r="Q342" s="719"/>
      <c r="R342" s="720"/>
    </row>
    <row r="343" spans="1:18" s="721" customFormat="1" ht="114.75" hidden="1" customHeight="1" thickTop="1" thickBot="1" x14ac:dyDescent="0.25">
      <c r="A343" s="709" t="s">
        <v>1195</v>
      </c>
      <c r="B343" s="709" t="s">
        <v>1159</v>
      </c>
      <c r="C343" s="709" t="s">
        <v>205</v>
      </c>
      <c r="D343" s="716" t="s">
        <v>1679</v>
      </c>
      <c r="E343" s="310">
        <f>'d3'!E343-d3П!E338</f>
        <v>0</v>
      </c>
      <c r="F343" s="310">
        <f>'d3'!F343-d3П!F338</f>
        <v>0</v>
      </c>
      <c r="G343" s="310">
        <f>'d3'!G343-d3П!G338</f>
        <v>0</v>
      </c>
      <c r="H343" s="310">
        <f>'d3'!H343-d3П!H338</f>
        <v>0</v>
      </c>
      <c r="I343" s="310">
        <f>'d3'!I343-d3П!I338</f>
        <v>0</v>
      </c>
      <c r="J343" s="310">
        <f>'d3'!J343-d3П!J338</f>
        <v>0</v>
      </c>
      <c r="K343" s="310">
        <f>'d3'!K343-d3П!K338</f>
        <v>0</v>
      </c>
      <c r="L343" s="310">
        <f>'d3'!L343-d3П!L338</f>
        <v>0</v>
      </c>
      <c r="M343" s="310">
        <f>'d3'!M343-d3П!M338</f>
        <v>0</v>
      </c>
      <c r="N343" s="310">
        <f>'d3'!N343-d3П!N338</f>
        <v>0</v>
      </c>
      <c r="O343" s="310">
        <f>'d3'!O343-d3П!O338</f>
        <v>0</v>
      </c>
      <c r="P343" s="310">
        <f>'d3'!P343-d3П!P338</f>
        <v>0</v>
      </c>
      <c r="Q343" s="719"/>
      <c r="R343" s="720"/>
    </row>
    <row r="344" spans="1:18" ht="47.25" thickTop="1" thickBot="1" x14ac:dyDescent="0.25">
      <c r="A344" s="298" t="s">
        <v>1573</v>
      </c>
      <c r="B344" s="298" t="s">
        <v>742</v>
      </c>
      <c r="C344" s="298"/>
      <c r="D344" s="298" t="s">
        <v>743</v>
      </c>
      <c r="E344" s="310">
        <f>'d3'!E344-d3П!E339</f>
        <v>0</v>
      </c>
      <c r="F344" s="310">
        <f>'d3'!F344-d3П!F339</f>
        <v>0</v>
      </c>
      <c r="G344" s="310">
        <f>'d3'!G344-d3П!G339</f>
        <v>0</v>
      </c>
      <c r="H344" s="310">
        <f>'d3'!H344-d3П!H339</f>
        <v>0</v>
      </c>
      <c r="I344" s="310">
        <f>'d3'!I344-d3П!I339</f>
        <v>0</v>
      </c>
      <c r="J344" s="310">
        <f>'d3'!J344-d3П!J339</f>
        <v>2530000</v>
      </c>
      <c r="K344" s="310">
        <f>'d3'!K344-d3П!K339</f>
        <v>2530000</v>
      </c>
      <c r="L344" s="310">
        <f>'d3'!L344-d3П!L339</f>
        <v>0</v>
      </c>
      <c r="M344" s="310">
        <f>'d3'!M344-d3П!M339</f>
        <v>0</v>
      </c>
      <c r="N344" s="310">
        <f>'d3'!N344-d3П!N339</f>
        <v>0</v>
      </c>
      <c r="O344" s="310">
        <f>'d3'!O344-d3П!O339</f>
        <v>2530000</v>
      </c>
      <c r="P344" s="310">
        <f>'d3'!P344-d3П!P339</f>
        <v>2530000</v>
      </c>
      <c r="Q344" s="47"/>
      <c r="R344" s="50"/>
    </row>
    <row r="345" spans="1:18" ht="72" customHeight="1" thickTop="1" thickBot="1" x14ac:dyDescent="0.25">
      <c r="A345" s="598" t="s">
        <v>1574</v>
      </c>
      <c r="B345" s="598" t="s">
        <v>745</v>
      </c>
      <c r="C345" s="598"/>
      <c r="D345" s="600" t="s">
        <v>746</v>
      </c>
      <c r="E345" s="310">
        <f>'d3'!E345-d3П!E340</f>
        <v>0</v>
      </c>
      <c r="F345" s="310">
        <f>'d3'!F345-d3П!F340</f>
        <v>0</v>
      </c>
      <c r="G345" s="310">
        <f>'d3'!G345-d3П!G340</f>
        <v>0</v>
      </c>
      <c r="H345" s="310">
        <f>'d3'!H345-d3П!H340</f>
        <v>0</v>
      </c>
      <c r="I345" s="310">
        <f>'d3'!I345-d3П!I340</f>
        <v>0</v>
      </c>
      <c r="J345" s="310">
        <f>'d3'!J345-d3П!J340</f>
        <v>2530000</v>
      </c>
      <c r="K345" s="310">
        <f>'d3'!K345-d3П!K340</f>
        <v>2530000</v>
      </c>
      <c r="L345" s="310">
        <f>'d3'!L345-d3П!L340</f>
        <v>0</v>
      </c>
      <c r="M345" s="310">
        <f>'d3'!M345-d3П!M340</f>
        <v>0</v>
      </c>
      <c r="N345" s="310">
        <f>'d3'!N345-d3П!N340</f>
        <v>0</v>
      </c>
      <c r="O345" s="310">
        <f>'d3'!O345-d3П!O340</f>
        <v>2530000</v>
      </c>
      <c r="P345" s="310">
        <f>'d3'!P345-d3П!P340</f>
        <v>2530000</v>
      </c>
      <c r="Q345" s="47"/>
      <c r="R345" s="50"/>
    </row>
    <row r="346" spans="1:18" ht="72.75" customHeight="1" thickTop="1" thickBot="1" x14ac:dyDescent="0.25">
      <c r="A346" s="101" t="s">
        <v>1576</v>
      </c>
      <c r="B346" s="101" t="s">
        <v>1577</v>
      </c>
      <c r="C346" s="101" t="s">
        <v>181</v>
      </c>
      <c r="D346" s="600" t="s">
        <v>1575</v>
      </c>
      <c r="E346" s="310">
        <f>'d3'!E346-d3П!E341</f>
        <v>0</v>
      </c>
      <c r="F346" s="310">
        <f>'d3'!F346-d3П!F341</f>
        <v>0</v>
      </c>
      <c r="G346" s="310">
        <f>'d3'!G346-d3П!G341</f>
        <v>0</v>
      </c>
      <c r="H346" s="310">
        <f>'d3'!H346-d3П!H341</f>
        <v>0</v>
      </c>
      <c r="I346" s="310">
        <f>'d3'!I346-d3П!I341</f>
        <v>0</v>
      </c>
      <c r="J346" s="310">
        <f>'d3'!J346-d3П!J341</f>
        <v>2530000</v>
      </c>
      <c r="K346" s="310">
        <f>'d3'!K346-d3П!K341</f>
        <v>2530000</v>
      </c>
      <c r="L346" s="310">
        <f>'d3'!L346-d3П!L341</f>
        <v>0</v>
      </c>
      <c r="M346" s="310">
        <f>'d3'!M346-d3П!M341</f>
        <v>0</v>
      </c>
      <c r="N346" s="310">
        <f>'d3'!N346-d3П!N341</f>
        <v>0</v>
      </c>
      <c r="O346" s="310">
        <f>'d3'!O346-d3П!O341</f>
        <v>2530000</v>
      </c>
      <c r="P346" s="310">
        <f>'d3'!P346-d3П!P341</f>
        <v>2530000</v>
      </c>
      <c r="Q346" s="47"/>
      <c r="R346" s="50"/>
    </row>
    <row r="347" spans="1:18" ht="47.25" hidden="1" thickTop="1" thickBot="1" x14ac:dyDescent="0.25">
      <c r="A347" s="126"/>
      <c r="B347" s="126"/>
      <c r="C347" s="126"/>
      <c r="D347" s="369"/>
      <c r="E347" s="310">
        <f>'d3'!E347-d3П!E342</f>
        <v>0</v>
      </c>
      <c r="F347" s="310">
        <f>'d3'!F347-d3П!F342</f>
        <v>0</v>
      </c>
      <c r="G347" s="310">
        <f>'d3'!G347-d3П!G342</f>
        <v>0</v>
      </c>
      <c r="H347" s="310">
        <f>'d3'!H347-d3П!H342</f>
        <v>0</v>
      </c>
      <c r="I347" s="310">
        <f>'d3'!I347-d3П!I342</f>
        <v>0</v>
      </c>
      <c r="J347" s="310">
        <f>'d3'!J347-d3П!J342</f>
        <v>0</v>
      </c>
      <c r="K347" s="310">
        <f>'d3'!K347-d3П!K342</f>
        <v>0</v>
      </c>
      <c r="L347" s="310">
        <f>'d3'!L347-d3П!L342</f>
        <v>0</v>
      </c>
      <c r="M347" s="310">
        <f>'d3'!M347-d3П!M342</f>
        <v>0</v>
      </c>
      <c r="N347" s="310">
        <f>'d3'!N347-d3П!N342</f>
        <v>0</v>
      </c>
      <c r="O347" s="310">
        <f>'d3'!O347-d3П!O342</f>
        <v>0</v>
      </c>
      <c r="P347" s="310">
        <f>'d3'!P347-d3П!P342</f>
        <v>0</v>
      </c>
      <c r="Q347" s="47"/>
      <c r="R347" s="50"/>
    </row>
    <row r="348" spans="1:18" ht="47.25" thickTop="1" thickBot="1" x14ac:dyDescent="0.25">
      <c r="A348" s="298" t="s">
        <v>799</v>
      </c>
      <c r="B348" s="298" t="s">
        <v>756</v>
      </c>
      <c r="C348" s="101"/>
      <c r="D348" s="298" t="s">
        <v>757</v>
      </c>
      <c r="E348" s="310">
        <f>'d3'!E348-d3П!E343</f>
        <v>0</v>
      </c>
      <c r="F348" s="310">
        <f>'d3'!F348-d3П!F343</f>
        <v>0</v>
      </c>
      <c r="G348" s="310">
        <f>'d3'!G348-d3П!G343</f>
        <v>0</v>
      </c>
      <c r="H348" s="310">
        <f>'d3'!H348-d3П!H343</f>
        <v>0</v>
      </c>
      <c r="I348" s="310">
        <f>'d3'!I348-d3П!I343</f>
        <v>0</v>
      </c>
      <c r="J348" s="310">
        <f>'d3'!J348-d3П!J343</f>
        <v>0</v>
      </c>
      <c r="K348" s="310">
        <f>'d3'!K348-d3П!K343</f>
        <v>0</v>
      </c>
      <c r="L348" s="310">
        <f>'d3'!L348-d3П!L343</f>
        <v>0</v>
      </c>
      <c r="M348" s="310">
        <f>'d3'!M348-d3П!M343</f>
        <v>0</v>
      </c>
      <c r="N348" s="310">
        <f>'d3'!N348-d3П!N343</f>
        <v>0</v>
      </c>
      <c r="O348" s="310">
        <f>'d3'!O348-d3П!O343</f>
        <v>0</v>
      </c>
      <c r="P348" s="310">
        <f>'d3'!P348-d3П!P343</f>
        <v>0</v>
      </c>
      <c r="Q348" s="47"/>
      <c r="R348" s="50"/>
    </row>
    <row r="349" spans="1:18" ht="82.5" customHeight="1" thickTop="1" thickBot="1" x14ac:dyDescent="0.25">
      <c r="A349" s="598" t="s">
        <v>800</v>
      </c>
      <c r="B349" s="598" t="s">
        <v>801</v>
      </c>
      <c r="C349" s="598"/>
      <c r="D349" s="598" t="s">
        <v>802</v>
      </c>
      <c r="E349" s="310">
        <f>'d3'!E349-d3П!E344</f>
        <v>0</v>
      </c>
      <c r="F349" s="310">
        <f>'d3'!F349-d3П!F344</f>
        <v>0</v>
      </c>
      <c r="G349" s="310">
        <f>'d3'!G349-d3П!G344</f>
        <v>0</v>
      </c>
      <c r="H349" s="310">
        <f>'d3'!H349-d3П!H344</f>
        <v>0</v>
      </c>
      <c r="I349" s="310">
        <f>'d3'!I349-d3П!I344</f>
        <v>0</v>
      </c>
      <c r="J349" s="310">
        <f>'d3'!J349-d3П!J344</f>
        <v>0</v>
      </c>
      <c r="K349" s="310">
        <f>'d3'!K349-d3П!K344</f>
        <v>0</v>
      </c>
      <c r="L349" s="310">
        <f>'d3'!L349-d3П!L344</f>
        <v>0</v>
      </c>
      <c r="M349" s="310">
        <f>'d3'!M349-d3П!M344</f>
        <v>0</v>
      </c>
      <c r="N349" s="310">
        <f>'d3'!N349-d3П!N344</f>
        <v>0</v>
      </c>
      <c r="O349" s="310">
        <f>'d3'!O349-d3П!O344</f>
        <v>0</v>
      </c>
      <c r="P349" s="310">
        <f>'d3'!P349-d3П!P344</f>
        <v>0</v>
      </c>
      <c r="Q349" s="47"/>
      <c r="R349" s="50"/>
    </row>
    <row r="350" spans="1:18" ht="184.5" thickTop="1" thickBot="1" x14ac:dyDescent="0.25">
      <c r="A350" s="101" t="s">
        <v>428</v>
      </c>
      <c r="B350" s="101" t="s">
        <v>429</v>
      </c>
      <c r="C350" s="101" t="s">
        <v>194</v>
      </c>
      <c r="D350" s="101" t="s">
        <v>1138</v>
      </c>
      <c r="E350" s="310">
        <f>'d3'!E350-d3П!E345</f>
        <v>0</v>
      </c>
      <c r="F350" s="310">
        <f>'d3'!F350-d3П!F345</f>
        <v>0</v>
      </c>
      <c r="G350" s="310">
        <f>'d3'!G350-d3П!G345</f>
        <v>0</v>
      </c>
      <c r="H350" s="310">
        <f>'d3'!H350-d3П!H345</f>
        <v>0</v>
      </c>
      <c r="I350" s="310">
        <f>'d3'!I350-d3П!I345</f>
        <v>0</v>
      </c>
      <c r="J350" s="310">
        <f>'d3'!J350-d3П!J345</f>
        <v>0</v>
      </c>
      <c r="K350" s="310">
        <f>'d3'!K350-d3П!K345</f>
        <v>0</v>
      </c>
      <c r="L350" s="310">
        <f>'d3'!L350-d3П!L345</f>
        <v>0</v>
      </c>
      <c r="M350" s="310">
        <f>'d3'!M350-d3П!M345</f>
        <v>0</v>
      </c>
      <c r="N350" s="310">
        <f>'d3'!N350-d3П!N345</f>
        <v>0</v>
      </c>
      <c r="O350" s="310">
        <f>'d3'!O350-d3П!O345</f>
        <v>0</v>
      </c>
      <c r="P350" s="310">
        <f>'d3'!P350-d3П!P345</f>
        <v>0</v>
      </c>
      <c r="Q350" s="47"/>
      <c r="R350" s="46"/>
    </row>
    <row r="351" spans="1:18" ht="47.25" thickTop="1" thickBot="1" x14ac:dyDescent="0.25">
      <c r="A351" s="298" t="s">
        <v>803</v>
      </c>
      <c r="B351" s="298" t="s">
        <v>735</v>
      </c>
      <c r="C351" s="101"/>
      <c r="D351" s="298" t="s">
        <v>780</v>
      </c>
      <c r="E351" s="310">
        <f>'d3'!E351-d3П!E346</f>
        <v>0</v>
      </c>
      <c r="F351" s="310">
        <f>'d3'!F351-d3П!F346</f>
        <v>0</v>
      </c>
      <c r="G351" s="310">
        <f>'d3'!G351-d3П!G346</f>
        <v>0</v>
      </c>
      <c r="H351" s="310">
        <f>'d3'!H351-d3П!H346</f>
        <v>0</v>
      </c>
      <c r="I351" s="310">
        <f>'d3'!I351-d3П!I346</f>
        <v>0</v>
      </c>
      <c r="J351" s="310">
        <f>'d3'!J351-d3П!J346</f>
        <v>5300000</v>
      </c>
      <c r="K351" s="310">
        <f>'d3'!K351-d3П!K346</f>
        <v>5300000</v>
      </c>
      <c r="L351" s="310">
        <f>'d3'!L351-d3П!L346</f>
        <v>0</v>
      </c>
      <c r="M351" s="310">
        <f>'d3'!M351-d3П!M346</f>
        <v>0</v>
      </c>
      <c r="N351" s="310">
        <f>'d3'!N351-d3П!N346</f>
        <v>0</v>
      </c>
      <c r="O351" s="310">
        <f>'d3'!O351-d3П!O346</f>
        <v>5300000</v>
      </c>
      <c r="P351" s="310">
        <f>'d3'!P351-d3П!P346</f>
        <v>5300000</v>
      </c>
      <c r="Q351" s="45"/>
      <c r="R351" s="46"/>
    </row>
    <row r="352" spans="1:18" ht="47.25" thickTop="1" thickBot="1" x14ac:dyDescent="0.25">
      <c r="A352" s="593" t="s">
        <v>804</v>
      </c>
      <c r="B352" s="593" t="s">
        <v>788</v>
      </c>
      <c r="C352" s="593"/>
      <c r="D352" s="593" t="s">
        <v>1623</v>
      </c>
      <c r="E352" s="310">
        <f>'d3'!E352-d3П!E347</f>
        <v>0</v>
      </c>
      <c r="F352" s="310">
        <f>'d3'!F352-d3П!F347</f>
        <v>0</v>
      </c>
      <c r="G352" s="310">
        <f>'d3'!G352-d3П!G347</f>
        <v>0</v>
      </c>
      <c r="H352" s="310">
        <f>'d3'!H352-d3П!H347</f>
        <v>0</v>
      </c>
      <c r="I352" s="310">
        <f>'d3'!I352-d3П!I347</f>
        <v>0</v>
      </c>
      <c r="J352" s="310">
        <f>'d3'!J352-d3П!J347</f>
        <v>5300000</v>
      </c>
      <c r="K352" s="310">
        <f>'d3'!K352-d3П!K347</f>
        <v>5300000</v>
      </c>
      <c r="L352" s="310">
        <f>'d3'!L352-d3П!L347</f>
        <v>0</v>
      </c>
      <c r="M352" s="310">
        <f>'d3'!M352-d3П!M347</f>
        <v>0</v>
      </c>
      <c r="N352" s="310">
        <f>'d3'!N352-d3П!N347</f>
        <v>0</v>
      </c>
      <c r="O352" s="310">
        <f>'d3'!O352-d3П!O347</f>
        <v>5300000</v>
      </c>
      <c r="P352" s="310">
        <f>'d3'!P352-d3П!P347</f>
        <v>5300000</v>
      </c>
      <c r="Q352" s="45"/>
      <c r="R352" s="46"/>
    </row>
    <row r="353" spans="1:18" ht="54" thickTop="1" thickBot="1" x14ac:dyDescent="0.3">
      <c r="A353" s="101" t="s">
        <v>312</v>
      </c>
      <c r="B353" s="101" t="s">
        <v>313</v>
      </c>
      <c r="C353" s="101" t="s">
        <v>302</v>
      </c>
      <c r="D353" s="101" t="s">
        <v>1572</v>
      </c>
      <c r="E353" s="310">
        <f>'d3'!E353-d3П!E348</f>
        <v>0</v>
      </c>
      <c r="F353" s="310">
        <f>'d3'!F353-d3П!F348</f>
        <v>0</v>
      </c>
      <c r="G353" s="310">
        <f>'d3'!G353-d3П!G348</f>
        <v>0</v>
      </c>
      <c r="H353" s="310">
        <f>'d3'!H353-d3П!H348</f>
        <v>0</v>
      </c>
      <c r="I353" s="310">
        <f>'d3'!I353-d3П!I348</f>
        <v>0</v>
      </c>
      <c r="J353" s="310">
        <f>'d3'!J353-d3П!J348</f>
        <v>5300000</v>
      </c>
      <c r="K353" s="310">
        <f>'d3'!K353-d3П!K348</f>
        <v>5300000</v>
      </c>
      <c r="L353" s="310">
        <f>'d3'!L353-d3П!L348</f>
        <v>0</v>
      </c>
      <c r="M353" s="310">
        <f>'d3'!M353-d3П!M348</f>
        <v>0</v>
      </c>
      <c r="N353" s="310">
        <f>'d3'!N353-d3П!N348</f>
        <v>0</v>
      </c>
      <c r="O353" s="310">
        <f>'d3'!O353-d3П!O348</f>
        <v>5300000</v>
      </c>
      <c r="P353" s="310">
        <f>'d3'!P353-d3П!P348</f>
        <v>5300000</v>
      </c>
      <c r="Q353" s="159"/>
      <c r="R353" s="46"/>
    </row>
    <row r="354" spans="1:18" ht="48" hidden="1" thickTop="1" thickBot="1" x14ac:dyDescent="0.25">
      <c r="A354" s="41" t="s">
        <v>432</v>
      </c>
      <c r="B354" s="41" t="s">
        <v>347</v>
      </c>
      <c r="C354" s="41" t="s">
        <v>169</v>
      </c>
      <c r="D354" s="41" t="s">
        <v>260</v>
      </c>
      <c r="E354" s="42">
        <f>F354</f>
        <v>0</v>
      </c>
      <c r="F354" s="43"/>
      <c r="G354" s="43"/>
      <c r="H354" s="43"/>
      <c r="I354" s="43"/>
      <c r="J354" s="42">
        <f t="shared" ref="J354" si="61">L354+O354</f>
        <v>0</v>
      </c>
      <c r="K354" s="43">
        <v>0</v>
      </c>
      <c r="L354" s="43"/>
      <c r="M354" s="43"/>
      <c r="N354" s="43"/>
      <c r="O354" s="44">
        <f>K354</f>
        <v>0</v>
      </c>
      <c r="P354" s="42">
        <f t="shared" ref="P354" si="62">E354+J354</f>
        <v>0</v>
      </c>
      <c r="Q354" s="20"/>
      <c r="R354" s="46"/>
    </row>
    <row r="355" spans="1:18" ht="47.25" hidden="1" thickTop="1" thickBot="1" x14ac:dyDescent="0.25">
      <c r="A355" s="134" t="s">
        <v>966</v>
      </c>
      <c r="B355" s="134" t="s">
        <v>679</v>
      </c>
      <c r="C355" s="134"/>
      <c r="D355" s="134" t="s">
        <v>677</v>
      </c>
      <c r="E355" s="156">
        <f>E356</f>
        <v>0</v>
      </c>
      <c r="F355" s="156">
        <f>F356</f>
        <v>0</v>
      </c>
      <c r="G355" s="156">
        <f>G356</f>
        <v>0</v>
      </c>
      <c r="H355" s="156">
        <f>H356</f>
        <v>0</v>
      </c>
      <c r="I355" s="156">
        <f>I356</f>
        <v>0</v>
      </c>
      <c r="J355" s="156">
        <f t="shared" ref="J355:O355" si="63">J356</f>
        <v>0</v>
      </c>
      <c r="K355" s="156">
        <f t="shared" si="63"/>
        <v>0</v>
      </c>
      <c r="L355" s="156">
        <f t="shared" si="63"/>
        <v>0</v>
      </c>
      <c r="M355" s="156">
        <f t="shared" si="63"/>
        <v>0</v>
      </c>
      <c r="N355" s="156">
        <f t="shared" si="63"/>
        <v>0</v>
      </c>
      <c r="O355" s="156">
        <f t="shared" si="63"/>
        <v>0</v>
      </c>
      <c r="P355" s="156">
        <f>P356</f>
        <v>0</v>
      </c>
      <c r="Q355" s="20"/>
      <c r="R355" s="46"/>
    </row>
    <row r="356" spans="1:18" ht="48" hidden="1" thickTop="1" thickBot="1" x14ac:dyDescent="0.25">
      <c r="A356" s="138" t="s">
        <v>967</v>
      </c>
      <c r="B356" s="138" t="s">
        <v>682</v>
      </c>
      <c r="C356" s="138"/>
      <c r="D356" s="138" t="s">
        <v>783</v>
      </c>
      <c r="E356" s="155">
        <f>E357+E359</f>
        <v>0</v>
      </c>
      <c r="F356" s="155">
        <f t="shared" ref="F356:P356" si="64">F357+F359</f>
        <v>0</v>
      </c>
      <c r="G356" s="155">
        <f t="shared" si="64"/>
        <v>0</v>
      </c>
      <c r="H356" s="155">
        <f t="shared" si="64"/>
        <v>0</v>
      </c>
      <c r="I356" s="155">
        <f t="shared" si="64"/>
        <v>0</v>
      </c>
      <c r="J356" s="155">
        <f t="shared" si="64"/>
        <v>0</v>
      </c>
      <c r="K356" s="155">
        <f t="shared" si="64"/>
        <v>0</v>
      </c>
      <c r="L356" s="155">
        <f t="shared" si="64"/>
        <v>0</v>
      </c>
      <c r="M356" s="155">
        <f t="shared" si="64"/>
        <v>0</v>
      </c>
      <c r="N356" s="155">
        <f t="shared" si="64"/>
        <v>0</v>
      </c>
      <c r="O356" s="155">
        <f t="shared" si="64"/>
        <v>0</v>
      </c>
      <c r="P356" s="155">
        <f t="shared" si="64"/>
        <v>0</v>
      </c>
      <c r="Q356" s="20"/>
      <c r="R356" s="46"/>
    </row>
    <row r="357" spans="1:18" ht="184.5" hidden="1" thickTop="1" thickBot="1" x14ac:dyDescent="0.7">
      <c r="A357" s="811" t="s">
        <v>968</v>
      </c>
      <c r="B357" s="811" t="s">
        <v>335</v>
      </c>
      <c r="C357" s="811" t="s">
        <v>169</v>
      </c>
      <c r="D357" s="160" t="s">
        <v>435</v>
      </c>
      <c r="E357" s="812">
        <f t="shared" ref="E357" si="65">F357</f>
        <v>0</v>
      </c>
      <c r="F357" s="782"/>
      <c r="G357" s="782"/>
      <c r="H357" s="782"/>
      <c r="I357" s="782"/>
      <c r="J357" s="812">
        <f t="shared" ref="J357" si="66">L357+O357</f>
        <v>0</v>
      </c>
      <c r="K357" s="782"/>
      <c r="L357" s="782"/>
      <c r="M357" s="782"/>
      <c r="N357" s="782"/>
      <c r="O357" s="783">
        <f>K357</f>
        <v>0</v>
      </c>
      <c r="P357" s="810">
        <f>E357+J357</f>
        <v>0</v>
      </c>
      <c r="Q357" s="20"/>
      <c r="R357" s="46"/>
    </row>
    <row r="358" spans="1:18" ht="93" hidden="1" thickTop="1" thickBot="1" x14ac:dyDescent="0.25">
      <c r="A358" s="811"/>
      <c r="B358" s="811"/>
      <c r="C358" s="811"/>
      <c r="D358" s="161" t="s">
        <v>436</v>
      </c>
      <c r="E358" s="812"/>
      <c r="F358" s="782"/>
      <c r="G358" s="782"/>
      <c r="H358" s="782"/>
      <c r="I358" s="782"/>
      <c r="J358" s="812"/>
      <c r="K358" s="782"/>
      <c r="L358" s="782"/>
      <c r="M358" s="782"/>
      <c r="N358" s="782"/>
      <c r="O358" s="783"/>
      <c r="P358" s="810"/>
      <c r="Q358" s="20"/>
      <c r="R358" s="46"/>
    </row>
    <row r="359" spans="1:18" ht="48" hidden="1" thickTop="1" thickBot="1" x14ac:dyDescent="0.25">
      <c r="A359" s="126" t="s">
        <v>1152</v>
      </c>
      <c r="B359" s="126" t="s">
        <v>255</v>
      </c>
      <c r="C359" s="126" t="s">
        <v>169</v>
      </c>
      <c r="D359" s="153" t="s">
        <v>253</v>
      </c>
      <c r="E359" s="125">
        <f>F359</f>
        <v>0</v>
      </c>
      <c r="F359" s="132"/>
      <c r="G359" s="132"/>
      <c r="H359" s="132"/>
      <c r="I359" s="132"/>
      <c r="J359" s="125">
        <f t="shared" ref="J359" si="67">L359+O359</f>
        <v>0</v>
      </c>
      <c r="K359" s="132"/>
      <c r="L359" s="132"/>
      <c r="M359" s="132"/>
      <c r="N359" s="132"/>
      <c r="O359" s="130">
        <f>K359</f>
        <v>0</v>
      </c>
      <c r="P359" s="125">
        <f t="shared" ref="P359" si="68">E359+J359</f>
        <v>0</v>
      </c>
      <c r="Q359" s="20"/>
      <c r="R359" s="46"/>
    </row>
    <row r="360" spans="1:18" ht="120" customHeight="1" thickTop="1" thickBot="1" x14ac:dyDescent="0.25">
      <c r="A360" s="624" t="s">
        <v>159</v>
      </c>
      <c r="B360" s="624"/>
      <c r="C360" s="624"/>
      <c r="D360" s="625" t="s">
        <v>875</v>
      </c>
      <c r="E360" s="626">
        <f>E361</f>
        <v>1240000</v>
      </c>
      <c r="F360" s="627">
        <f t="shared" ref="F360:G360" si="69">F361</f>
        <v>1240000</v>
      </c>
      <c r="G360" s="627">
        <f t="shared" si="69"/>
        <v>1050000</v>
      </c>
      <c r="H360" s="627">
        <f>H361</f>
        <v>20000</v>
      </c>
      <c r="I360" s="627">
        <f t="shared" ref="I360" si="70">I361</f>
        <v>0</v>
      </c>
      <c r="J360" s="626">
        <f>J361</f>
        <v>0</v>
      </c>
      <c r="K360" s="627">
        <f>K361</f>
        <v>0</v>
      </c>
      <c r="L360" s="627">
        <f>L361</f>
        <v>0</v>
      </c>
      <c r="M360" s="627">
        <f t="shared" ref="M360" si="71">M361</f>
        <v>0</v>
      </c>
      <c r="N360" s="627">
        <f>N361</f>
        <v>0</v>
      </c>
      <c r="O360" s="626">
        <f>O361</f>
        <v>0</v>
      </c>
      <c r="P360" s="627">
        <f t="shared" ref="P360" si="72">P361</f>
        <v>1240000</v>
      </c>
      <c r="Q360" s="20"/>
    </row>
    <row r="361" spans="1:18" ht="120" customHeight="1" thickTop="1" thickBot="1" x14ac:dyDescent="0.25">
      <c r="A361" s="588" t="s">
        <v>160</v>
      </c>
      <c r="B361" s="588"/>
      <c r="C361" s="588"/>
      <c r="D361" s="589" t="s">
        <v>876</v>
      </c>
      <c r="E361" s="590">
        <f>E362+E366</f>
        <v>1240000</v>
      </c>
      <c r="F361" s="590">
        <f>F362+F366</f>
        <v>1240000</v>
      </c>
      <c r="G361" s="590">
        <f>G362+G366</f>
        <v>1050000</v>
      </c>
      <c r="H361" s="590">
        <f>H362+H366</f>
        <v>20000</v>
      </c>
      <c r="I361" s="590">
        <f>I362+I366</f>
        <v>0</v>
      </c>
      <c r="J361" s="590">
        <f>L361+O361</f>
        <v>0</v>
      </c>
      <c r="K361" s="590">
        <f>K362+K366</f>
        <v>0</v>
      </c>
      <c r="L361" s="590">
        <f>L362+L366</f>
        <v>0</v>
      </c>
      <c r="M361" s="590">
        <f>M362+M366</f>
        <v>0</v>
      </c>
      <c r="N361" s="590">
        <f>N362+N366</f>
        <v>0</v>
      </c>
      <c r="O361" s="590">
        <f>O362+O366</f>
        <v>0</v>
      </c>
      <c r="P361" s="590">
        <f>E361+J361</f>
        <v>1240000</v>
      </c>
      <c r="Q361" s="452" t="b">
        <f>P361=P363+P369+P368</f>
        <v>1</v>
      </c>
      <c r="R361" s="46"/>
    </row>
    <row r="362" spans="1:18" ht="47.25" thickTop="1" thickBot="1" x14ac:dyDescent="0.25">
      <c r="A362" s="298" t="s">
        <v>806</v>
      </c>
      <c r="B362" s="298" t="s">
        <v>672</v>
      </c>
      <c r="C362" s="298"/>
      <c r="D362" s="298" t="s">
        <v>673</v>
      </c>
      <c r="E362" s="310">
        <f>'d3'!E362-d3П!E357</f>
        <v>1240000</v>
      </c>
      <c r="F362" s="310">
        <f>'d3'!F362-d3П!F357</f>
        <v>1240000</v>
      </c>
      <c r="G362" s="310">
        <f>'d3'!G362-d3П!G357</f>
        <v>1050000</v>
      </c>
      <c r="H362" s="310">
        <f>'d3'!H362-d3П!H357</f>
        <v>20000</v>
      </c>
      <c r="I362" s="310">
        <f>'d3'!I362-d3П!I357</f>
        <v>0</v>
      </c>
      <c r="J362" s="310">
        <f>'d3'!J362-d3П!J357</f>
        <v>0</v>
      </c>
      <c r="K362" s="310">
        <f>'d3'!K362-d3П!K357</f>
        <v>0</v>
      </c>
      <c r="L362" s="310">
        <f>'d3'!L362-d3П!L357</f>
        <v>0</v>
      </c>
      <c r="M362" s="310">
        <f>'d3'!M362-d3П!M357</f>
        <v>0</v>
      </c>
      <c r="N362" s="310">
        <f>'d3'!N362-d3П!N357</f>
        <v>0</v>
      </c>
      <c r="O362" s="310">
        <f>'d3'!O362-d3П!O357</f>
        <v>0</v>
      </c>
      <c r="P362" s="310">
        <f>'d3'!P362-d3П!P357</f>
        <v>1240000</v>
      </c>
      <c r="Q362" s="47"/>
      <c r="R362" s="46"/>
    </row>
    <row r="363" spans="1:18" ht="93" thickTop="1" thickBot="1" x14ac:dyDescent="0.25">
      <c r="A363" s="101" t="s">
        <v>414</v>
      </c>
      <c r="B363" s="101" t="s">
        <v>235</v>
      </c>
      <c r="C363" s="101" t="s">
        <v>233</v>
      </c>
      <c r="D363" s="101" t="s">
        <v>234</v>
      </c>
      <c r="E363" s="310">
        <f>'d3'!E363-d3П!E358</f>
        <v>1240000</v>
      </c>
      <c r="F363" s="310">
        <f>'d3'!F363-d3П!F358</f>
        <v>1240000</v>
      </c>
      <c r="G363" s="310">
        <f>'d3'!G363-d3П!G358</f>
        <v>1050000</v>
      </c>
      <c r="H363" s="310">
        <f>'d3'!H363-d3П!H358</f>
        <v>20000</v>
      </c>
      <c r="I363" s="310">
        <f>'d3'!I363-d3П!I358</f>
        <v>0</v>
      </c>
      <c r="J363" s="310">
        <f>'d3'!J363-d3П!J358</f>
        <v>0</v>
      </c>
      <c r="K363" s="310">
        <f>'d3'!K363-d3П!K358</f>
        <v>0</v>
      </c>
      <c r="L363" s="310">
        <f>'d3'!L363-d3П!L358</f>
        <v>0</v>
      </c>
      <c r="M363" s="310">
        <f>'d3'!M363-d3П!M358</f>
        <v>0</v>
      </c>
      <c r="N363" s="310">
        <f>'d3'!N363-d3П!N358</f>
        <v>0</v>
      </c>
      <c r="O363" s="310">
        <f>'d3'!O363-d3П!O358</f>
        <v>0</v>
      </c>
      <c r="P363" s="310">
        <f>'d3'!P363-d3П!P358</f>
        <v>1240000</v>
      </c>
      <c r="Q363" s="47"/>
      <c r="R363" s="46"/>
    </row>
    <row r="364" spans="1:18" ht="93" hidden="1" thickTop="1" thickBot="1" x14ac:dyDescent="0.25">
      <c r="A364" s="126" t="s">
        <v>622</v>
      </c>
      <c r="B364" s="126" t="s">
        <v>358</v>
      </c>
      <c r="C364" s="126" t="s">
        <v>616</v>
      </c>
      <c r="D364" s="126" t="s">
        <v>617</v>
      </c>
      <c r="E364" s="310">
        <f>'d3'!E364-d3П!E359</f>
        <v>0</v>
      </c>
      <c r="F364" s="310">
        <f>'d3'!F364-d3П!F359</f>
        <v>0</v>
      </c>
      <c r="G364" s="310">
        <f>'d3'!G364-d3П!G359</f>
        <v>0</v>
      </c>
      <c r="H364" s="310">
        <f>'d3'!H364-d3П!H359</f>
        <v>0</v>
      </c>
      <c r="I364" s="310">
        <f>'d3'!I364-d3П!I359</f>
        <v>0</v>
      </c>
      <c r="J364" s="310">
        <f>'d3'!J364-d3П!J359</f>
        <v>0</v>
      </c>
      <c r="K364" s="310">
        <f>'d3'!K364-d3П!K359</f>
        <v>0</v>
      </c>
      <c r="L364" s="310">
        <f>'d3'!L364-d3П!L359</f>
        <v>0</v>
      </c>
      <c r="M364" s="310">
        <f>'d3'!M364-d3П!M359</f>
        <v>0</v>
      </c>
      <c r="N364" s="310">
        <f>'d3'!N364-d3П!N359</f>
        <v>0</v>
      </c>
      <c r="O364" s="310">
        <f>'d3'!O364-d3П!O359</f>
        <v>0</v>
      </c>
      <c r="P364" s="310">
        <f>'d3'!P364-d3П!P359</f>
        <v>0</v>
      </c>
      <c r="Q364" s="47"/>
      <c r="R364" s="46"/>
    </row>
    <row r="365" spans="1:18" ht="47.25" hidden="1" thickTop="1" thickBot="1" x14ac:dyDescent="0.25">
      <c r="A365" s="126" t="s">
        <v>1218</v>
      </c>
      <c r="B365" s="126" t="s">
        <v>43</v>
      </c>
      <c r="C365" s="126" t="s">
        <v>42</v>
      </c>
      <c r="D365" s="126" t="s">
        <v>246</v>
      </c>
      <c r="E365" s="310">
        <f>'d3'!E365-d3П!E360</f>
        <v>0</v>
      </c>
      <c r="F365" s="310">
        <f>'d3'!F365-d3П!F360</f>
        <v>0</v>
      </c>
      <c r="G365" s="310">
        <f>'d3'!G365-d3П!G360</f>
        <v>0</v>
      </c>
      <c r="H365" s="310">
        <f>'d3'!H365-d3П!H360</f>
        <v>0</v>
      </c>
      <c r="I365" s="310">
        <f>'d3'!I365-d3П!I360</f>
        <v>0</v>
      </c>
      <c r="J365" s="310">
        <f>'d3'!J365-d3П!J360</f>
        <v>0</v>
      </c>
      <c r="K365" s="310">
        <f>'d3'!K365-d3П!K360</f>
        <v>0</v>
      </c>
      <c r="L365" s="310">
        <f>'d3'!L365-d3П!L360</f>
        <v>0</v>
      </c>
      <c r="M365" s="310">
        <f>'d3'!M365-d3П!M360</f>
        <v>0</v>
      </c>
      <c r="N365" s="310">
        <f>'d3'!N365-d3П!N360</f>
        <v>0</v>
      </c>
      <c r="O365" s="310">
        <f>'d3'!O365-d3П!O360</f>
        <v>0</v>
      </c>
      <c r="P365" s="310">
        <f>'d3'!P365-d3П!P360</f>
        <v>0</v>
      </c>
      <c r="Q365" s="47"/>
      <c r="R365" s="46"/>
    </row>
    <row r="366" spans="1:18" ht="47.25" thickTop="1" thickBot="1" x14ac:dyDescent="0.25">
      <c r="A366" s="298" t="s">
        <v>891</v>
      </c>
      <c r="B366" s="298" t="s">
        <v>735</v>
      </c>
      <c r="C366" s="101"/>
      <c r="D366" s="298" t="s">
        <v>780</v>
      </c>
      <c r="E366" s="310">
        <f>'d3'!E366-d3П!E361</f>
        <v>0</v>
      </c>
      <c r="F366" s="310">
        <f>'d3'!F366-d3П!F361</f>
        <v>0</v>
      </c>
      <c r="G366" s="310">
        <f>'d3'!G366-d3П!G361</f>
        <v>0</v>
      </c>
      <c r="H366" s="310">
        <f>'d3'!H366-d3П!H361</f>
        <v>0</v>
      </c>
      <c r="I366" s="310">
        <f>'d3'!I366-d3П!I361</f>
        <v>0</v>
      </c>
      <c r="J366" s="310">
        <f>'d3'!J366-d3П!J361</f>
        <v>0</v>
      </c>
      <c r="K366" s="310">
        <f>'d3'!K366-d3П!K361</f>
        <v>0</v>
      </c>
      <c r="L366" s="310">
        <f>'d3'!L366-d3П!L361</f>
        <v>0</v>
      </c>
      <c r="M366" s="310">
        <f>'d3'!M366-d3П!M361</f>
        <v>0</v>
      </c>
      <c r="N366" s="310">
        <f>'d3'!N366-d3П!N361</f>
        <v>0</v>
      </c>
      <c r="O366" s="310">
        <f>'d3'!O366-d3П!O361</f>
        <v>0</v>
      </c>
      <c r="P366" s="310">
        <f>'d3'!P366-d3П!P361</f>
        <v>0</v>
      </c>
      <c r="Q366" s="47"/>
      <c r="R366" s="46"/>
    </row>
    <row r="367" spans="1:18" ht="47.25" thickTop="1" thickBot="1" x14ac:dyDescent="0.25">
      <c r="A367" s="593" t="s">
        <v>892</v>
      </c>
      <c r="B367" s="593" t="s">
        <v>788</v>
      </c>
      <c r="C367" s="593"/>
      <c r="D367" s="593" t="s">
        <v>1623</v>
      </c>
      <c r="E367" s="310">
        <f>'d3'!E367-d3П!E362</f>
        <v>0</v>
      </c>
      <c r="F367" s="310">
        <f>'d3'!F367-d3П!F362</f>
        <v>0</v>
      </c>
      <c r="G367" s="310">
        <f>'d3'!G367-d3П!G362</f>
        <v>0</v>
      </c>
      <c r="H367" s="310">
        <f>'d3'!H367-d3П!H362</f>
        <v>0</v>
      </c>
      <c r="I367" s="310">
        <f>'d3'!I367-d3П!I362</f>
        <v>0</v>
      </c>
      <c r="J367" s="310">
        <f>'d3'!J367-d3П!J362</f>
        <v>0</v>
      </c>
      <c r="K367" s="310">
        <f>'d3'!K367-d3П!K362</f>
        <v>0</v>
      </c>
      <c r="L367" s="310">
        <f>'d3'!L367-d3П!L362</f>
        <v>0</v>
      </c>
      <c r="M367" s="310">
        <f>'d3'!M367-d3П!M362</f>
        <v>0</v>
      </c>
      <c r="N367" s="310">
        <f>'d3'!N367-d3П!N362</f>
        <v>0</v>
      </c>
      <c r="O367" s="310">
        <f>'d3'!O367-d3П!O362</f>
        <v>0</v>
      </c>
      <c r="P367" s="310">
        <f>'d3'!P367-d3П!P362</f>
        <v>0</v>
      </c>
      <c r="Q367" s="47"/>
      <c r="R367" s="46"/>
    </row>
    <row r="368" spans="1:18" ht="93" thickTop="1" thickBot="1" x14ac:dyDescent="0.25">
      <c r="A368" s="101" t="s">
        <v>893</v>
      </c>
      <c r="B368" s="101" t="s">
        <v>894</v>
      </c>
      <c r="C368" s="101" t="s">
        <v>302</v>
      </c>
      <c r="D368" s="101" t="s">
        <v>895</v>
      </c>
      <c r="E368" s="310">
        <f>'d3'!E368-d3П!E363</f>
        <v>0</v>
      </c>
      <c r="F368" s="310">
        <f>'d3'!F368-d3П!F363</f>
        <v>0</v>
      </c>
      <c r="G368" s="310">
        <f>'d3'!G368-d3П!G363</f>
        <v>0</v>
      </c>
      <c r="H368" s="310">
        <f>'d3'!H368-d3П!H363</f>
        <v>0</v>
      </c>
      <c r="I368" s="310">
        <f>'d3'!I368-d3П!I363</f>
        <v>0</v>
      </c>
      <c r="J368" s="310">
        <f>'d3'!J368-d3П!J363</f>
        <v>0</v>
      </c>
      <c r="K368" s="310">
        <f>'d3'!K368-d3П!K363</f>
        <v>0</v>
      </c>
      <c r="L368" s="310">
        <f>'d3'!L368-d3П!L363</f>
        <v>0</v>
      </c>
      <c r="M368" s="310">
        <f>'d3'!M368-d3П!M363</f>
        <v>0</v>
      </c>
      <c r="N368" s="310">
        <f>'d3'!N368-d3П!N363</f>
        <v>0</v>
      </c>
      <c r="O368" s="310">
        <f>'d3'!O368-d3П!O363</f>
        <v>0</v>
      </c>
      <c r="P368" s="310">
        <f>'d3'!P368-d3П!P363</f>
        <v>0</v>
      </c>
      <c r="Q368" s="47"/>
      <c r="R368" s="46"/>
    </row>
    <row r="369" spans="1:18" ht="93" hidden="1" thickTop="1" thickBot="1" x14ac:dyDescent="0.25">
      <c r="A369" s="709" t="s">
        <v>1581</v>
      </c>
      <c r="B369" s="709" t="s">
        <v>1583</v>
      </c>
      <c r="C369" s="709" t="s">
        <v>302</v>
      </c>
      <c r="D369" s="709" t="s">
        <v>1582</v>
      </c>
      <c r="E369" s="722">
        <f>F369</f>
        <v>0</v>
      </c>
      <c r="F369" s="717"/>
      <c r="G369" s="717"/>
      <c r="H369" s="717"/>
      <c r="I369" s="717"/>
      <c r="J369" s="710">
        <f t="shared" ref="J369" si="73">L369+O369</f>
        <v>0</v>
      </c>
      <c r="K369" s="717">
        <f>((1000000-200000)-100000)-700000</f>
        <v>0</v>
      </c>
      <c r="L369" s="723"/>
      <c r="M369" s="723"/>
      <c r="N369" s="723"/>
      <c r="O369" s="712">
        <f t="shared" ref="O369" si="74">K369</f>
        <v>0</v>
      </c>
      <c r="P369" s="710">
        <f t="shared" ref="P369" si="75">+J369+E369</f>
        <v>0</v>
      </c>
      <c r="Q369" s="47"/>
      <c r="R369" s="46"/>
    </row>
    <row r="370" spans="1:18" ht="120" customHeight="1" thickTop="1" thickBot="1" x14ac:dyDescent="0.25">
      <c r="A370" s="624" t="s">
        <v>439</v>
      </c>
      <c r="B370" s="624"/>
      <c r="C370" s="624"/>
      <c r="D370" s="625" t="s">
        <v>441</v>
      </c>
      <c r="E370" s="626">
        <f>E371</f>
        <v>-22137263</v>
      </c>
      <c r="F370" s="627">
        <f t="shared" ref="F370:G370" si="76">F371</f>
        <v>-22137263</v>
      </c>
      <c r="G370" s="627">
        <f t="shared" si="76"/>
        <v>104400</v>
      </c>
      <c r="H370" s="627">
        <f>H371</f>
        <v>0</v>
      </c>
      <c r="I370" s="627">
        <f t="shared" ref="I370" si="77">I371</f>
        <v>0</v>
      </c>
      <c r="J370" s="626">
        <f>J371</f>
        <v>12600000</v>
      </c>
      <c r="K370" s="627">
        <f>K371</f>
        <v>12600000</v>
      </c>
      <c r="L370" s="627">
        <f>L371</f>
        <v>0</v>
      </c>
      <c r="M370" s="627">
        <f t="shared" ref="M370" si="78">M371</f>
        <v>0</v>
      </c>
      <c r="N370" s="627">
        <f>N371</f>
        <v>0</v>
      </c>
      <c r="O370" s="626">
        <f>O371</f>
        <v>12600000</v>
      </c>
      <c r="P370" s="627">
        <f t="shared" ref="P370" si="79">P371</f>
        <v>-9537263</v>
      </c>
      <c r="Q370" s="20"/>
    </row>
    <row r="371" spans="1:18" ht="120" customHeight="1" thickTop="1" thickBot="1" x14ac:dyDescent="0.25">
      <c r="A371" s="588" t="s">
        <v>440</v>
      </c>
      <c r="B371" s="588"/>
      <c r="C371" s="588"/>
      <c r="D371" s="589" t="s">
        <v>442</v>
      </c>
      <c r="E371" s="590">
        <f t="shared" ref="E371:O371" si="80">E372+E375+E384+E387</f>
        <v>-22137263</v>
      </c>
      <c r="F371" s="590">
        <f t="shared" si="80"/>
        <v>-22137263</v>
      </c>
      <c r="G371" s="590">
        <f t="shared" si="80"/>
        <v>104400</v>
      </c>
      <c r="H371" s="590">
        <f t="shared" si="80"/>
        <v>0</v>
      </c>
      <c r="I371" s="590">
        <f t="shared" si="80"/>
        <v>0</v>
      </c>
      <c r="J371" s="590">
        <f t="shared" si="80"/>
        <v>12600000</v>
      </c>
      <c r="K371" s="590">
        <f t="shared" si="80"/>
        <v>12600000</v>
      </c>
      <c r="L371" s="590">
        <f t="shared" si="80"/>
        <v>0</v>
      </c>
      <c r="M371" s="590">
        <f t="shared" si="80"/>
        <v>0</v>
      </c>
      <c r="N371" s="590">
        <f t="shared" si="80"/>
        <v>0</v>
      </c>
      <c r="O371" s="590">
        <f t="shared" si="80"/>
        <v>12600000</v>
      </c>
      <c r="P371" s="590">
        <f>E371+J371</f>
        <v>-9537263</v>
      </c>
      <c r="Q371" s="452" t="b">
        <f>P371=P373+P378+P380+P386+P383</f>
        <v>1</v>
      </c>
      <c r="R371" s="46"/>
    </row>
    <row r="372" spans="1:18" ht="47.25" thickTop="1" thickBot="1" x14ac:dyDescent="0.25">
      <c r="A372" s="298" t="s">
        <v>807</v>
      </c>
      <c r="B372" s="298" t="s">
        <v>672</v>
      </c>
      <c r="C372" s="298"/>
      <c r="D372" s="298" t="s">
        <v>673</v>
      </c>
      <c r="E372" s="310">
        <f>'d3'!E372-d3П!E367</f>
        <v>-154765</v>
      </c>
      <c r="F372" s="310">
        <f>'d3'!F372-d3П!F367</f>
        <v>-154765</v>
      </c>
      <c r="G372" s="310">
        <f>'d3'!G372-d3П!G367</f>
        <v>104400</v>
      </c>
      <c r="H372" s="310">
        <f>'d3'!H372-d3П!H367</f>
        <v>0</v>
      </c>
      <c r="I372" s="310">
        <f>'d3'!I372-d3П!I367</f>
        <v>0</v>
      </c>
      <c r="J372" s="310">
        <f>'d3'!J372-d3П!J367</f>
        <v>0</v>
      </c>
      <c r="K372" s="310">
        <f>'d3'!K372-d3П!K367</f>
        <v>0</v>
      </c>
      <c r="L372" s="310">
        <f>'d3'!L372-d3П!L367</f>
        <v>0</v>
      </c>
      <c r="M372" s="310">
        <f>'d3'!M372-d3П!M367</f>
        <v>0</v>
      </c>
      <c r="N372" s="310">
        <f>'d3'!N372-d3П!N367</f>
        <v>0</v>
      </c>
      <c r="O372" s="310">
        <f>'d3'!O372-d3П!O367</f>
        <v>0</v>
      </c>
      <c r="P372" s="310">
        <f>'d3'!P372-d3П!P367</f>
        <v>-154765</v>
      </c>
      <c r="Q372" s="47"/>
      <c r="R372" s="46"/>
    </row>
    <row r="373" spans="1:18" ht="93" thickTop="1" thickBot="1" x14ac:dyDescent="0.25">
      <c r="A373" s="101" t="s">
        <v>443</v>
      </c>
      <c r="B373" s="101" t="s">
        <v>235</v>
      </c>
      <c r="C373" s="101" t="s">
        <v>233</v>
      </c>
      <c r="D373" s="101" t="s">
        <v>234</v>
      </c>
      <c r="E373" s="310">
        <f>'d3'!E373-d3П!E368</f>
        <v>-154765</v>
      </c>
      <c r="F373" s="310">
        <f>'d3'!F373-d3П!F368</f>
        <v>-154765</v>
      </c>
      <c r="G373" s="310">
        <f>'d3'!G373-d3П!G368</f>
        <v>104400</v>
      </c>
      <c r="H373" s="310">
        <f>'d3'!H373-d3П!H368</f>
        <v>0</v>
      </c>
      <c r="I373" s="310">
        <f>'d3'!I373-d3П!I368</f>
        <v>0</v>
      </c>
      <c r="J373" s="310">
        <f>'d3'!J373-d3П!J368</f>
        <v>0</v>
      </c>
      <c r="K373" s="310">
        <f>'d3'!K373-d3П!K368</f>
        <v>0</v>
      </c>
      <c r="L373" s="310">
        <f>'d3'!L373-d3П!L368</f>
        <v>0</v>
      </c>
      <c r="M373" s="310">
        <f>'d3'!M373-d3П!M368</f>
        <v>0</v>
      </c>
      <c r="N373" s="310">
        <f>'d3'!N373-d3П!N368</f>
        <v>0</v>
      </c>
      <c r="O373" s="310">
        <f>'d3'!O373-d3П!O368</f>
        <v>0</v>
      </c>
      <c r="P373" s="310">
        <f>'d3'!P373-d3П!P368</f>
        <v>-154765</v>
      </c>
      <c r="Q373" s="47"/>
      <c r="R373" s="46"/>
    </row>
    <row r="374" spans="1:18" ht="93" hidden="1" thickTop="1" thickBot="1" x14ac:dyDescent="0.25">
      <c r="A374" s="126" t="s">
        <v>623</v>
      </c>
      <c r="B374" s="126" t="s">
        <v>358</v>
      </c>
      <c r="C374" s="126" t="s">
        <v>616</v>
      </c>
      <c r="D374" s="126" t="s">
        <v>617</v>
      </c>
      <c r="E374" s="310">
        <f>'d3'!E374-d3П!E369</f>
        <v>0</v>
      </c>
      <c r="F374" s="310">
        <f>'d3'!F374-d3П!F369</f>
        <v>0</v>
      </c>
      <c r="G374" s="310">
        <f>'d3'!G374-d3П!G369</f>
        <v>0</v>
      </c>
      <c r="H374" s="310">
        <f>'d3'!H374-d3П!H369</f>
        <v>0</v>
      </c>
      <c r="I374" s="310">
        <f>'d3'!I374-d3П!I369</f>
        <v>0</v>
      </c>
      <c r="J374" s="310">
        <f>'d3'!J374-d3П!J369</f>
        <v>0</v>
      </c>
      <c r="K374" s="310">
        <f>'d3'!K374-d3П!K369</f>
        <v>0</v>
      </c>
      <c r="L374" s="310">
        <f>'d3'!L374-d3П!L369</f>
        <v>0</v>
      </c>
      <c r="M374" s="310">
        <f>'d3'!M374-d3П!M369</f>
        <v>0</v>
      </c>
      <c r="N374" s="310">
        <f>'d3'!N374-d3П!N369</f>
        <v>0</v>
      </c>
      <c r="O374" s="310">
        <f>'d3'!O374-d3П!O369</f>
        <v>0</v>
      </c>
      <c r="P374" s="310">
        <f>'d3'!P374-d3П!P369</f>
        <v>0</v>
      </c>
      <c r="Q374" s="47"/>
      <c r="R374" s="46"/>
    </row>
    <row r="375" spans="1:18" ht="60" customHeight="1" thickTop="1" thickBot="1" x14ac:dyDescent="0.25">
      <c r="A375" s="298" t="s">
        <v>808</v>
      </c>
      <c r="B375" s="298" t="s">
        <v>735</v>
      </c>
      <c r="C375" s="101"/>
      <c r="D375" s="298" t="s">
        <v>780</v>
      </c>
      <c r="E375" s="310">
        <f>'d3'!E375-d3П!E370</f>
        <v>-21307198</v>
      </c>
      <c r="F375" s="310">
        <f>'d3'!F375-d3П!F370</f>
        <v>-21307198</v>
      </c>
      <c r="G375" s="310">
        <f>'d3'!G375-d3П!G370</f>
        <v>0</v>
      </c>
      <c r="H375" s="310">
        <f>'d3'!H375-d3П!H370</f>
        <v>0</v>
      </c>
      <c r="I375" s="310">
        <f>'d3'!I375-d3П!I370</f>
        <v>0</v>
      </c>
      <c r="J375" s="310">
        <f>'d3'!J375-d3П!J370</f>
        <v>12600000</v>
      </c>
      <c r="K375" s="310">
        <f>'d3'!K375-d3П!K370</f>
        <v>12600000</v>
      </c>
      <c r="L375" s="310">
        <f>'d3'!L375-d3П!L370</f>
        <v>0</v>
      </c>
      <c r="M375" s="310">
        <f>'d3'!M375-d3П!M370</f>
        <v>0</v>
      </c>
      <c r="N375" s="310">
        <f>'d3'!N375-d3П!N370</f>
        <v>0</v>
      </c>
      <c r="O375" s="310">
        <f>'d3'!O375-d3П!O370</f>
        <v>12600000</v>
      </c>
      <c r="P375" s="310">
        <f>'d3'!P375-d3П!P370</f>
        <v>-8707198</v>
      </c>
      <c r="Q375" s="47"/>
      <c r="R375" s="50"/>
    </row>
    <row r="376" spans="1:18" ht="47.25" thickTop="1" thickBot="1" x14ac:dyDescent="0.25">
      <c r="A376" s="593" t="s">
        <v>809</v>
      </c>
      <c r="B376" s="593" t="s">
        <v>791</v>
      </c>
      <c r="C376" s="593"/>
      <c r="D376" s="593" t="s">
        <v>792</v>
      </c>
      <c r="E376" s="310">
        <f>'d3'!E376-d3П!E371</f>
        <v>-21307198</v>
      </c>
      <c r="F376" s="310">
        <f>'d3'!F376-d3П!F371</f>
        <v>-21307198</v>
      </c>
      <c r="G376" s="310">
        <f>'d3'!G376-d3П!G371</f>
        <v>0</v>
      </c>
      <c r="H376" s="310">
        <f>'d3'!H376-d3П!H371</f>
        <v>0</v>
      </c>
      <c r="I376" s="310">
        <f>'d3'!I376-d3П!I371</f>
        <v>0</v>
      </c>
      <c r="J376" s="310">
        <f>'d3'!J376-d3П!J371</f>
        <v>0</v>
      </c>
      <c r="K376" s="310">
        <f>'d3'!K376-d3П!K371</f>
        <v>0</v>
      </c>
      <c r="L376" s="310">
        <f>'d3'!L376-d3П!L371</f>
        <v>0</v>
      </c>
      <c r="M376" s="310">
        <f>'d3'!M376-d3П!M371</f>
        <v>0</v>
      </c>
      <c r="N376" s="310">
        <f>'d3'!N376-d3П!N371</f>
        <v>0</v>
      </c>
      <c r="O376" s="310">
        <f>'d3'!O376-d3П!O371</f>
        <v>0</v>
      </c>
      <c r="P376" s="310">
        <f>'d3'!P376-d3П!P371</f>
        <v>-21307198</v>
      </c>
      <c r="Q376" s="47"/>
      <c r="R376" s="50"/>
    </row>
    <row r="377" spans="1:18" ht="93" thickTop="1" thickBot="1" x14ac:dyDescent="0.25">
      <c r="A377" s="598" t="s">
        <v>986</v>
      </c>
      <c r="B377" s="598" t="s">
        <v>987</v>
      </c>
      <c r="C377" s="598"/>
      <c r="D377" s="598" t="s">
        <v>985</v>
      </c>
      <c r="E377" s="310">
        <f>'d3'!E377-d3П!E372</f>
        <v>0</v>
      </c>
      <c r="F377" s="310">
        <f>'d3'!F377-d3П!F372</f>
        <v>0</v>
      </c>
      <c r="G377" s="310">
        <f>'d3'!G377-d3П!G372</f>
        <v>0</v>
      </c>
      <c r="H377" s="310">
        <f>'d3'!H377-d3П!H372</f>
        <v>0</v>
      </c>
      <c r="I377" s="310">
        <f>'d3'!I377-d3П!I372</f>
        <v>0</v>
      </c>
      <c r="J377" s="310">
        <f>'d3'!J377-d3П!J372</f>
        <v>0</v>
      </c>
      <c r="K377" s="310">
        <f>'d3'!K377-d3П!K372</f>
        <v>0</v>
      </c>
      <c r="L377" s="310">
        <f>'d3'!L377-d3П!L372</f>
        <v>0</v>
      </c>
      <c r="M377" s="310">
        <f>'d3'!M377-d3П!M372</f>
        <v>0</v>
      </c>
      <c r="N377" s="310">
        <f>'d3'!N377-d3П!N372</f>
        <v>0</v>
      </c>
      <c r="O377" s="310">
        <f>'d3'!O377-d3П!O372</f>
        <v>0</v>
      </c>
      <c r="P377" s="310">
        <f>'d3'!P377-d3П!P372</f>
        <v>0</v>
      </c>
      <c r="Q377" s="47"/>
      <c r="R377" s="50"/>
    </row>
    <row r="378" spans="1:18" ht="60.75" customHeight="1" thickTop="1" thickBot="1" x14ac:dyDescent="0.25">
      <c r="A378" s="101" t="s">
        <v>462</v>
      </c>
      <c r="B378" s="101" t="s">
        <v>407</v>
      </c>
      <c r="C378" s="101" t="s">
        <v>408</v>
      </c>
      <c r="D378" s="101" t="s">
        <v>409</v>
      </c>
      <c r="E378" s="310">
        <f>'d3'!E378-d3П!E373</f>
        <v>0</v>
      </c>
      <c r="F378" s="310">
        <f>'d3'!F378-d3П!F373</f>
        <v>0</v>
      </c>
      <c r="G378" s="310">
        <f>'d3'!G378-d3П!G373</f>
        <v>0</v>
      </c>
      <c r="H378" s="310">
        <f>'d3'!H378-d3П!H373</f>
        <v>0</v>
      </c>
      <c r="I378" s="310">
        <f>'d3'!I378-d3П!I373</f>
        <v>0</v>
      </c>
      <c r="J378" s="310">
        <f>'d3'!J378-d3П!J373</f>
        <v>0</v>
      </c>
      <c r="K378" s="310">
        <f>'d3'!K378-d3П!K373</f>
        <v>0</v>
      </c>
      <c r="L378" s="310">
        <f>'d3'!L378-d3П!L373</f>
        <v>0</v>
      </c>
      <c r="M378" s="310">
        <f>'d3'!M378-d3П!M373</f>
        <v>0</v>
      </c>
      <c r="N378" s="310">
        <f>'d3'!N378-d3П!N373</f>
        <v>0</v>
      </c>
      <c r="O378" s="310">
        <f>'d3'!O378-d3П!O373</f>
        <v>0</v>
      </c>
      <c r="P378" s="310">
        <f>'d3'!P378-d3П!P373</f>
        <v>0</v>
      </c>
      <c r="Q378" s="47"/>
      <c r="R378" s="50"/>
    </row>
    <row r="379" spans="1:18" ht="93" thickTop="1" thickBot="1" x14ac:dyDescent="0.25">
      <c r="A379" s="598" t="s">
        <v>810</v>
      </c>
      <c r="B379" s="598" t="s">
        <v>811</v>
      </c>
      <c r="C379" s="598"/>
      <c r="D379" s="598" t="s">
        <v>812</v>
      </c>
      <c r="E379" s="310">
        <f>'d3'!E379-d3П!E374</f>
        <v>-21307198</v>
      </c>
      <c r="F379" s="310">
        <f>'d3'!F379-d3П!F374</f>
        <v>-21307198</v>
      </c>
      <c r="G379" s="310">
        <f>'d3'!G379-d3П!G374</f>
        <v>0</v>
      </c>
      <c r="H379" s="310">
        <f>'d3'!H379-d3П!H374</f>
        <v>0</v>
      </c>
      <c r="I379" s="310">
        <f>'d3'!I379-d3П!I374</f>
        <v>0</v>
      </c>
      <c r="J379" s="310">
        <f>'d3'!J379-d3П!J374</f>
        <v>0</v>
      </c>
      <c r="K379" s="310">
        <f>'d3'!K379-d3П!K374</f>
        <v>0</v>
      </c>
      <c r="L379" s="310">
        <f>'d3'!L379-d3П!L374</f>
        <v>0</v>
      </c>
      <c r="M379" s="310">
        <f>'d3'!M379-d3П!M374</f>
        <v>0</v>
      </c>
      <c r="N379" s="310">
        <f>'d3'!N379-d3П!N374</f>
        <v>0</v>
      </c>
      <c r="O379" s="310">
        <f>'d3'!O379-d3П!O374</f>
        <v>0</v>
      </c>
      <c r="P379" s="310">
        <f>'d3'!P379-d3П!P374</f>
        <v>-21307198</v>
      </c>
      <c r="Q379" s="47"/>
      <c r="R379" s="50"/>
    </row>
    <row r="380" spans="1:18" ht="66.75" customHeight="1" thickTop="1" thickBot="1" x14ac:dyDescent="0.25">
      <c r="A380" s="101" t="s">
        <v>463</v>
      </c>
      <c r="B380" s="101" t="s">
        <v>289</v>
      </c>
      <c r="C380" s="101" t="s">
        <v>1306</v>
      </c>
      <c r="D380" s="101" t="s">
        <v>290</v>
      </c>
      <c r="E380" s="310">
        <f>'d3'!E380-d3П!E375</f>
        <v>-21307198</v>
      </c>
      <c r="F380" s="310">
        <f>'d3'!F380-d3П!F375</f>
        <v>-21307198</v>
      </c>
      <c r="G380" s="310">
        <f>'d3'!G380-d3П!G375</f>
        <v>0</v>
      </c>
      <c r="H380" s="310">
        <f>'d3'!H380-d3П!H375</f>
        <v>0</v>
      </c>
      <c r="I380" s="310">
        <f>'d3'!I380-d3П!I375</f>
        <v>0</v>
      </c>
      <c r="J380" s="310">
        <f>'d3'!J380-d3П!J375</f>
        <v>0</v>
      </c>
      <c r="K380" s="310">
        <f>'d3'!K380-d3П!K375</f>
        <v>0</v>
      </c>
      <c r="L380" s="310">
        <f>'d3'!L380-d3П!L375</f>
        <v>0</v>
      </c>
      <c r="M380" s="310">
        <f>'d3'!M380-d3П!M375</f>
        <v>0</v>
      </c>
      <c r="N380" s="310">
        <f>'d3'!N380-d3П!N375</f>
        <v>0</v>
      </c>
      <c r="O380" s="310">
        <f>'d3'!O380-d3П!O375</f>
        <v>0</v>
      </c>
      <c r="P380" s="310">
        <f>'d3'!P380-d3П!P375</f>
        <v>-21307198</v>
      </c>
      <c r="Q380" s="47"/>
      <c r="R380" s="50"/>
    </row>
    <row r="381" spans="1:18" ht="47.25" hidden="1" thickTop="1" thickBot="1" x14ac:dyDescent="0.25">
      <c r="A381" s="126" t="s">
        <v>1060</v>
      </c>
      <c r="B381" s="126" t="s">
        <v>1061</v>
      </c>
      <c r="C381" s="126" t="s">
        <v>293</v>
      </c>
      <c r="D381" s="126" t="s">
        <v>1059</v>
      </c>
      <c r="E381" s="310">
        <f>'d3'!E381-d3П!E376</f>
        <v>0</v>
      </c>
      <c r="F381" s="310">
        <f>'d3'!F381-d3П!F376</f>
        <v>0</v>
      </c>
      <c r="G381" s="310">
        <f>'d3'!G381-d3П!G376</f>
        <v>0</v>
      </c>
      <c r="H381" s="310">
        <f>'d3'!H381-d3П!H376</f>
        <v>0</v>
      </c>
      <c r="I381" s="310">
        <f>'d3'!I381-d3П!I376</f>
        <v>0</v>
      </c>
      <c r="J381" s="310">
        <f>'d3'!J381-d3П!J376</f>
        <v>0</v>
      </c>
      <c r="K381" s="310">
        <f>'d3'!K381-d3П!K376</f>
        <v>0</v>
      </c>
      <c r="L381" s="310">
        <f>'d3'!L381-d3П!L376</f>
        <v>0</v>
      </c>
      <c r="M381" s="310">
        <f>'d3'!M381-d3П!M376</f>
        <v>0</v>
      </c>
      <c r="N381" s="310">
        <f>'d3'!N381-d3П!N376</f>
        <v>0</v>
      </c>
      <c r="O381" s="310">
        <f>'d3'!O381-d3П!O376</f>
        <v>0</v>
      </c>
      <c r="P381" s="310">
        <f>'d3'!P381-d3П!P376</f>
        <v>0</v>
      </c>
      <c r="Q381" s="47"/>
      <c r="R381" s="50"/>
    </row>
    <row r="382" spans="1:18" ht="63" customHeight="1" thickTop="1" thickBot="1" x14ac:dyDescent="0.25">
      <c r="A382" s="593" t="s">
        <v>1133</v>
      </c>
      <c r="B382" s="593" t="s">
        <v>679</v>
      </c>
      <c r="C382" s="593"/>
      <c r="D382" s="593" t="s">
        <v>677</v>
      </c>
      <c r="E382" s="310">
        <f>'d3'!E382-d3П!E377</f>
        <v>0</v>
      </c>
      <c r="F382" s="310">
        <f>'d3'!F382-d3П!F377</f>
        <v>0</v>
      </c>
      <c r="G382" s="310">
        <f>'d3'!G382-d3П!G377</f>
        <v>0</v>
      </c>
      <c r="H382" s="310">
        <f>'d3'!H382-d3П!H377</f>
        <v>0</v>
      </c>
      <c r="I382" s="310">
        <f>'d3'!I382-d3П!I377</f>
        <v>0</v>
      </c>
      <c r="J382" s="310">
        <f>'d3'!J382-d3П!J377</f>
        <v>12600000</v>
      </c>
      <c r="K382" s="310">
        <f>'d3'!K382-d3П!K377</f>
        <v>12600000</v>
      </c>
      <c r="L382" s="310">
        <f>'d3'!L382-d3П!L377</f>
        <v>0</v>
      </c>
      <c r="M382" s="310">
        <f>'d3'!M382-d3П!M377</f>
        <v>0</v>
      </c>
      <c r="N382" s="310">
        <f>'d3'!N382-d3П!N377</f>
        <v>0</v>
      </c>
      <c r="O382" s="310">
        <f>'d3'!O382-d3П!O377</f>
        <v>12600000</v>
      </c>
      <c r="P382" s="310">
        <f>'d3'!P382-d3П!P377</f>
        <v>12600000</v>
      </c>
      <c r="Q382" s="47"/>
      <c r="R382" s="50"/>
    </row>
    <row r="383" spans="1:18" ht="66.75" customHeight="1" thickTop="1" thickBot="1" x14ac:dyDescent="0.25">
      <c r="A383" s="101" t="s">
        <v>1134</v>
      </c>
      <c r="B383" s="101" t="s">
        <v>196</v>
      </c>
      <c r="C383" s="101" t="s">
        <v>169</v>
      </c>
      <c r="D383" s="101" t="s">
        <v>1135</v>
      </c>
      <c r="E383" s="310">
        <f>'d3'!E383-d3П!E378</f>
        <v>0</v>
      </c>
      <c r="F383" s="310">
        <f>'d3'!F383-d3П!F378</f>
        <v>0</v>
      </c>
      <c r="G383" s="310">
        <f>'d3'!G383-d3П!G378</f>
        <v>0</v>
      </c>
      <c r="H383" s="310">
        <f>'d3'!H383-d3П!H378</f>
        <v>0</v>
      </c>
      <c r="I383" s="310">
        <f>'d3'!I383-d3П!I378</f>
        <v>0</v>
      </c>
      <c r="J383" s="310">
        <f>'d3'!J383-d3П!J378</f>
        <v>12600000</v>
      </c>
      <c r="K383" s="310">
        <f>'d3'!K383-d3П!K378</f>
        <v>12600000</v>
      </c>
      <c r="L383" s="310">
        <f>'d3'!L383-d3П!L378</f>
        <v>0</v>
      </c>
      <c r="M383" s="310">
        <f>'d3'!M383-d3П!M378</f>
        <v>0</v>
      </c>
      <c r="N383" s="310">
        <f>'d3'!N383-d3П!N378</f>
        <v>0</v>
      </c>
      <c r="O383" s="310">
        <f>'d3'!O383-d3П!O378</f>
        <v>12600000</v>
      </c>
      <c r="P383" s="310">
        <f>'d3'!P383-d3П!P378</f>
        <v>12600000</v>
      </c>
      <c r="Q383" s="47"/>
      <c r="R383" s="50"/>
    </row>
    <row r="384" spans="1:18" ht="47.25" thickTop="1" thickBot="1" x14ac:dyDescent="0.25">
      <c r="A384" s="298" t="s">
        <v>1178</v>
      </c>
      <c r="B384" s="298" t="s">
        <v>684</v>
      </c>
      <c r="C384" s="298"/>
      <c r="D384" s="298" t="s">
        <v>685</v>
      </c>
      <c r="E384" s="310">
        <f>'d3'!E384-d3П!E379</f>
        <v>-675300</v>
      </c>
      <c r="F384" s="310">
        <f>'d3'!F384-d3П!F379</f>
        <v>-675300</v>
      </c>
      <c r="G384" s="310">
        <f>'d3'!G384-d3П!G379</f>
        <v>0</v>
      </c>
      <c r="H384" s="310">
        <f>'d3'!H384-d3П!H379</f>
        <v>0</v>
      </c>
      <c r="I384" s="310">
        <f>'d3'!I384-d3П!I379</f>
        <v>0</v>
      </c>
      <c r="J384" s="310">
        <f>'d3'!J384-d3П!J379</f>
        <v>0</v>
      </c>
      <c r="K384" s="310">
        <f>'d3'!K384-d3П!K379</f>
        <v>0</v>
      </c>
      <c r="L384" s="310">
        <f>'d3'!L384-d3П!L379</f>
        <v>0</v>
      </c>
      <c r="M384" s="310">
        <f>'d3'!M384-d3П!M379</f>
        <v>0</v>
      </c>
      <c r="N384" s="310">
        <f>'d3'!N384-d3П!N379</f>
        <v>0</v>
      </c>
      <c r="O384" s="310">
        <f>'d3'!O384-d3П!O379</f>
        <v>0</v>
      </c>
      <c r="P384" s="310">
        <f>'d3'!P384-d3П!P379</f>
        <v>-675300</v>
      </c>
      <c r="Q384" s="47"/>
      <c r="R384" s="50"/>
    </row>
    <row r="385" spans="1:18" ht="47.25" thickTop="1" thickBot="1" x14ac:dyDescent="0.25">
      <c r="A385" s="593" t="s">
        <v>1179</v>
      </c>
      <c r="B385" s="593" t="s">
        <v>1145</v>
      </c>
      <c r="C385" s="593"/>
      <c r="D385" s="593" t="s">
        <v>1143</v>
      </c>
      <c r="E385" s="310">
        <f>'d3'!E385-d3П!E380</f>
        <v>-675300</v>
      </c>
      <c r="F385" s="310">
        <f>'d3'!F385-d3П!F380</f>
        <v>-675300</v>
      </c>
      <c r="G385" s="310">
        <f>'d3'!G385-d3П!G380</f>
        <v>0</v>
      </c>
      <c r="H385" s="310">
        <f>'d3'!H385-d3П!H380</f>
        <v>0</v>
      </c>
      <c r="I385" s="310">
        <f>'d3'!I385-d3П!I380</f>
        <v>0</v>
      </c>
      <c r="J385" s="310">
        <f>'d3'!J385-d3П!J380</f>
        <v>0</v>
      </c>
      <c r="K385" s="310">
        <f>'d3'!K385-d3П!K380</f>
        <v>0</v>
      </c>
      <c r="L385" s="310">
        <f>'d3'!L385-d3П!L380</f>
        <v>0</v>
      </c>
      <c r="M385" s="310">
        <f>'d3'!M385-d3П!M380</f>
        <v>0</v>
      </c>
      <c r="N385" s="310">
        <f>'d3'!N385-d3П!N380</f>
        <v>0</v>
      </c>
      <c r="O385" s="310">
        <f>'d3'!O385-d3П!O380</f>
        <v>0</v>
      </c>
      <c r="P385" s="310">
        <f>'d3'!P385-d3П!P380</f>
        <v>-675300</v>
      </c>
      <c r="Q385" s="47"/>
      <c r="R385" s="50"/>
    </row>
    <row r="386" spans="1:18" ht="47.25" thickTop="1" thickBot="1" x14ac:dyDescent="0.25">
      <c r="A386" s="101" t="s">
        <v>1180</v>
      </c>
      <c r="B386" s="101" t="s">
        <v>1181</v>
      </c>
      <c r="C386" s="101" t="s">
        <v>1147</v>
      </c>
      <c r="D386" s="101" t="s">
        <v>1182</v>
      </c>
      <c r="E386" s="310">
        <f>'d3'!E386-d3П!E381</f>
        <v>-675300</v>
      </c>
      <c r="F386" s="310">
        <f>'d3'!F386-d3П!F381</f>
        <v>-675300</v>
      </c>
      <c r="G386" s="310">
        <f>'d3'!G386-d3П!G381</f>
        <v>0</v>
      </c>
      <c r="H386" s="310">
        <f>'d3'!H386-d3П!H381</f>
        <v>0</v>
      </c>
      <c r="I386" s="310">
        <f>'d3'!I386-d3П!I381</f>
        <v>0</v>
      </c>
      <c r="J386" s="310">
        <f>'d3'!J386-d3П!J381</f>
        <v>0</v>
      </c>
      <c r="K386" s="310">
        <f>'d3'!K386-d3П!K381</f>
        <v>0</v>
      </c>
      <c r="L386" s="310">
        <f>'d3'!L386-d3П!L381</f>
        <v>0</v>
      </c>
      <c r="M386" s="310">
        <f>'d3'!M386-d3П!M381</f>
        <v>0</v>
      </c>
      <c r="N386" s="310">
        <f>'d3'!N386-d3П!N381</f>
        <v>0</v>
      </c>
      <c r="O386" s="310">
        <f>'d3'!O386-d3П!O381</f>
        <v>0</v>
      </c>
      <c r="P386" s="310">
        <f>'d3'!P386-d3П!P381</f>
        <v>-675300</v>
      </c>
      <c r="Q386" s="47"/>
      <c r="R386" s="50"/>
    </row>
    <row r="387" spans="1:18" ht="47.25" hidden="1" thickTop="1" thickBot="1" x14ac:dyDescent="0.25">
      <c r="A387" s="123" t="s">
        <v>1279</v>
      </c>
      <c r="B387" s="123" t="s">
        <v>689</v>
      </c>
      <c r="C387" s="123"/>
      <c r="D387" s="123" t="s">
        <v>690</v>
      </c>
      <c r="E387" s="125">
        <f t="shared" ref="E387:P387" si="81">E388</f>
        <v>0</v>
      </c>
      <c r="F387" s="125">
        <f t="shared" si="81"/>
        <v>0</v>
      </c>
      <c r="G387" s="125">
        <f t="shared" si="81"/>
        <v>0</v>
      </c>
      <c r="H387" s="125">
        <f t="shared" si="81"/>
        <v>0</v>
      </c>
      <c r="I387" s="125">
        <f t="shared" si="81"/>
        <v>0</v>
      </c>
      <c r="J387" s="125">
        <f t="shared" si="81"/>
        <v>0</v>
      </c>
      <c r="K387" s="125">
        <f t="shared" si="81"/>
        <v>0</v>
      </c>
      <c r="L387" s="125">
        <f t="shared" si="81"/>
        <v>0</v>
      </c>
      <c r="M387" s="125">
        <f t="shared" si="81"/>
        <v>0</v>
      </c>
      <c r="N387" s="125">
        <f t="shared" si="81"/>
        <v>0</v>
      </c>
      <c r="O387" s="125">
        <f t="shared" si="81"/>
        <v>0</v>
      </c>
      <c r="P387" s="125">
        <f t="shared" si="81"/>
        <v>0</v>
      </c>
      <c r="Q387" s="47"/>
      <c r="R387" s="50"/>
    </row>
    <row r="388" spans="1:18" ht="91.5" hidden="1" thickTop="1" thickBot="1" x14ac:dyDescent="0.25">
      <c r="A388" s="134" t="s">
        <v>1280</v>
      </c>
      <c r="B388" s="134" t="s">
        <v>509</v>
      </c>
      <c r="C388" s="134" t="s">
        <v>43</v>
      </c>
      <c r="D388" s="134" t="s">
        <v>510</v>
      </c>
      <c r="E388" s="135">
        <f t="shared" ref="E388" si="82">F388</f>
        <v>0</v>
      </c>
      <c r="F388" s="135">
        <v>0</v>
      </c>
      <c r="G388" s="135"/>
      <c r="H388" s="135"/>
      <c r="I388" s="135"/>
      <c r="J388" s="135">
        <f>L388+O388</f>
        <v>0</v>
      </c>
      <c r="K388" s="132"/>
      <c r="L388" s="135"/>
      <c r="M388" s="135"/>
      <c r="N388" s="135"/>
      <c r="O388" s="135">
        <f>(K388+0)</f>
        <v>0</v>
      </c>
      <c r="P388" s="135">
        <f>E388+J388</f>
        <v>0</v>
      </c>
      <c r="Q388" s="47"/>
      <c r="R388" s="50"/>
    </row>
    <row r="389" spans="1:18" ht="120" customHeight="1" thickTop="1" thickBot="1" x14ac:dyDescent="0.25">
      <c r="A389" s="624" t="s">
        <v>165</v>
      </c>
      <c r="B389" s="624"/>
      <c r="C389" s="624"/>
      <c r="D389" s="625" t="s">
        <v>350</v>
      </c>
      <c r="E389" s="626">
        <f>E390</f>
        <v>2013794.0299999993</v>
      </c>
      <c r="F389" s="627">
        <f t="shared" ref="F389:G389" si="83">F390</f>
        <v>2013794.0299999993</v>
      </c>
      <c r="G389" s="627">
        <f t="shared" si="83"/>
        <v>0</v>
      </c>
      <c r="H389" s="627">
        <f>H390</f>
        <v>0</v>
      </c>
      <c r="I389" s="627">
        <f t="shared" ref="I389" si="84">I390</f>
        <v>0</v>
      </c>
      <c r="J389" s="626">
        <f>J390</f>
        <v>0</v>
      </c>
      <c r="K389" s="627">
        <f>K390</f>
        <v>0</v>
      </c>
      <c r="L389" s="627">
        <f>L390</f>
        <v>0</v>
      </c>
      <c r="M389" s="627">
        <f t="shared" ref="M389" si="85">M390</f>
        <v>0</v>
      </c>
      <c r="N389" s="627">
        <f>N390</f>
        <v>0</v>
      </c>
      <c r="O389" s="626">
        <f>O390</f>
        <v>0</v>
      </c>
      <c r="P389" s="627">
        <f t="shared" ref="P389" si="86">P390</f>
        <v>2013794.0299999993</v>
      </c>
      <c r="Q389" s="20"/>
    </row>
    <row r="390" spans="1:18" ht="120" customHeight="1" thickTop="1" thickBot="1" x14ac:dyDescent="0.25">
      <c r="A390" s="588" t="s">
        <v>166</v>
      </c>
      <c r="B390" s="588"/>
      <c r="C390" s="588"/>
      <c r="D390" s="589" t="s">
        <v>351</v>
      </c>
      <c r="E390" s="590">
        <f>E394+E406+E403+E391</f>
        <v>2013794.0299999993</v>
      </c>
      <c r="F390" s="590">
        <f>F394+F406+F403+F391</f>
        <v>2013794.0299999993</v>
      </c>
      <c r="G390" s="590">
        <f>G394+G406+G403+G391</f>
        <v>0</v>
      </c>
      <c r="H390" s="590">
        <f>H394+H406+H403+H391</f>
        <v>0</v>
      </c>
      <c r="I390" s="590">
        <f>I394+I406+I403+I391</f>
        <v>0</v>
      </c>
      <c r="J390" s="590">
        <f>L390+O390</f>
        <v>0</v>
      </c>
      <c r="K390" s="590">
        <f>K394+K406+K403+K391</f>
        <v>0</v>
      </c>
      <c r="L390" s="590">
        <f>L394+L406+L403+L391</f>
        <v>0</v>
      </c>
      <c r="M390" s="590">
        <f>M394+M406+M403+M391</f>
        <v>0</v>
      </c>
      <c r="N390" s="590">
        <f>N394+N406+N403+N391</f>
        <v>0</v>
      </c>
      <c r="O390" s="590">
        <f>O394+O406+O403+O391</f>
        <v>0</v>
      </c>
      <c r="P390" s="590">
        <f>E390+J390</f>
        <v>2013794.0299999993</v>
      </c>
      <c r="Q390" s="452" t="b">
        <f>P390=P392+P393+P396+P398+P399+P405+P402</f>
        <v>1</v>
      </c>
      <c r="R390" s="46"/>
    </row>
    <row r="391" spans="1:18" ht="63" customHeight="1" thickTop="1" thickBot="1" x14ac:dyDescent="0.25">
      <c r="A391" s="298" t="s">
        <v>1258</v>
      </c>
      <c r="B391" s="298" t="s">
        <v>698</v>
      </c>
      <c r="C391" s="298"/>
      <c r="D391" s="298" t="s">
        <v>699</v>
      </c>
      <c r="E391" s="310">
        <f>'d3'!E391-d3П!E386</f>
        <v>0</v>
      </c>
      <c r="F391" s="310">
        <f>'d3'!F391-d3П!F386</f>
        <v>0</v>
      </c>
      <c r="G391" s="310">
        <f>'d3'!G391-d3П!G386</f>
        <v>0</v>
      </c>
      <c r="H391" s="310">
        <f>'d3'!H391-d3П!H386</f>
        <v>0</v>
      </c>
      <c r="I391" s="310">
        <f>'d3'!I391-d3П!I386</f>
        <v>0</v>
      </c>
      <c r="J391" s="310">
        <f>'d3'!J391-d3П!J386</f>
        <v>0</v>
      </c>
      <c r="K391" s="310">
        <f>'d3'!K391-d3П!K386</f>
        <v>0</v>
      </c>
      <c r="L391" s="310">
        <f>'d3'!L391-d3П!L386</f>
        <v>0</v>
      </c>
      <c r="M391" s="310">
        <f>'d3'!M391-d3П!M386</f>
        <v>0</v>
      </c>
      <c r="N391" s="310">
        <f>'d3'!N391-d3П!N386</f>
        <v>0</v>
      </c>
      <c r="O391" s="310">
        <f>'d3'!O391-d3П!O386</f>
        <v>0</v>
      </c>
      <c r="P391" s="310">
        <f>'d3'!P391-d3П!P386</f>
        <v>0</v>
      </c>
      <c r="Q391" s="47"/>
      <c r="R391" s="46"/>
    </row>
    <row r="392" spans="1:18" ht="93" hidden="1" thickTop="1" thickBot="1" x14ac:dyDescent="0.25">
      <c r="A392" s="700" t="s">
        <v>1259</v>
      </c>
      <c r="B392" s="700" t="s">
        <v>1159</v>
      </c>
      <c r="C392" s="700" t="s">
        <v>205</v>
      </c>
      <c r="D392" s="701" t="s">
        <v>1160</v>
      </c>
      <c r="E392" s="310">
        <f>'d3'!E392-d3П!E387</f>
        <v>0</v>
      </c>
      <c r="F392" s="310">
        <f>'d3'!F392-d3П!F387</f>
        <v>0</v>
      </c>
      <c r="G392" s="310">
        <f>'d3'!G392-d3П!G387</f>
        <v>0</v>
      </c>
      <c r="H392" s="310">
        <f>'d3'!H392-d3П!H387</f>
        <v>0</v>
      </c>
      <c r="I392" s="310">
        <f>'d3'!I392-d3П!I387</f>
        <v>0</v>
      </c>
      <c r="J392" s="310">
        <f>'d3'!J392-d3П!J387</f>
        <v>0</v>
      </c>
      <c r="K392" s="310">
        <f>'d3'!K392-d3П!K387</f>
        <v>0</v>
      </c>
      <c r="L392" s="310">
        <f>'d3'!L392-d3П!L387</f>
        <v>0</v>
      </c>
      <c r="M392" s="310">
        <f>'d3'!M392-d3П!M387</f>
        <v>0</v>
      </c>
      <c r="N392" s="310">
        <f>'d3'!N392-d3П!N387</f>
        <v>0</v>
      </c>
      <c r="O392" s="310">
        <f>'d3'!O392-d3П!O387</f>
        <v>0</v>
      </c>
      <c r="P392" s="310">
        <f>'d3'!P392-d3П!P387</f>
        <v>0</v>
      </c>
      <c r="Q392" s="47"/>
      <c r="R392" s="46"/>
    </row>
    <row r="393" spans="1:18" ht="63.75" customHeight="1" thickTop="1" thickBot="1" x14ac:dyDescent="0.25">
      <c r="A393" s="101" t="s">
        <v>1500</v>
      </c>
      <c r="B393" s="101" t="s">
        <v>328</v>
      </c>
      <c r="C393" s="101" t="s">
        <v>190</v>
      </c>
      <c r="D393" s="600" t="s">
        <v>329</v>
      </c>
      <c r="E393" s="310">
        <f>'d3'!E393-d3П!E388</f>
        <v>0</v>
      </c>
      <c r="F393" s="310">
        <f>'d3'!F393-d3П!F388</f>
        <v>0</v>
      </c>
      <c r="G393" s="310">
        <f>'d3'!G393-d3П!G388</f>
        <v>0</v>
      </c>
      <c r="H393" s="310">
        <f>'d3'!H393-d3П!H388</f>
        <v>0</v>
      </c>
      <c r="I393" s="310">
        <f>'d3'!I393-d3П!I388</f>
        <v>0</v>
      </c>
      <c r="J393" s="310">
        <f>'d3'!J393-d3П!J388</f>
        <v>0</v>
      </c>
      <c r="K393" s="310">
        <f>'d3'!K393-d3П!K388</f>
        <v>0</v>
      </c>
      <c r="L393" s="310">
        <f>'d3'!L393-d3П!L388</f>
        <v>0</v>
      </c>
      <c r="M393" s="310">
        <f>'d3'!M393-d3П!M388</f>
        <v>0</v>
      </c>
      <c r="N393" s="310">
        <f>'d3'!N393-d3П!N388</f>
        <v>0</v>
      </c>
      <c r="O393" s="310">
        <f>'d3'!O393-d3П!O388</f>
        <v>0</v>
      </c>
      <c r="P393" s="310">
        <f>'d3'!P393-d3П!P388</f>
        <v>0</v>
      </c>
      <c r="Q393" s="47"/>
      <c r="R393" s="46"/>
    </row>
    <row r="394" spans="1:18" ht="60" customHeight="1" thickTop="1" thickBot="1" x14ac:dyDescent="0.25">
      <c r="A394" s="298" t="s">
        <v>813</v>
      </c>
      <c r="B394" s="298" t="s">
        <v>735</v>
      </c>
      <c r="C394" s="101"/>
      <c r="D394" s="298" t="s">
        <v>780</v>
      </c>
      <c r="E394" s="310">
        <f>'d3'!E394-d3П!E389</f>
        <v>2013794.0299999993</v>
      </c>
      <c r="F394" s="310">
        <f>'d3'!F394-d3П!F389</f>
        <v>2013794.0299999993</v>
      </c>
      <c r="G394" s="310">
        <f>'d3'!G394-d3П!G389</f>
        <v>0</v>
      </c>
      <c r="H394" s="310">
        <f>'d3'!H394-d3П!H389</f>
        <v>0</v>
      </c>
      <c r="I394" s="310">
        <f>'d3'!I394-d3П!I389</f>
        <v>0</v>
      </c>
      <c r="J394" s="310">
        <f>'d3'!J394-d3П!J389</f>
        <v>0</v>
      </c>
      <c r="K394" s="310">
        <f>'d3'!K394-d3П!K389</f>
        <v>0</v>
      </c>
      <c r="L394" s="310">
        <f>'d3'!L394-d3П!L389</f>
        <v>0</v>
      </c>
      <c r="M394" s="310">
        <f>'d3'!M394-d3П!M389</f>
        <v>0</v>
      </c>
      <c r="N394" s="310">
        <f>'d3'!N394-d3П!N389</f>
        <v>0</v>
      </c>
      <c r="O394" s="310">
        <f>'d3'!O394-d3П!O389</f>
        <v>0</v>
      </c>
      <c r="P394" s="310">
        <f>'d3'!P394-d3П!P389</f>
        <v>2013794.0299999993</v>
      </c>
      <c r="Q394" s="47"/>
      <c r="R394" s="46"/>
    </row>
    <row r="395" spans="1:18" ht="63" customHeight="1" thickTop="1" thickBot="1" x14ac:dyDescent="0.25">
      <c r="A395" s="593" t="s">
        <v>983</v>
      </c>
      <c r="B395" s="593" t="s">
        <v>788</v>
      </c>
      <c r="C395" s="593"/>
      <c r="D395" s="593" t="s">
        <v>1623</v>
      </c>
      <c r="E395" s="310">
        <f>'d3'!E395-d3П!E390</f>
        <v>0</v>
      </c>
      <c r="F395" s="310">
        <f>'d3'!F395-d3П!F390</f>
        <v>0</v>
      </c>
      <c r="G395" s="310">
        <f>'d3'!G395-d3П!G390</f>
        <v>0</v>
      </c>
      <c r="H395" s="310">
        <f>'d3'!H395-d3П!H390</f>
        <v>0</v>
      </c>
      <c r="I395" s="310">
        <f>'d3'!I395-d3П!I390</f>
        <v>0</v>
      </c>
      <c r="J395" s="310">
        <f>'d3'!J395-d3П!J390</f>
        <v>0</v>
      </c>
      <c r="K395" s="310">
        <f>'d3'!K395-d3П!K390</f>
        <v>0</v>
      </c>
      <c r="L395" s="310">
        <f>'d3'!L395-d3П!L390</f>
        <v>0</v>
      </c>
      <c r="M395" s="310">
        <f>'d3'!M395-d3П!M390</f>
        <v>0</v>
      </c>
      <c r="N395" s="310">
        <f>'d3'!N395-d3П!N390</f>
        <v>0</v>
      </c>
      <c r="O395" s="310">
        <f>'d3'!O395-d3П!O390</f>
        <v>0</v>
      </c>
      <c r="P395" s="310">
        <f>'d3'!P395-d3П!P390</f>
        <v>0</v>
      </c>
      <c r="Q395" s="47"/>
      <c r="R395" s="46"/>
    </row>
    <row r="396" spans="1:18" ht="57.75" customHeight="1" thickTop="1" thickBot="1" x14ac:dyDescent="0.25">
      <c r="A396" s="101" t="s">
        <v>984</v>
      </c>
      <c r="B396" s="101" t="s">
        <v>347</v>
      </c>
      <c r="C396" s="101" t="s">
        <v>169</v>
      </c>
      <c r="D396" s="101" t="s">
        <v>260</v>
      </c>
      <c r="E396" s="310">
        <f>'d3'!E396-d3П!E391</f>
        <v>0</v>
      </c>
      <c r="F396" s="310">
        <f>'d3'!F396-d3П!F391</f>
        <v>0</v>
      </c>
      <c r="G396" s="310">
        <f>'d3'!G396-d3П!G391</f>
        <v>0</v>
      </c>
      <c r="H396" s="310">
        <f>'d3'!H396-d3П!H391</f>
        <v>0</v>
      </c>
      <c r="I396" s="310">
        <f>'d3'!I396-d3П!I391</f>
        <v>0</v>
      </c>
      <c r="J396" s="310">
        <f>'d3'!J396-d3П!J391</f>
        <v>0</v>
      </c>
      <c r="K396" s="310">
        <f>'d3'!K396-d3П!K391</f>
        <v>0</v>
      </c>
      <c r="L396" s="310">
        <f>'d3'!L396-d3П!L391</f>
        <v>0</v>
      </c>
      <c r="M396" s="310">
        <f>'d3'!M396-d3П!M391</f>
        <v>0</v>
      </c>
      <c r="N396" s="310">
        <f>'d3'!N396-d3П!N391</f>
        <v>0</v>
      </c>
      <c r="O396" s="310">
        <f>'d3'!O396-d3П!O391</f>
        <v>0</v>
      </c>
      <c r="P396" s="310">
        <f>'d3'!P396-d3П!P391</f>
        <v>0</v>
      </c>
      <c r="Q396" s="47"/>
      <c r="R396" s="46"/>
    </row>
    <row r="397" spans="1:18" ht="63" customHeight="1" thickTop="1" thickBot="1" x14ac:dyDescent="0.25">
      <c r="A397" s="593" t="s">
        <v>814</v>
      </c>
      <c r="B397" s="593" t="s">
        <v>679</v>
      </c>
      <c r="C397" s="593"/>
      <c r="D397" s="593" t="s">
        <v>677</v>
      </c>
      <c r="E397" s="310">
        <f>'d3'!E397-d3П!E392</f>
        <v>2013794.0299999993</v>
      </c>
      <c r="F397" s="310">
        <f>'d3'!F397-d3П!F392</f>
        <v>2013794.0299999993</v>
      </c>
      <c r="G397" s="310">
        <f>'d3'!G397-d3П!G392</f>
        <v>0</v>
      </c>
      <c r="H397" s="310">
        <f>'d3'!H397-d3П!H392</f>
        <v>0</v>
      </c>
      <c r="I397" s="310">
        <f>'d3'!I397-d3П!I392</f>
        <v>0</v>
      </c>
      <c r="J397" s="310">
        <f>'d3'!J397-d3П!J392</f>
        <v>0</v>
      </c>
      <c r="K397" s="310">
        <f>'d3'!K397-d3П!K392</f>
        <v>0</v>
      </c>
      <c r="L397" s="310">
        <f>'d3'!L397-d3П!L392</f>
        <v>0</v>
      </c>
      <c r="M397" s="310">
        <f>'d3'!M397-d3П!M392</f>
        <v>0</v>
      </c>
      <c r="N397" s="310">
        <f>'d3'!N397-d3П!N392</f>
        <v>0</v>
      </c>
      <c r="O397" s="310">
        <f>'d3'!O397-d3П!O392</f>
        <v>0</v>
      </c>
      <c r="P397" s="310">
        <f>'d3'!P397-d3П!P392</f>
        <v>2013794.0299999993</v>
      </c>
      <c r="Q397" s="47"/>
      <c r="R397" s="46"/>
    </row>
    <row r="398" spans="1:18" ht="69.75" customHeight="1" thickTop="1" thickBot="1" x14ac:dyDescent="0.25">
      <c r="A398" s="101" t="s">
        <v>258</v>
      </c>
      <c r="B398" s="101" t="s">
        <v>259</v>
      </c>
      <c r="C398" s="101" t="s">
        <v>257</v>
      </c>
      <c r="D398" s="101" t="s">
        <v>256</v>
      </c>
      <c r="E398" s="310">
        <f>'d3'!E398-d3П!E393</f>
        <v>2400000</v>
      </c>
      <c r="F398" s="310">
        <f>'d3'!F398-d3П!F393</f>
        <v>2400000</v>
      </c>
      <c r="G398" s="310">
        <f>'d3'!G398-d3П!G393</f>
        <v>0</v>
      </c>
      <c r="H398" s="310">
        <f>'d3'!H398-d3П!H393</f>
        <v>0</v>
      </c>
      <c r="I398" s="310">
        <f>'d3'!I398-d3П!I393</f>
        <v>0</v>
      </c>
      <c r="J398" s="310">
        <f>'d3'!J398-d3П!J393</f>
        <v>0</v>
      </c>
      <c r="K398" s="310">
        <f>'d3'!K398-d3П!K393</f>
        <v>0</v>
      </c>
      <c r="L398" s="310">
        <f>'d3'!L398-d3П!L393</f>
        <v>0</v>
      </c>
      <c r="M398" s="310">
        <f>'d3'!M398-d3П!M393</f>
        <v>0</v>
      </c>
      <c r="N398" s="310">
        <f>'d3'!N398-d3П!N393</f>
        <v>0</v>
      </c>
      <c r="O398" s="310">
        <f>'d3'!O398-d3П!O393</f>
        <v>0</v>
      </c>
      <c r="P398" s="310">
        <f>'d3'!P398-d3П!P393</f>
        <v>2400000</v>
      </c>
      <c r="Q398" s="20"/>
      <c r="R398" s="46"/>
    </row>
    <row r="399" spans="1:18" ht="60.75" customHeight="1" thickTop="1" thickBot="1" x14ac:dyDescent="0.25">
      <c r="A399" s="101" t="s">
        <v>250</v>
      </c>
      <c r="B399" s="101" t="s">
        <v>252</v>
      </c>
      <c r="C399" s="101" t="s">
        <v>212</v>
      </c>
      <c r="D399" s="101" t="s">
        <v>251</v>
      </c>
      <c r="E399" s="310">
        <f>'d3'!E399-d3П!E394</f>
        <v>-586205.97</v>
      </c>
      <c r="F399" s="310">
        <f>'d3'!F399-d3П!F394</f>
        <v>-586205.97</v>
      </c>
      <c r="G399" s="310">
        <f>'d3'!G399-d3П!G394</f>
        <v>0</v>
      </c>
      <c r="H399" s="310">
        <f>'d3'!H399-d3П!H394</f>
        <v>0</v>
      </c>
      <c r="I399" s="310">
        <f>'d3'!I399-d3П!I394</f>
        <v>0</v>
      </c>
      <c r="J399" s="310">
        <f>'d3'!J399-d3П!J394</f>
        <v>0</v>
      </c>
      <c r="K399" s="310">
        <f>'d3'!K399-d3П!K394</f>
        <v>0</v>
      </c>
      <c r="L399" s="310">
        <f>'d3'!L399-d3П!L394</f>
        <v>0</v>
      </c>
      <c r="M399" s="310">
        <f>'d3'!M399-d3П!M394</f>
        <v>0</v>
      </c>
      <c r="N399" s="310">
        <f>'d3'!N399-d3П!N394</f>
        <v>0</v>
      </c>
      <c r="O399" s="310">
        <f>'d3'!O399-d3П!O394</f>
        <v>0</v>
      </c>
      <c r="P399" s="310">
        <f>'d3'!P399-d3П!P394</f>
        <v>-586205.97</v>
      </c>
      <c r="Q399" s="20"/>
      <c r="R399" s="46"/>
    </row>
    <row r="400" spans="1:18" ht="47.25" hidden="1" thickTop="1" thickBot="1" x14ac:dyDescent="0.25">
      <c r="A400" s="126" t="s">
        <v>1253</v>
      </c>
      <c r="B400" s="126" t="s">
        <v>211</v>
      </c>
      <c r="C400" s="126" t="s">
        <v>212</v>
      </c>
      <c r="D400" s="126" t="s">
        <v>41</v>
      </c>
      <c r="E400" s="310">
        <f>'d3'!E400-d3П!E395</f>
        <v>0</v>
      </c>
      <c r="F400" s="310">
        <f>'d3'!F400-d3П!F395</f>
        <v>0</v>
      </c>
      <c r="G400" s="310">
        <f>'d3'!G400-d3П!G395</f>
        <v>0</v>
      </c>
      <c r="H400" s="310">
        <f>'d3'!H400-d3П!H395</f>
        <v>0</v>
      </c>
      <c r="I400" s="310">
        <f>'d3'!I400-d3П!I395</f>
        <v>0</v>
      </c>
      <c r="J400" s="310">
        <f>'d3'!J400-d3П!J395</f>
        <v>0</v>
      </c>
      <c r="K400" s="310">
        <f>'d3'!K400-d3П!K395</f>
        <v>0</v>
      </c>
      <c r="L400" s="310">
        <f>'d3'!L400-d3П!L395</f>
        <v>0</v>
      </c>
      <c r="M400" s="310">
        <f>'d3'!M400-d3П!M395</f>
        <v>0</v>
      </c>
      <c r="N400" s="310">
        <f>'d3'!N400-d3П!N395</f>
        <v>0</v>
      </c>
      <c r="O400" s="310">
        <f>'d3'!O400-d3П!O395</f>
        <v>0</v>
      </c>
      <c r="P400" s="310">
        <f>'d3'!P400-d3П!P395</f>
        <v>0</v>
      </c>
      <c r="Q400" s="20"/>
      <c r="R400" s="46"/>
    </row>
    <row r="401" spans="1:18" ht="74.25" customHeight="1" thickTop="1" thickBot="1" x14ac:dyDescent="0.25">
      <c r="A401" s="729" t="s">
        <v>815</v>
      </c>
      <c r="B401" s="729" t="s">
        <v>682</v>
      </c>
      <c r="C401" s="729"/>
      <c r="D401" s="729" t="s">
        <v>680</v>
      </c>
      <c r="E401" s="310">
        <f>'d3'!E401-d3П!E396</f>
        <v>200000</v>
      </c>
      <c r="F401" s="310">
        <f>'d3'!F401-d3П!F396</f>
        <v>200000</v>
      </c>
      <c r="G401" s="310">
        <f>'d3'!G401-d3П!G396</f>
        <v>0</v>
      </c>
      <c r="H401" s="310">
        <f>'d3'!H401-d3П!H396</f>
        <v>0</v>
      </c>
      <c r="I401" s="310">
        <f>'d3'!I401-d3П!I396</f>
        <v>0</v>
      </c>
      <c r="J401" s="310">
        <f>'d3'!J401-d3П!J396</f>
        <v>0</v>
      </c>
      <c r="K401" s="310">
        <f>'d3'!K401-d3П!K396</f>
        <v>0</v>
      </c>
      <c r="L401" s="310">
        <f>'d3'!L401-d3П!L396</f>
        <v>0</v>
      </c>
      <c r="M401" s="310">
        <f>'d3'!M401-d3П!M396</f>
        <v>0</v>
      </c>
      <c r="N401" s="310">
        <f>'d3'!N401-d3П!N396</f>
        <v>0</v>
      </c>
      <c r="O401" s="310">
        <f>'d3'!O401-d3П!O396</f>
        <v>0</v>
      </c>
      <c r="P401" s="310">
        <f>'d3'!P401-d3П!P396</f>
        <v>200000</v>
      </c>
      <c r="Q401" s="20"/>
      <c r="R401" s="46"/>
    </row>
    <row r="402" spans="1:18" ht="87" customHeight="1" thickTop="1" thickBot="1" x14ac:dyDescent="0.25">
      <c r="A402" s="709" t="s">
        <v>254</v>
      </c>
      <c r="B402" s="709" t="s">
        <v>255</v>
      </c>
      <c r="C402" s="709" t="s">
        <v>169</v>
      </c>
      <c r="D402" s="709" t="s">
        <v>253</v>
      </c>
      <c r="E402" s="310">
        <f>'d3'!E402-d3П!E397</f>
        <v>200000</v>
      </c>
      <c r="F402" s="310">
        <f>'d3'!F402-d3П!F397</f>
        <v>200000</v>
      </c>
      <c r="G402" s="310">
        <f>'d3'!G402-d3П!G397</f>
        <v>0</v>
      </c>
      <c r="H402" s="310">
        <f>'d3'!H402-d3П!H397</f>
        <v>0</v>
      </c>
      <c r="I402" s="310">
        <f>'d3'!I402-d3П!I397</f>
        <v>0</v>
      </c>
      <c r="J402" s="310">
        <f>'d3'!J402-d3П!J397</f>
        <v>0</v>
      </c>
      <c r="K402" s="310">
        <f>'d3'!K402-d3П!K397</f>
        <v>0</v>
      </c>
      <c r="L402" s="310">
        <f>'d3'!L402-d3П!L397</f>
        <v>0</v>
      </c>
      <c r="M402" s="310">
        <f>'d3'!M402-d3П!M397</f>
        <v>0</v>
      </c>
      <c r="N402" s="310">
        <f>'d3'!N402-d3П!N397</f>
        <v>0</v>
      </c>
      <c r="O402" s="310">
        <f>'d3'!O402-d3П!O397</f>
        <v>0</v>
      </c>
      <c r="P402" s="310">
        <f>'d3'!P402-d3П!P397</f>
        <v>200000</v>
      </c>
      <c r="Q402" s="20"/>
      <c r="R402" s="46"/>
    </row>
    <row r="403" spans="1:18" ht="47.25" hidden="1" thickTop="1" thickBot="1" x14ac:dyDescent="0.25">
      <c r="A403" s="702" t="s">
        <v>1255</v>
      </c>
      <c r="B403" s="702" t="s">
        <v>684</v>
      </c>
      <c r="C403" s="702"/>
      <c r="D403" s="702" t="s">
        <v>685</v>
      </c>
      <c r="E403" s="310">
        <f t="shared" ref="E403:P404" si="87">E404</f>
        <v>0</v>
      </c>
      <c r="F403" s="310">
        <f t="shared" si="87"/>
        <v>0</v>
      </c>
      <c r="G403" s="310">
        <f t="shared" si="87"/>
        <v>0</v>
      </c>
      <c r="H403" s="310">
        <f t="shared" si="87"/>
        <v>0</v>
      </c>
      <c r="I403" s="310">
        <f t="shared" si="87"/>
        <v>0</v>
      </c>
      <c r="J403" s="310">
        <f t="shared" si="87"/>
        <v>0</v>
      </c>
      <c r="K403" s="310">
        <f t="shared" si="87"/>
        <v>0</v>
      </c>
      <c r="L403" s="310">
        <f t="shared" si="87"/>
        <v>0</v>
      </c>
      <c r="M403" s="310">
        <f t="shared" si="87"/>
        <v>0</v>
      </c>
      <c r="N403" s="310">
        <f t="shared" si="87"/>
        <v>0</v>
      </c>
      <c r="O403" s="310">
        <f t="shared" si="87"/>
        <v>0</v>
      </c>
      <c r="P403" s="310">
        <f t="shared" si="87"/>
        <v>0</v>
      </c>
      <c r="Q403" s="20"/>
      <c r="R403" s="46"/>
    </row>
    <row r="404" spans="1:18" ht="47.25" hidden="1" thickTop="1" thickBot="1" x14ac:dyDescent="0.25">
      <c r="A404" s="703" t="s">
        <v>1256</v>
      </c>
      <c r="B404" s="703" t="s">
        <v>1145</v>
      </c>
      <c r="C404" s="703"/>
      <c r="D404" s="703" t="s">
        <v>1143</v>
      </c>
      <c r="E404" s="595">
        <f t="shared" si="87"/>
        <v>0</v>
      </c>
      <c r="F404" s="595">
        <f t="shared" si="87"/>
        <v>0</v>
      </c>
      <c r="G404" s="595">
        <f t="shared" si="87"/>
        <v>0</v>
      </c>
      <c r="H404" s="595">
        <f t="shared" si="87"/>
        <v>0</v>
      </c>
      <c r="I404" s="595">
        <f t="shared" si="87"/>
        <v>0</v>
      </c>
      <c r="J404" s="595">
        <f t="shared" si="87"/>
        <v>0</v>
      </c>
      <c r="K404" s="595">
        <f t="shared" si="87"/>
        <v>0</v>
      </c>
      <c r="L404" s="595">
        <f t="shared" si="87"/>
        <v>0</v>
      </c>
      <c r="M404" s="595">
        <f t="shared" si="87"/>
        <v>0</v>
      </c>
      <c r="N404" s="595">
        <f t="shared" si="87"/>
        <v>0</v>
      </c>
      <c r="O404" s="595">
        <f t="shared" si="87"/>
        <v>0</v>
      </c>
      <c r="P404" s="595">
        <f t="shared" si="87"/>
        <v>0</v>
      </c>
      <c r="Q404" s="20"/>
      <c r="R404" s="46"/>
    </row>
    <row r="405" spans="1:18" ht="48" hidden="1" thickTop="1" thickBot="1" x14ac:dyDescent="0.25">
      <c r="A405" s="700" t="s">
        <v>1257</v>
      </c>
      <c r="B405" s="700" t="s">
        <v>1149</v>
      </c>
      <c r="C405" s="700" t="s">
        <v>1147</v>
      </c>
      <c r="D405" s="700" t="s">
        <v>1146</v>
      </c>
      <c r="E405" s="310">
        <f>F405</f>
        <v>0</v>
      </c>
      <c r="F405" s="425">
        <f>(200000)-200000</f>
        <v>0</v>
      </c>
      <c r="G405" s="425"/>
      <c r="H405" s="425"/>
      <c r="I405" s="425"/>
      <c r="J405" s="310">
        <f>L405+O405</f>
        <v>0</v>
      </c>
      <c r="K405" s="425">
        <f>(100000)-100000</f>
        <v>0</v>
      </c>
      <c r="L405" s="425"/>
      <c r="M405" s="425"/>
      <c r="N405" s="425"/>
      <c r="O405" s="422">
        <f>K405</f>
        <v>0</v>
      </c>
      <c r="P405" s="310">
        <f>E405+J405</f>
        <v>0</v>
      </c>
      <c r="Q405" s="20"/>
      <c r="R405" s="46"/>
    </row>
    <row r="406" spans="1:18" ht="47.25" hidden="1" thickTop="1" thickBot="1" x14ac:dyDescent="0.25">
      <c r="A406" s="123" t="s">
        <v>888</v>
      </c>
      <c r="B406" s="123" t="s">
        <v>689</v>
      </c>
      <c r="C406" s="123"/>
      <c r="D406" s="123" t="s">
        <v>690</v>
      </c>
      <c r="E406" s="125">
        <f>E407</f>
        <v>0</v>
      </c>
      <c r="F406" s="125">
        <f t="shared" ref="F406:P407" si="88">F407</f>
        <v>0</v>
      </c>
      <c r="G406" s="125">
        <f t="shared" si="88"/>
        <v>0</v>
      </c>
      <c r="H406" s="125">
        <f t="shared" si="88"/>
        <v>0</v>
      </c>
      <c r="I406" s="125">
        <f t="shared" si="88"/>
        <v>0</v>
      </c>
      <c r="J406" s="125">
        <f t="shared" si="88"/>
        <v>0</v>
      </c>
      <c r="K406" s="125">
        <f t="shared" si="88"/>
        <v>0</v>
      </c>
      <c r="L406" s="125">
        <f t="shared" si="88"/>
        <v>0</v>
      </c>
      <c r="M406" s="125">
        <f t="shared" si="88"/>
        <v>0</v>
      </c>
      <c r="N406" s="125">
        <f t="shared" si="88"/>
        <v>0</v>
      </c>
      <c r="O406" s="125">
        <f t="shared" si="88"/>
        <v>0</v>
      </c>
      <c r="P406" s="125">
        <f t="shared" si="88"/>
        <v>0</v>
      </c>
      <c r="Q406" s="20"/>
      <c r="R406" s="46"/>
    </row>
    <row r="407" spans="1:18" ht="91.5" hidden="1" thickTop="1" thickBot="1" x14ac:dyDescent="0.25">
      <c r="A407" s="134" t="s">
        <v>889</v>
      </c>
      <c r="B407" s="134" t="s">
        <v>692</v>
      </c>
      <c r="C407" s="134"/>
      <c r="D407" s="134" t="s">
        <v>693</v>
      </c>
      <c r="E407" s="135">
        <f>E408</f>
        <v>0</v>
      </c>
      <c r="F407" s="135">
        <f t="shared" si="88"/>
        <v>0</v>
      </c>
      <c r="G407" s="135">
        <f t="shared" si="88"/>
        <v>0</v>
      </c>
      <c r="H407" s="135">
        <f t="shared" si="88"/>
        <v>0</v>
      </c>
      <c r="I407" s="135">
        <f t="shared" si="88"/>
        <v>0</v>
      </c>
      <c r="J407" s="135">
        <f t="shared" si="88"/>
        <v>0</v>
      </c>
      <c r="K407" s="135">
        <f t="shared" si="88"/>
        <v>0</v>
      </c>
      <c r="L407" s="135">
        <f t="shared" si="88"/>
        <v>0</v>
      </c>
      <c r="M407" s="135">
        <f t="shared" si="88"/>
        <v>0</v>
      </c>
      <c r="N407" s="135">
        <f t="shared" si="88"/>
        <v>0</v>
      </c>
      <c r="O407" s="135">
        <f t="shared" si="88"/>
        <v>0</v>
      </c>
      <c r="P407" s="135">
        <f t="shared" si="88"/>
        <v>0</v>
      </c>
      <c r="Q407" s="20"/>
      <c r="R407" s="46"/>
    </row>
    <row r="408" spans="1:18" ht="48" hidden="1" thickTop="1" thickBot="1" x14ac:dyDescent="0.25">
      <c r="A408" s="126" t="s">
        <v>890</v>
      </c>
      <c r="B408" s="126" t="s">
        <v>359</v>
      </c>
      <c r="C408" s="126" t="s">
        <v>43</v>
      </c>
      <c r="D408" s="126" t="s">
        <v>360</v>
      </c>
      <c r="E408" s="125">
        <f t="shared" ref="E408" si="89">F408</f>
        <v>0</v>
      </c>
      <c r="F408" s="132"/>
      <c r="G408" s="132"/>
      <c r="H408" s="132"/>
      <c r="I408" s="132"/>
      <c r="J408" s="125">
        <f>L408+O408</f>
        <v>0</v>
      </c>
      <c r="K408" s="132"/>
      <c r="L408" s="132"/>
      <c r="M408" s="132"/>
      <c r="N408" s="132"/>
      <c r="O408" s="130">
        <f>K408</f>
        <v>0</v>
      </c>
      <c r="P408" s="125">
        <f>E408+J408</f>
        <v>0</v>
      </c>
      <c r="Q408" s="20"/>
      <c r="R408" s="46"/>
    </row>
    <row r="409" spans="1:18" ht="120" customHeight="1" thickTop="1" thickBot="1" x14ac:dyDescent="0.25">
      <c r="A409" s="624" t="s">
        <v>163</v>
      </c>
      <c r="B409" s="624"/>
      <c r="C409" s="624"/>
      <c r="D409" s="625" t="s">
        <v>869</v>
      </c>
      <c r="E409" s="626">
        <f>E410</f>
        <v>655780</v>
      </c>
      <c r="F409" s="627">
        <f t="shared" ref="F409:G409" si="90">F410</f>
        <v>655780</v>
      </c>
      <c r="G409" s="627">
        <f t="shared" si="90"/>
        <v>540300</v>
      </c>
      <c r="H409" s="627">
        <f>H410</f>
        <v>35080</v>
      </c>
      <c r="I409" s="627">
        <f t="shared" ref="I409" si="91">I410</f>
        <v>0</v>
      </c>
      <c r="J409" s="626">
        <f>J410</f>
        <v>0</v>
      </c>
      <c r="K409" s="627">
        <f>K410</f>
        <v>0</v>
      </c>
      <c r="L409" s="627">
        <f>L410</f>
        <v>-101210</v>
      </c>
      <c r="M409" s="627">
        <f t="shared" ref="M409" si="92">M410</f>
        <v>0</v>
      </c>
      <c r="N409" s="627">
        <f>N410</f>
        <v>0</v>
      </c>
      <c r="O409" s="626">
        <f>O410</f>
        <v>101210</v>
      </c>
      <c r="P409" s="627">
        <f t="shared" ref="P409" si="93">P410</f>
        <v>655780</v>
      </c>
      <c r="Q409" s="20"/>
    </row>
    <row r="410" spans="1:18" ht="120" customHeight="1" thickTop="1" thickBot="1" x14ac:dyDescent="0.25">
      <c r="A410" s="588" t="s">
        <v>164</v>
      </c>
      <c r="B410" s="588"/>
      <c r="C410" s="588"/>
      <c r="D410" s="589" t="s">
        <v>868</v>
      </c>
      <c r="E410" s="590">
        <f>E411+E414+E417</f>
        <v>655780</v>
      </c>
      <c r="F410" s="590">
        <f t="shared" ref="F410:P410" si="94">F411+F414+F417</f>
        <v>655780</v>
      </c>
      <c r="G410" s="590">
        <f>G411+G414+G417</f>
        <v>540300</v>
      </c>
      <c r="H410" s="590">
        <f t="shared" si="94"/>
        <v>35080</v>
      </c>
      <c r="I410" s="590">
        <f t="shared" si="94"/>
        <v>0</v>
      </c>
      <c r="J410" s="590">
        <f>J411+J414+J417</f>
        <v>0</v>
      </c>
      <c r="K410" s="590">
        <f t="shared" si="94"/>
        <v>0</v>
      </c>
      <c r="L410" s="590">
        <f>L411+L414+L417</f>
        <v>-101210</v>
      </c>
      <c r="M410" s="590">
        <f t="shared" si="94"/>
        <v>0</v>
      </c>
      <c r="N410" s="590">
        <f t="shared" si="94"/>
        <v>0</v>
      </c>
      <c r="O410" s="590">
        <f t="shared" si="94"/>
        <v>101210</v>
      </c>
      <c r="P410" s="590">
        <f t="shared" si="94"/>
        <v>655780</v>
      </c>
      <c r="Q410" s="452" t="b">
        <f>P410=P412+P416</f>
        <v>1</v>
      </c>
      <c r="R410" s="46"/>
    </row>
    <row r="411" spans="1:18" ht="47.25" thickTop="1" thickBot="1" x14ac:dyDescent="0.25">
      <c r="A411" s="298" t="s">
        <v>816</v>
      </c>
      <c r="B411" s="298" t="s">
        <v>672</v>
      </c>
      <c r="C411" s="298"/>
      <c r="D411" s="298" t="s">
        <v>673</v>
      </c>
      <c r="E411" s="310">
        <f>'d3'!E411-d3П!E406</f>
        <v>655780</v>
      </c>
      <c r="F411" s="310">
        <f>'d3'!F411-d3П!F406</f>
        <v>655780</v>
      </c>
      <c r="G411" s="310">
        <f>'d3'!G411-d3П!G406</f>
        <v>540300</v>
      </c>
      <c r="H411" s="310">
        <f>'d3'!H411-d3П!H406</f>
        <v>35080</v>
      </c>
      <c r="I411" s="310">
        <f>'d3'!I411-d3П!I406</f>
        <v>0</v>
      </c>
      <c r="J411" s="310">
        <f>'d3'!J411-d3П!J406</f>
        <v>0</v>
      </c>
      <c r="K411" s="310">
        <f>'d3'!K411-d3П!K406</f>
        <v>0</v>
      </c>
      <c r="L411" s="310">
        <f>'d3'!L411-d3П!L406</f>
        <v>0</v>
      </c>
      <c r="M411" s="310">
        <f>'d3'!M411-d3П!M406</f>
        <v>0</v>
      </c>
      <c r="N411" s="310">
        <f>'d3'!N411-d3П!N406</f>
        <v>0</v>
      </c>
      <c r="O411" s="310">
        <f>'d3'!O411-d3П!O406</f>
        <v>0</v>
      </c>
      <c r="P411" s="310">
        <f>'d3'!P411-d3П!P406</f>
        <v>655780</v>
      </c>
      <c r="Q411" s="47"/>
      <c r="R411" s="46"/>
    </row>
    <row r="412" spans="1:18" ht="93" thickTop="1" thickBot="1" x14ac:dyDescent="0.25">
      <c r="A412" s="101" t="s">
        <v>417</v>
      </c>
      <c r="B412" s="101" t="s">
        <v>235</v>
      </c>
      <c r="C412" s="101" t="s">
        <v>233</v>
      </c>
      <c r="D412" s="101" t="s">
        <v>234</v>
      </c>
      <c r="E412" s="310">
        <f>'d3'!E412-d3П!E407</f>
        <v>655780</v>
      </c>
      <c r="F412" s="310">
        <f>'d3'!F412-d3П!F407</f>
        <v>655780</v>
      </c>
      <c r="G412" s="310">
        <f>'d3'!G412-d3П!G407</f>
        <v>540300</v>
      </c>
      <c r="H412" s="310">
        <f>'d3'!H412-d3П!H407</f>
        <v>35080</v>
      </c>
      <c r="I412" s="310">
        <f>'d3'!I412-d3П!I407</f>
        <v>0</v>
      </c>
      <c r="J412" s="310">
        <f>'d3'!J412-d3П!J407</f>
        <v>0</v>
      </c>
      <c r="K412" s="310">
        <f>'d3'!K412-d3П!K407</f>
        <v>0</v>
      </c>
      <c r="L412" s="310">
        <f>'d3'!L412-d3П!L407</f>
        <v>0</v>
      </c>
      <c r="M412" s="310">
        <f>'d3'!M412-d3П!M407</f>
        <v>0</v>
      </c>
      <c r="N412" s="310">
        <f>'d3'!N412-d3П!N407</f>
        <v>0</v>
      </c>
      <c r="O412" s="310">
        <f>'d3'!O412-d3П!O407</f>
        <v>0</v>
      </c>
      <c r="P412" s="310">
        <f>'d3'!P412-d3П!P407</f>
        <v>655780</v>
      </c>
      <c r="Q412" s="47"/>
      <c r="R412" s="46"/>
    </row>
    <row r="413" spans="1:18" ht="93" hidden="1" thickTop="1" thickBot="1" x14ac:dyDescent="0.25">
      <c r="A413" s="41" t="s">
        <v>624</v>
      </c>
      <c r="B413" s="41" t="s">
        <v>358</v>
      </c>
      <c r="C413" s="41" t="s">
        <v>616</v>
      </c>
      <c r="D413" s="41" t="s">
        <v>617</v>
      </c>
      <c r="E413" s="310">
        <f>'d3'!E413-d3П!E408</f>
        <v>0</v>
      </c>
      <c r="F413" s="310">
        <f>'d3'!F413-d3П!F408</f>
        <v>0</v>
      </c>
      <c r="G413" s="310">
        <f>'d3'!G413-d3П!G408</f>
        <v>0</v>
      </c>
      <c r="H413" s="310">
        <f>'d3'!H413-d3П!H408</f>
        <v>0</v>
      </c>
      <c r="I413" s="310">
        <f>'d3'!I413-d3П!I408</f>
        <v>0</v>
      </c>
      <c r="J413" s="310">
        <f>'d3'!J413-d3П!J408</f>
        <v>0</v>
      </c>
      <c r="K413" s="310">
        <f>'d3'!K413-d3П!K408</f>
        <v>0</v>
      </c>
      <c r="L413" s="310">
        <f>'d3'!L413-d3П!L408</f>
        <v>0</v>
      </c>
      <c r="M413" s="310">
        <f>'d3'!M413-d3П!M408</f>
        <v>0</v>
      </c>
      <c r="N413" s="310">
        <f>'d3'!N413-d3П!N408</f>
        <v>0</v>
      </c>
      <c r="O413" s="310">
        <f>'d3'!O413-d3П!O408</f>
        <v>0</v>
      </c>
      <c r="P413" s="310">
        <f>'d3'!P413-d3П!P408</f>
        <v>0</v>
      </c>
      <c r="Q413" s="47"/>
      <c r="R413" s="46"/>
    </row>
    <row r="414" spans="1:18" ht="47.25" thickTop="1" thickBot="1" x14ac:dyDescent="0.25">
      <c r="A414" s="298" t="s">
        <v>817</v>
      </c>
      <c r="B414" s="298" t="s">
        <v>684</v>
      </c>
      <c r="C414" s="298"/>
      <c r="D414" s="298" t="s">
        <v>685</v>
      </c>
      <c r="E414" s="310">
        <f>'d3'!E414-d3П!E409</f>
        <v>0</v>
      </c>
      <c r="F414" s="310">
        <f>'d3'!F414-d3П!F409</f>
        <v>0</v>
      </c>
      <c r="G414" s="310">
        <f>'d3'!G414-d3П!G409</f>
        <v>0</v>
      </c>
      <c r="H414" s="310">
        <f>'d3'!H414-d3П!H409</f>
        <v>0</v>
      </c>
      <c r="I414" s="310">
        <f>'d3'!I414-d3П!I409</f>
        <v>0</v>
      </c>
      <c r="J414" s="310">
        <f>'d3'!J414-d3П!J409</f>
        <v>0</v>
      </c>
      <c r="K414" s="310">
        <f>'d3'!K414-d3П!K409</f>
        <v>0</v>
      </c>
      <c r="L414" s="310">
        <f>'d3'!L414-d3П!L409</f>
        <v>-101210</v>
      </c>
      <c r="M414" s="310">
        <f>'d3'!M414-d3П!M409</f>
        <v>0</v>
      </c>
      <c r="N414" s="310">
        <f>'d3'!N414-d3П!N409</f>
        <v>0</v>
      </c>
      <c r="O414" s="310">
        <f>'d3'!O414-d3П!O409</f>
        <v>101210</v>
      </c>
      <c r="P414" s="310">
        <f>'d3'!P414-d3П!P409</f>
        <v>0</v>
      </c>
      <c r="Q414" s="47"/>
      <c r="R414" s="46"/>
    </row>
    <row r="415" spans="1:18" ht="47.25" thickTop="1" thickBot="1" x14ac:dyDescent="0.25">
      <c r="A415" s="593" t="s">
        <v>818</v>
      </c>
      <c r="B415" s="593" t="s">
        <v>819</v>
      </c>
      <c r="C415" s="593"/>
      <c r="D415" s="593" t="s">
        <v>820</v>
      </c>
      <c r="E415" s="310">
        <f>'d3'!E415-d3П!E410</f>
        <v>0</v>
      </c>
      <c r="F415" s="310">
        <f>'d3'!F415-d3П!F410</f>
        <v>0</v>
      </c>
      <c r="G415" s="310">
        <f>'d3'!G415-d3П!G410</f>
        <v>0</v>
      </c>
      <c r="H415" s="310">
        <f>'d3'!H415-d3П!H410</f>
        <v>0</v>
      </c>
      <c r="I415" s="310">
        <f>'d3'!I415-d3П!I410</f>
        <v>0</v>
      </c>
      <c r="J415" s="310">
        <f>'d3'!J415-d3П!J410</f>
        <v>0</v>
      </c>
      <c r="K415" s="310">
        <f>'d3'!K415-d3П!K410</f>
        <v>0</v>
      </c>
      <c r="L415" s="310">
        <f>'d3'!L415-d3П!L410</f>
        <v>-101210</v>
      </c>
      <c r="M415" s="310">
        <f>'d3'!M415-d3П!M410</f>
        <v>0</v>
      </c>
      <c r="N415" s="310">
        <f>'d3'!N415-d3П!N410</f>
        <v>0</v>
      </c>
      <c r="O415" s="310">
        <f>'d3'!O415-d3П!O410</f>
        <v>101210</v>
      </c>
      <c r="P415" s="310">
        <f>'d3'!P415-d3П!P410</f>
        <v>0</v>
      </c>
      <c r="Q415" s="47"/>
      <c r="R415" s="46"/>
    </row>
    <row r="416" spans="1:18" ht="47.25" thickTop="1" thickBot="1" x14ac:dyDescent="0.25">
      <c r="A416" s="101" t="s">
        <v>1089</v>
      </c>
      <c r="B416" s="101" t="s">
        <v>1090</v>
      </c>
      <c r="C416" s="101" t="s">
        <v>51</v>
      </c>
      <c r="D416" s="101" t="s">
        <v>1091</v>
      </c>
      <c r="E416" s="310">
        <f>'d3'!E416-d3П!E411</f>
        <v>0</v>
      </c>
      <c r="F416" s="310">
        <f>'d3'!F416-d3П!F411</f>
        <v>0</v>
      </c>
      <c r="G416" s="310">
        <f>'d3'!G416-d3П!G411</f>
        <v>0</v>
      </c>
      <c r="H416" s="310">
        <f>'d3'!H416-d3П!H411</f>
        <v>0</v>
      </c>
      <c r="I416" s="310">
        <f>'d3'!I416-d3П!I411</f>
        <v>0</v>
      </c>
      <c r="J416" s="310">
        <f>'d3'!J416-d3П!J411</f>
        <v>0</v>
      </c>
      <c r="K416" s="310">
        <f>'d3'!K416-d3П!K411</f>
        <v>0</v>
      </c>
      <c r="L416" s="310">
        <f>'d3'!L416-d3П!L411</f>
        <v>-101210</v>
      </c>
      <c r="M416" s="310">
        <f>'d3'!M416-d3П!M411</f>
        <v>0</v>
      </c>
      <c r="N416" s="310">
        <f>'d3'!N416-d3П!N411</f>
        <v>0</v>
      </c>
      <c r="O416" s="310">
        <f>'d3'!O416-d3П!O411</f>
        <v>101210</v>
      </c>
      <c r="P416" s="310">
        <f>'d3'!P416-d3П!P411</f>
        <v>0</v>
      </c>
      <c r="Q416" s="452" t="b">
        <f>J416='d9'!F27</f>
        <v>0</v>
      </c>
    </row>
    <row r="417" spans="1:19" ht="47.25" hidden="1" thickTop="1" thickBot="1" x14ac:dyDescent="0.25">
      <c r="A417" s="123" t="s">
        <v>1207</v>
      </c>
      <c r="B417" s="123" t="s">
        <v>689</v>
      </c>
      <c r="C417" s="123"/>
      <c r="D417" s="123" t="s">
        <v>690</v>
      </c>
      <c r="E417" s="125">
        <f t="shared" ref="E417:P417" si="95">E418</f>
        <v>0</v>
      </c>
      <c r="F417" s="125">
        <f t="shared" si="95"/>
        <v>0</v>
      </c>
      <c r="G417" s="125">
        <f t="shared" si="95"/>
        <v>0</v>
      </c>
      <c r="H417" s="125">
        <f t="shared" si="95"/>
        <v>0</v>
      </c>
      <c r="I417" s="125">
        <f t="shared" si="95"/>
        <v>0</v>
      </c>
      <c r="J417" s="125">
        <f t="shared" si="95"/>
        <v>0</v>
      </c>
      <c r="K417" s="125">
        <f t="shared" si="95"/>
        <v>0</v>
      </c>
      <c r="L417" s="125">
        <f t="shared" si="95"/>
        <v>0</v>
      </c>
      <c r="M417" s="125">
        <f t="shared" si="95"/>
        <v>0</v>
      </c>
      <c r="N417" s="125">
        <f t="shared" si="95"/>
        <v>0</v>
      </c>
      <c r="O417" s="125">
        <f t="shared" si="95"/>
        <v>0</v>
      </c>
      <c r="P417" s="125">
        <f t="shared" si="95"/>
        <v>0</v>
      </c>
      <c r="Q417" s="47"/>
    </row>
    <row r="418" spans="1:19" ht="91.5" hidden="1" thickTop="1" thickBot="1" x14ac:dyDescent="0.25">
      <c r="A418" s="134" t="s">
        <v>1206</v>
      </c>
      <c r="B418" s="134" t="s">
        <v>509</v>
      </c>
      <c r="C418" s="134" t="s">
        <v>43</v>
      </c>
      <c r="D418" s="134" t="s">
        <v>510</v>
      </c>
      <c r="E418" s="135">
        <f t="shared" ref="E418" si="96">F418</f>
        <v>0</v>
      </c>
      <c r="F418" s="135">
        <v>0</v>
      </c>
      <c r="G418" s="135"/>
      <c r="H418" s="135"/>
      <c r="I418" s="135"/>
      <c r="J418" s="135">
        <f>L418+O418</f>
        <v>0</v>
      </c>
      <c r="K418" s="132">
        <v>0</v>
      </c>
      <c r="L418" s="135"/>
      <c r="M418" s="135"/>
      <c r="N418" s="135"/>
      <c r="O418" s="135">
        <f>(K418+0)</f>
        <v>0</v>
      </c>
      <c r="P418" s="135">
        <f>E418+J418</f>
        <v>0</v>
      </c>
      <c r="Q418" s="47"/>
    </row>
    <row r="419" spans="1:19" ht="120" customHeight="1" thickTop="1" thickBot="1" x14ac:dyDescent="0.25">
      <c r="A419" s="624" t="s">
        <v>161</v>
      </c>
      <c r="B419" s="624"/>
      <c r="C419" s="624"/>
      <c r="D419" s="625" t="s">
        <v>878</v>
      </c>
      <c r="E419" s="626">
        <f>E420</f>
        <v>1570320</v>
      </c>
      <c r="F419" s="627">
        <f t="shared" ref="F419:G419" si="97">F420</f>
        <v>1570320</v>
      </c>
      <c r="G419" s="627">
        <f t="shared" si="97"/>
        <v>1221220</v>
      </c>
      <c r="H419" s="627">
        <f>H420</f>
        <v>38000</v>
      </c>
      <c r="I419" s="627">
        <f t="shared" ref="I419" si="98">I420</f>
        <v>0</v>
      </c>
      <c r="J419" s="626">
        <f>J420</f>
        <v>0</v>
      </c>
      <c r="K419" s="627">
        <f>K420</f>
        <v>0</v>
      </c>
      <c r="L419" s="627">
        <f>L420</f>
        <v>0</v>
      </c>
      <c r="M419" s="627">
        <f t="shared" ref="M419" si="99">M420</f>
        <v>0</v>
      </c>
      <c r="N419" s="627">
        <f>N420</f>
        <v>0</v>
      </c>
      <c r="O419" s="626">
        <f>O420</f>
        <v>0</v>
      </c>
      <c r="P419" s="627">
        <f t="shared" ref="P419" si="100">P420</f>
        <v>1570320</v>
      </c>
      <c r="Q419" s="20"/>
    </row>
    <row r="420" spans="1:19" ht="120" customHeight="1" thickTop="1" thickBot="1" x14ac:dyDescent="0.25">
      <c r="A420" s="588" t="s">
        <v>162</v>
      </c>
      <c r="B420" s="588"/>
      <c r="C420" s="588"/>
      <c r="D420" s="589" t="s">
        <v>877</v>
      </c>
      <c r="E420" s="590">
        <f>E421+E423</f>
        <v>1570320</v>
      </c>
      <c r="F420" s="590">
        <f t="shared" ref="F420:I420" si="101">F421+F423</f>
        <v>1570320</v>
      </c>
      <c r="G420" s="590">
        <f t="shared" si="101"/>
        <v>1221220</v>
      </c>
      <c r="H420" s="590">
        <f t="shared" si="101"/>
        <v>38000</v>
      </c>
      <c r="I420" s="590">
        <f t="shared" si="101"/>
        <v>0</v>
      </c>
      <c r="J420" s="590">
        <f>L420+O420</f>
        <v>0</v>
      </c>
      <c r="K420" s="590">
        <f t="shared" ref="K420:O420" si="102">K421+K423</f>
        <v>0</v>
      </c>
      <c r="L420" s="590">
        <f t="shared" si="102"/>
        <v>0</v>
      </c>
      <c r="M420" s="590">
        <f t="shared" si="102"/>
        <v>0</v>
      </c>
      <c r="N420" s="590">
        <f t="shared" si="102"/>
        <v>0</v>
      </c>
      <c r="O420" s="590">
        <f t="shared" si="102"/>
        <v>0</v>
      </c>
      <c r="P420" s="590">
        <f>E420+J420</f>
        <v>1570320</v>
      </c>
      <c r="Q420" s="452" t="b">
        <f>P420=P422+P425+P427</f>
        <v>1</v>
      </c>
      <c r="R420" s="45"/>
    </row>
    <row r="421" spans="1:19" ht="47.25" thickTop="1" thickBot="1" x14ac:dyDescent="0.25">
      <c r="A421" s="298" t="s">
        <v>821</v>
      </c>
      <c r="B421" s="298" t="s">
        <v>672</v>
      </c>
      <c r="C421" s="298"/>
      <c r="D421" s="298" t="s">
        <v>673</v>
      </c>
      <c r="E421" s="310">
        <f>'d3'!E421-d3П!E416</f>
        <v>1570320</v>
      </c>
      <c r="F421" s="310">
        <f>'d3'!F421-d3П!F416</f>
        <v>1570320</v>
      </c>
      <c r="G421" s="310">
        <f>'d3'!G421-d3П!G416</f>
        <v>1221220</v>
      </c>
      <c r="H421" s="310">
        <f>'d3'!H421-d3П!H416</f>
        <v>38000</v>
      </c>
      <c r="I421" s="310">
        <f>'d3'!I421-d3П!I416</f>
        <v>0</v>
      </c>
      <c r="J421" s="310">
        <f>'d3'!J421-d3П!J416</f>
        <v>0</v>
      </c>
      <c r="K421" s="310">
        <f>'d3'!K421-d3П!K416</f>
        <v>0</v>
      </c>
      <c r="L421" s="310">
        <f>'d3'!L421-d3П!L416</f>
        <v>0</v>
      </c>
      <c r="M421" s="310">
        <f>'d3'!M421-d3П!M416</f>
        <v>0</v>
      </c>
      <c r="N421" s="310">
        <f>'d3'!N421-d3П!N416</f>
        <v>0</v>
      </c>
      <c r="O421" s="310">
        <f>'d3'!O421-d3П!O416</f>
        <v>0</v>
      </c>
      <c r="P421" s="310">
        <f>'d3'!P421-d3П!P416</f>
        <v>1570320</v>
      </c>
      <c r="Q421" s="47"/>
      <c r="R421" s="45"/>
    </row>
    <row r="422" spans="1:19" ht="93" thickTop="1" thickBot="1" x14ac:dyDescent="0.25">
      <c r="A422" s="101" t="s">
        <v>413</v>
      </c>
      <c r="B422" s="101" t="s">
        <v>235</v>
      </c>
      <c r="C422" s="101" t="s">
        <v>233</v>
      </c>
      <c r="D422" s="101" t="s">
        <v>234</v>
      </c>
      <c r="E422" s="310">
        <f>'d3'!E422-d3П!E417</f>
        <v>1570320</v>
      </c>
      <c r="F422" s="310">
        <f>'d3'!F422-d3П!F417</f>
        <v>1570320</v>
      </c>
      <c r="G422" s="310">
        <f>'d3'!G422-d3П!G417</f>
        <v>1221220</v>
      </c>
      <c r="H422" s="310">
        <f>'d3'!H422-d3П!H417</f>
        <v>38000</v>
      </c>
      <c r="I422" s="310">
        <f>'d3'!I422-d3П!I417</f>
        <v>0</v>
      </c>
      <c r="J422" s="310">
        <f>'d3'!J422-d3П!J417</f>
        <v>0</v>
      </c>
      <c r="K422" s="310">
        <f>'d3'!K422-d3П!K417</f>
        <v>0</v>
      </c>
      <c r="L422" s="310">
        <f>'d3'!L422-d3П!L417</f>
        <v>0</v>
      </c>
      <c r="M422" s="310">
        <f>'d3'!M422-d3П!M417</f>
        <v>0</v>
      </c>
      <c r="N422" s="310">
        <f>'d3'!N422-d3П!N417</f>
        <v>0</v>
      </c>
      <c r="O422" s="310">
        <f>'d3'!O422-d3П!O417</f>
        <v>0</v>
      </c>
      <c r="P422" s="310">
        <f>'d3'!P422-d3П!P417</f>
        <v>1570320</v>
      </c>
      <c r="Q422" s="20"/>
      <c r="R422" s="45"/>
    </row>
    <row r="423" spans="1:19" ht="47.25" thickTop="1" thickBot="1" x14ac:dyDescent="0.25">
      <c r="A423" s="298" t="s">
        <v>822</v>
      </c>
      <c r="B423" s="298" t="s">
        <v>735</v>
      </c>
      <c r="C423" s="101"/>
      <c r="D423" s="298" t="s">
        <v>780</v>
      </c>
      <c r="E423" s="310">
        <f>'d3'!E423-d3П!E418</f>
        <v>0</v>
      </c>
      <c r="F423" s="310">
        <f>'d3'!F423-d3П!F418</f>
        <v>0</v>
      </c>
      <c r="G423" s="310">
        <f>'d3'!G423-d3П!G418</f>
        <v>0</v>
      </c>
      <c r="H423" s="310">
        <f>'d3'!H423-d3П!H418</f>
        <v>0</v>
      </c>
      <c r="I423" s="310">
        <f>'d3'!I423-d3П!I418</f>
        <v>0</v>
      </c>
      <c r="J423" s="310">
        <f>'d3'!J423-d3П!J418</f>
        <v>0</v>
      </c>
      <c r="K423" s="310">
        <f>'d3'!K423-d3П!K418</f>
        <v>0</v>
      </c>
      <c r="L423" s="310">
        <f>'d3'!L423-d3П!L418</f>
        <v>0</v>
      </c>
      <c r="M423" s="310">
        <f>'d3'!M423-d3П!M418</f>
        <v>0</v>
      </c>
      <c r="N423" s="310">
        <f>'d3'!N423-d3П!N418</f>
        <v>0</v>
      </c>
      <c r="O423" s="310">
        <f>'d3'!O423-d3П!O418</f>
        <v>0</v>
      </c>
      <c r="P423" s="310">
        <f>'d3'!P423-d3П!P418</f>
        <v>0</v>
      </c>
      <c r="Q423" s="20"/>
      <c r="R423" s="47"/>
    </row>
    <row r="424" spans="1:19" ht="47.25" thickTop="1" thickBot="1" x14ac:dyDescent="0.25">
      <c r="A424" s="593" t="s">
        <v>823</v>
      </c>
      <c r="B424" s="593" t="s">
        <v>824</v>
      </c>
      <c r="C424" s="593"/>
      <c r="D424" s="593" t="s">
        <v>825</v>
      </c>
      <c r="E424" s="310">
        <f>'d3'!E424-d3П!E419</f>
        <v>0</v>
      </c>
      <c r="F424" s="310">
        <f>'d3'!F424-d3П!F419</f>
        <v>0</v>
      </c>
      <c r="G424" s="310">
        <f>'d3'!G424-d3П!G419</f>
        <v>0</v>
      </c>
      <c r="H424" s="310">
        <f>'d3'!H424-d3П!H419</f>
        <v>0</v>
      </c>
      <c r="I424" s="310">
        <f>'d3'!I424-d3П!I419</f>
        <v>0</v>
      </c>
      <c r="J424" s="310">
        <f>'d3'!J424-d3П!J419</f>
        <v>0</v>
      </c>
      <c r="K424" s="310">
        <f>'d3'!K424-d3П!K419</f>
        <v>0</v>
      </c>
      <c r="L424" s="310">
        <f>'d3'!L424-d3П!L419</f>
        <v>0</v>
      </c>
      <c r="M424" s="310">
        <f>'d3'!M424-d3П!M419</f>
        <v>0</v>
      </c>
      <c r="N424" s="310">
        <f>'d3'!N424-d3П!N419</f>
        <v>0</v>
      </c>
      <c r="O424" s="310">
        <f>'d3'!O424-d3П!O419</f>
        <v>0</v>
      </c>
      <c r="P424" s="310">
        <f>'d3'!P424-d3П!P419</f>
        <v>0</v>
      </c>
      <c r="Q424" s="20"/>
      <c r="R424" s="47"/>
    </row>
    <row r="425" spans="1:19" ht="47.25" thickTop="1" thickBot="1" x14ac:dyDescent="0.25">
      <c r="A425" s="101" t="s">
        <v>304</v>
      </c>
      <c r="B425" s="101" t="s">
        <v>305</v>
      </c>
      <c r="C425" s="101" t="s">
        <v>306</v>
      </c>
      <c r="D425" s="101" t="s">
        <v>456</v>
      </c>
      <c r="E425" s="310">
        <f>'d3'!E425-d3П!E420</f>
        <v>0</v>
      </c>
      <c r="F425" s="310">
        <f>'d3'!F425-d3П!F420</f>
        <v>0</v>
      </c>
      <c r="G425" s="310">
        <f>'d3'!G425-d3П!G420</f>
        <v>0</v>
      </c>
      <c r="H425" s="310">
        <f>'d3'!H425-d3П!H420</f>
        <v>0</v>
      </c>
      <c r="I425" s="310">
        <f>'d3'!I425-d3П!I420</f>
        <v>0</v>
      </c>
      <c r="J425" s="310">
        <f>'d3'!J425-d3П!J420</f>
        <v>0</v>
      </c>
      <c r="K425" s="310">
        <f>'d3'!K425-d3П!K420</f>
        <v>0</v>
      </c>
      <c r="L425" s="310">
        <f>'d3'!L425-d3П!L420</f>
        <v>0</v>
      </c>
      <c r="M425" s="310">
        <f>'d3'!M425-d3П!M420</f>
        <v>0</v>
      </c>
      <c r="N425" s="310">
        <f>'d3'!N425-d3П!N420</f>
        <v>0</v>
      </c>
      <c r="O425" s="310">
        <f>'d3'!O425-d3П!O420</f>
        <v>0</v>
      </c>
      <c r="P425" s="310">
        <f>'d3'!P425-d3П!P420</f>
        <v>0</v>
      </c>
      <c r="Q425" s="20"/>
      <c r="R425" s="45"/>
    </row>
    <row r="426" spans="1:19" ht="47.25" thickTop="1" thickBot="1" x14ac:dyDescent="0.25">
      <c r="A426" s="593" t="s">
        <v>826</v>
      </c>
      <c r="B426" s="593" t="s">
        <v>679</v>
      </c>
      <c r="C426" s="101"/>
      <c r="D426" s="593" t="s">
        <v>827</v>
      </c>
      <c r="E426" s="310">
        <f>'d3'!E426-d3П!E421</f>
        <v>0</v>
      </c>
      <c r="F426" s="310">
        <f>'d3'!F426-d3П!F421</f>
        <v>0</v>
      </c>
      <c r="G426" s="310">
        <f>'d3'!G426-d3П!G421</f>
        <v>0</v>
      </c>
      <c r="H426" s="310">
        <f>'d3'!H426-d3П!H421</f>
        <v>0</v>
      </c>
      <c r="I426" s="310">
        <f>'d3'!I426-d3П!I421</f>
        <v>0</v>
      </c>
      <c r="J426" s="310">
        <f>'d3'!J426-d3П!J421</f>
        <v>0</v>
      </c>
      <c r="K426" s="310">
        <f>'d3'!K426-d3П!K421</f>
        <v>0</v>
      </c>
      <c r="L426" s="310">
        <f>'d3'!L426-d3П!L421</f>
        <v>0</v>
      </c>
      <c r="M426" s="310">
        <f>'d3'!M426-d3П!M421</f>
        <v>0</v>
      </c>
      <c r="N426" s="310">
        <f>'d3'!N426-d3П!N421</f>
        <v>0</v>
      </c>
      <c r="O426" s="310">
        <f>'d3'!O426-d3П!O421</f>
        <v>0</v>
      </c>
      <c r="P426" s="310">
        <f>'d3'!P426-d3П!P421</f>
        <v>0</v>
      </c>
      <c r="Q426" s="20"/>
    </row>
    <row r="427" spans="1:19" ht="47.25" thickTop="1" thickBot="1" x14ac:dyDescent="0.25">
      <c r="A427" s="101" t="s">
        <v>364</v>
      </c>
      <c r="B427" s="101" t="s">
        <v>365</v>
      </c>
      <c r="C427" s="101" t="s">
        <v>169</v>
      </c>
      <c r="D427" s="101" t="s">
        <v>366</v>
      </c>
      <c r="E427" s="310">
        <f>'d3'!E427-d3П!E422</f>
        <v>0</v>
      </c>
      <c r="F427" s="310">
        <f>'d3'!F427-d3П!F422</f>
        <v>0</v>
      </c>
      <c r="G427" s="310">
        <f>'d3'!G427-d3П!G422</f>
        <v>0</v>
      </c>
      <c r="H427" s="310">
        <f>'d3'!H427-d3П!H422</f>
        <v>0</v>
      </c>
      <c r="I427" s="310">
        <f>'d3'!I427-d3П!I422</f>
        <v>0</v>
      </c>
      <c r="J427" s="310">
        <f>'d3'!J427-d3П!J422</f>
        <v>0</v>
      </c>
      <c r="K427" s="310">
        <f>'d3'!K427-d3П!K422</f>
        <v>0</v>
      </c>
      <c r="L427" s="310">
        <f>'d3'!L427-d3П!L422</f>
        <v>0</v>
      </c>
      <c r="M427" s="310">
        <f>'d3'!M427-d3П!M422</f>
        <v>0</v>
      </c>
      <c r="N427" s="310">
        <f>'d3'!N427-d3П!N422</f>
        <v>0</v>
      </c>
      <c r="O427" s="310">
        <f>'d3'!O427-d3П!O422</f>
        <v>0</v>
      </c>
      <c r="P427" s="310">
        <f>'d3'!P427-d3П!P422</f>
        <v>0</v>
      </c>
      <c r="Q427" s="20"/>
      <c r="R427" s="45"/>
    </row>
    <row r="428" spans="1:19" ht="120" customHeight="1" thickTop="1" thickBot="1" x14ac:dyDescent="0.25">
      <c r="A428" s="624" t="s">
        <v>167</v>
      </c>
      <c r="B428" s="624"/>
      <c r="C428" s="624"/>
      <c r="D428" s="625" t="s">
        <v>27</v>
      </c>
      <c r="E428" s="626">
        <f>E429</f>
        <v>713655.37999999896</v>
      </c>
      <c r="F428" s="627">
        <f t="shared" ref="F428:G428" si="103">F429</f>
        <v>713655.37999999896</v>
      </c>
      <c r="G428" s="627">
        <f t="shared" si="103"/>
        <v>140000</v>
      </c>
      <c r="H428" s="627">
        <f>H429</f>
        <v>0</v>
      </c>
      <c r="I428" s="627">
        <f t="shared" ref="I428" si="104">I429</f>
        <v>0</v>
      </c>
      <c r="J428" s="626">
        <f>J429</f>
        <v>95000</v>
      </c>
      <c r="K428" s="627">
        <f>K429</f>
        <v>95000</v>
      </c>
      <c r="L428" s="627">
        <f>L429</f>
        <v>0</v>
      </c>
      <c r="M428" s="627">
        <f t="shared" ref="M428" si="105">M429</f>
        <v>0</v>
      </c>
      <c r="N428" s="627">
        <f>N429</f>
        <v>0</v>
      </c>
      <c r="O428" s="626">
        <f>O429</f>
        <v>95000</v>
      </c>
      <c r="P428" s="627">
        <f t="shared" ref="P428" si="106">P429</f>
        <v>808655.37999999896</v>
      </c>
      <c r="Q428" s="20"/>
    </row>
    <row r="429" spans="1:19" ht="120" customHeight="1" thickTop="1" thickBot="1" x14ac:dyDescent="0.25">
      <c r="A429" s="588" t="s">
        <v>168</v>
      </c>
      <c r="B429" s="588"/>
      <c r="C429" s="588"/>
      <c r="D429" s="589" t="s">
        <v>40</v>
      </c>
      <c r="E429" s="590">
        <f>E430+E436+E443+E433</f>
        <v>713655.37999999896</v>
      </c>
      <c r="F429" s="590">
        <f t="shared" ref="F429:P429" si="107">F430+F436+F443+F433</f>
        <v>713655.37999999896</v>
      </c>
      <c r="G429" s="590">
        <f t="shared" si="107"/>
        <v>140000</v>
      </c>
      <c r="H429" s="590">
        <f t="shared" si="107"/>
        <v>0</v>
      </c>
      <c r="I429" s="590">
        <f t="shared" si="107"/>
        <v>0</v>
      </c>
      <c r="J429" s="590">
        <f t="shared" si="107"/>
        <v>95000</v>
      </c>
      <c r="K429" s="590">
        <f t="shared" si="107"/>
        <v>95000</v>
      </c>
      <c r="L429" s="590">
        <f t="shared" si="107"/>
        <v>0</v>
      </c>
      <c r="M429" s="590">
        <f t="shared" si="107"/>
        <v>0</v>
      </c>
      <c r="N429" s="590">
        <f t="shared" si="107"/>
        <v>0</v>
      </c>
      <c r="O429" s="590">
        <f t="shared" si="107"/>
        <v>95000</v>
      </c>
      <c r="P429" s="590">
        <f t="shared" si="107"/>
        <v>808655.37999999896</v>
      </c>
      <c r="Q429" s="452" t="b">
        <f>P429=P431+P437+P439+P445</f>
        <v>0</v>
      </c>
      <c r="R429" s="45"/>
    </row>
    <row r="430" spans="1:19" ht="47.25" thickTop="1" thickBot="1" x14ac:dyDescent="0.25">
      <c r="A430" s="298" t="s">
        <v>828</v>
      </c>
      <c r="B430" s="298" t="s">
        <v>672</v>
      </c>
      <c r="C430" s="298"/>
      <c r="D430" s="298" t="s">
        <v>673</v>
      </c>
      <c r="E430" s="310">
        <f>'d3'!E430-d3П!E425</f>
        <v>177000</v>
      </c>
      <c r="F430" s="310">
        <f>'d3'!F430-d3П!F425</f>
        <v>177000</v>
      </c>
      <c r="G430" s="310">
        <f>'d3'!G430-d3П!G425</f>
        <v>140000</v>
      </c>
      <c r="H430" s="310">
        <f>'d3'!H430-d3П!H425</f>
        <v>0</v>
      </c>
      <c r="I430" s="310">
        <f>'d3'!I430-d3П!I425</f>
        <v>0</v>
      </c>
      <c r="J430" s="310">
        <f>'d3'!J430-d3П!J425</f>
        <v>95000</v>
      </c>
      <c r="K430" s="310">
        <f>'d3'!K430-d3П!K425</f>
        <v>95000</v>
      </c>
      <c r="L430" s="310">
        <f>'d3'!L430-d3П!L425</f>
        <v>0</v>
      </c>
      <c r="M430" s="310">
        <f>'d3'!M430-d3П!M425</f>
        <v>0</v>
      </c>
      <c r="N430" s="310">
        <f>'d3'!N430-d3П!N425</f>
        <v>0</v>
      </c>
      <c r="O430" s="310">
        <f>'d3'!O430-d3П!O425</f>
        <v>95000</v>
      </c>
      <c r="P430" s="310">
        <f>'d3'!P430-d3П!P425</f>
        <v>272000</v>
      </c>
      <c r="Q430" s="47"/>
      <c r="R430" s="50"/>
    </row>
    <row r="431" spans="1:19" ht="93" thickTop="1" thickBot="1" x14ac:dyDescent="0.25">
      <c r="A431" s="101" t="s">
        <v>415</v>
      </c>
      <c r="B431" s="101" t="s">
        <v>235</v>
      </c>
      <c r="C431" s="101" t="s">
        <v>233</v>
      </c>
      <c r="D431" s="101" t="s">
        <v>234</v>
      </c>
      <c r="E431" s="310">
        <f>'d3'!E431-d3П!E426</f>
        <v>177000</v>
      </c>
      <c r="F431" s="310">
        <f>'d3'!F431-d3П!F426</f>
        <v>177000</v>
      </c>
      <c r="G431" s="310">
        <f>'d3'!G431-d3П!G426</f>
        <v>140000</v>
      </c>
      <c r="H431" s="310">
        <f>'d3'!H431-d3П!H426</f>
        <v>0</v>
      </c>
      <c r="I431" s="310">
        <f>'d3'!I431-d3П!I426</f>
        <v>0</v>
      </c>
      <c r="J431" s="310">
        <f>'d3'!J431-d3П!J426</f>
        <v>95000</v>
      </c>
      <c r="K431" s="310">
        <f>'d3'!K431-d3П!K426</f>
        <v>95000</v>
      </c>
      <c r="L431" s="310">
        <f>'d3'!L431-d3П!L426</f>
        <v>0</v>
      </c>
      <c r="M431" s="310">
        <f>'d3'!M431-d3П!M426</f>
        <v>0</v>
      </c>
      <c r="N431" s="310">
        <f>'d3'!N431-d3П!N426</f>
        <v>0</v>
      </c>
      <c r="O431" s="310">
        <f>'d3'!O431-d3П!O426</f>
        <v>95000</v>
      </c>
      <c r="P431" s="310">
        <f>'d3'!P431-d3П!P426</f>
        <v>272000</v>
      </c>
      <c r="Q431" s="47"/>
      <c r="R431" s="50"/>
      <c r="S431" s="47"/>
    </row>
    <row r="432" spans="1:19" ht="93" hidden="1" thickTop="1" thickBot="1" x14ac:dyDescent="0.25">
      <c r="A432" s="126" t="s">
        <v>625</v>
      </c>
      <c r="B432" s="126" t="s">
        <v>358</v>
      </c>
      <c r="C432" s="126" t="s">
        <v>616</v>
      </c>
      <c r="D432" s="126" t="s">
        <v>617</v>
      </c>
      <c r="E432" s="310">
        <f>'d3'!E432-d3П!E427</f>
        <v>0</v>
      </c>
      <c r="F432" s="310">
        <f>'d3'!F432-d3П!F427</f>
        <v>0</v>
      </c>
      <c r="G432" s="310">
        <f>'d3'!G432-d3П!G427</f>
        <v>0</v>
      </c>
      <c r="H432" s="310">
        <f>'d3'!H432-d3П!H427</f>
        <v>0</v>
      </c>
      <c r="I432" s="310">
        <f>'d3'!I432-d3П!I427</f>
        <v>0</v>
      </c>
      <c r="J432" s="310">
        <f>'d3'!J432-d3П!J427</f>
        <v>0</v>
      </c>
      <c r="K432" s="310">
        <f>'d3'!K432-d3П!K427</f>
        <v>0</v>
      </c>
      <c r="L432" s="310">
        <f>'d3'!L432-d3П!L427</f>
        <v>0</v>
      </c>
      <c r="M432" s="310">
        <f>'d3'!M432-d3П!M427</f>
        <v>0</v>
      </c>
      <c r="N432" s="310">
        <f>'d3'!N432-d3П!N427</f>
        <v>0</v>
      </c>
      <c r="O432" s="310">
        <f>'d3'!O432-d3П!O427</f>
        <v>0</v>
      </c>
      <c r="P432" s="310">
        <f>'d3'!P432-d3П!P427</f>
        <v>0</v>
      </c>
      <c r="Q432" s="47"/>
      <c r="R432" s="50"/>
    </row>
    <row r="433" spans="1:18" ht="47.25" hidden="1" thickTop="1" thickBot="1" x14ac:dyDescent="0.25">
      <c r="A433" s="134" t="s">
        <v>1163</v>
      </c>
      <c r="B433" s="134" t="s">
        <v>679</v>
      </c>
      <c r="C433" s="134"/>
      <c r="D433" s="134" t="s">
        <v>677</v>
      </c>
      <c r="E433" s="310">
        <f>'d3'!E433-d3П!E428</f>
        <v>0</v>
      </c>
      <c r="F433" s="310">
        <f>'d3'!F433-d3П!F428</f>
        <v>0</v>
      </c>
      <c r="G433" s="310">
        <f>'d3'!G433-d3П!G428</f>
        <v>0</v>
      </c>
      <c r="H433" s="310">
        <f>'d3'!H433-d3П!H428</f>
        <v>0</v>
      </c>
      <c r="I433" s="310">
        <f>'d3'!I433-d3П!I428</f>
        <v>0</v>
      </c>
      <c r="J433" s="310">
        <f>'d3'!J433-d3П!J428</f>
        <v>0</v>
      </c>
      <c r="K433" s="310">
        <f>'d3'!K433-d3П!K428</f>
        <v>0</v>
      </c>
      <c r="L433" s="310">
        <f>'d3'!L433-d3П!L428</f>
        <v>0</v>
      </c>
      <c r="M433" s="310">
        <f>'d3'!M433-d3П!M428</f>
        <v>0</v>
      </c>
      <c r="N433" s="310">
        <f>'d3'!N433-d3П!N428</f>
        <v>0</v>
      </c>
      <c r="O433" s="310">
        <f>'d3'!O433-d3П!O428</f>
        <v>0</v>
      </c>
      <c r="P433" s="310">
        <f>'d3'!P433-d3П!P428</f>
        <v>0</v>
      </c>
      <c r="Q433" s="47"/>
      <c r="R433" s="50"/>
    </row>
    <row r="434" spans="1:18" ht="47.25" hidden="1" thickTop="1" thickBot="1" x14ac:dyDescent="0.25">
      <c r="A434" s="138" t="s">
        <v>1164</v>
      </c>
      <c r="B434" s="138" t="s">
        <v>682</v>
      </c>
      <c r="C434" s="138"/>
      <c r="D434" s="138" t="s">
        <v>680</v>
      </c>
      <c r="E434" s="310">
        <f>'d3'!E434-d3П!E429</f>
        <v>0</v>
      </c>
      <c r="F434" s="310">
        <f>'d3'!F434-d3П!F429</f>
        <v>0</v>
      </c>
      <c r="G434" s="310">
        <f>'d3'!G434-d3П!G429</f>
        <v>0</v>
      </c>
      <c r="H434" s="310">
        <f>'d3'!H434-d3П!H429</f>
        <v>0</v>
      </c>
      <c r="I434" s="310">
        <f>'d3'!I434-d3П!I429</f>
        <v>0</v>
      </c>
      <c r="J434" s="310">
        <f>'d3'!J434-d3П!J429</f>
        <v>0</v>
      </c>
      <c r="K434" s="310">
        <f>'d3'!K434-d3П!K429</f>
        <v>0</v>
      </c>
      <c r="L434" s="310">
        <f>'d3'!L434-d3П!L429</f>
        <v>0</v>
      </c>
      <c r="M434" s="310">
        <f>'d3'!M434-d3П!M429</f>
        <v>0</v>
      </c>
      <c r="N434" s="310">
        <f>'d3'!N434-d3П!N429</f>
        <v>0</v>
      </c>
      <c r="O434" s="310">
        <f>'d3'!O434-d3П!O429</f>
        <v>0</v>
      </c>
      <c r="P434" s="310">
        <f>'d3'!P434-d3П!P429</f>
        <v>0</v>
      </c>
      <c r="Q434" s="47"/>
      <c r="R434" s="50"/>
    </row>
    <row r="435" spans="1:18" ht="47.25" hidden="1" thickTop="1" thickBot="1" x14ac:dyDescent="0.25">
      <c r="A435" s="126" t="s">
        <v>1165</v>
      </c>
      <c r="B435" s="126" t="s">
        <v>255</v>
      </c>
      <c r="C435" s="126" t="s">
        <v>169</v>
      </c>
      <c r="D435" s="126" t="s">
        <v>253</v>
      </c>
      <c r="E435" s="310">
        <f>'d3'!E435-d3П!E430</f>
        <v>0</v>
      </c>
      <c r="F435" s="310">
        <f>'d3'!F435-d3П!F430</f>
        <v>0</v>
      </c>
      <c r="G435" s="310">
        <f>'d3'!G435-d3П!G430</f>
        <v>0</v>
      </c>
      <c r="H435" s="310">
        <f>'d3'!H435-d3П!H430</f>
        <v>0</v>
      </c>
      <c r="I435" s="310">
        <f>'d3'!I435-d3П!I430</f>
        <v>0</v>
      </c>
      <c r="J435" s="310">
        <f>'d3'!J435-d3П!J430</f>
        <v>0</v>
      </c>
      <c r="K435" s="310">
        <f>'d3'!K435-d3П!K430</f>
        <v>0</v>
      </c>
      <c r="L435" s="310">
        <f>'d3'!L435-d3П!L430</f>
        <v>0</v>
      </c>
      <c r="M435" s="310">
        <f>'d3'!M435-d3П!M430</f>
        <v>0</v>
      </c>
      <c r="N435" s="310">
        <f>'d3'!N435-d3П!N430</f>
        <v>0</v>
      </c>
      <c r="O435" s="310">
        <f>'d3'!O435-d3П!O430</f>
        <v>0</v>
      </c>
      <c r="P435" s="310">
        <f>'d3'!P435-d3П!P430</f>
        <v>0</v>
      </c>
      <c r="Q435" s="47"/>
      <c r="R435" s="50"/>
    </row>
    <row r="436" spans="1:18" ht="47.25" thickTop="1" thickBot="1" x14ac:dyDescent="0.25">
      <c r="A436" s="298" t="s">
        <v>829</v>
      </c>
      <c r="B436" s="298" t="s">
        <v>684</v>
      </c>
      <c r="C436" s="298"/>
      <c r="D436" s="298" t="s">
        <v>685</v>
      </c>
      <c r="E436" s="310">
        <f>'d3'!E436-d3П!E431</f>
        <v>536655.37999999896</v>
      </c>
      <c r="F436" s="310">
        <f>'d3'!F436-d3П!F431</f>
        <v>536655.37999999896</v>
      </c>
      <c r="G436" s="310">
        <f>'d3'!G436-d3П!G431</f>
        <v>0</v>
      </c>
      <c r="H436" s="310">
        <f>'d3'!H436-d3П!H431</f>
        <v>0</v>
      </c>
      <c r="I436" s="310">
        <f>'d3'!I436-d3П!I431</f>
        <v>0</v>
      </c>
      <c r="J436" s="310">
        <f>'d3'!J436-d3П!J431</f>
        <v>0</v>
      </c>
      <c r="K436" s="310">
        <f>'d3'!K436-d3П!K431</f>
        <v>0</v>
      </c>
      <c r="L436" s="310">
        <f>'d3'!L436-d3П!L431</f>
        <v>0</v>
      </c>
      <c r="M436" s="310">
        <f>'d3'!M436-d3П!M431</f>
        <v>0</v>
      </c>
      <c r="N436" s="310">
        <f>'d3'!N436-d3П!N431</f>
        <v>0</v>
      </c>
      <c r="O436" s="310">
        <f>'d3'!O436-d3П!O431</f>
        <v>0</v>
      </c>
      <c r="P436" s="310">
        <f>'d3'!P436-d3П!P431</f>
        <v>536655.37999999896</v>
      </c>
      <c r="Q436" s="47"/>
      <c r="R436" s="50"/>
    </row>
    <row r="437" spans="1:18" ht="47.25" thickTop="1" thickBot="1" x14ac:dyDescent="0.25">
      <c r="A437" s="644">
        <v>3718600</v>
      </c>
      <c r="B437" s="644">
        <v>8600</v>
      </c>
      <c r="C437" s="593" t="s">
        <v>358</v>
      </c>
      <c r="D437" s="644" t="s">
        <v>447</v>
      </c>
      <c r="E437" s="310">
        <f>'d3'!E437-d3П!E432</f>
        <v>0</v>
      </c>
      <c r="F437" s="310">
        <f>'d3'!F437-d3П!F432</f>
        <v>0</v>
      </c>
      <c r="G437" s="310">
        <f>'d3'!G437-d3П!G432</f>
        <v>0</v>
      </c>
      <c r="H437" s="310">
        <f>'d3'!H437-d3П!H432</f>
        <v>0</v>
      </c>
      <c r="I437" s="310">
        <f>'d3'!I437-d3П!I432</f>
        <v>0</v>
      </c>
      <c r="J437" s="310">
        <f>'d3'!J437-d3П!J432</f>
        <v>0</v>
      </c>
      <c r="K437" s="310">
        <f>'d3'!K437-d3П!K432</f>
        <v>0</v>
      </c>
      <c r="L437" s="310">
        <f>'d3'!L437-d3П!L432</f>
        <v>0</v>
      </c>
      <c r="M437" s="310">
        <f>'d3'!M437-d3П!M432</f>
        <v>0</v>
      </c>
      <c r="N437" s="310">
        <f>'d3'!N437-d3П!N432</f>
        <v>0</v>
      </c>
      <c r="O437" s="310">
        <f>'d3'!O437-d3П!O432</f>
        <v>0</v>
      </c>
      <c r="P437" s="310">
        <f>'d3'!P437-d3П!P432</f>
        <v>0</v>
      </c>
      <c r="Q437" s="20"/>
    </row>
    <row r="438" spans="1:18" ht="47.25" thickTop="1" thickBot="1" x14ac:dyDescent="0.25">
      <c r="A438" s="644">
        <v>3718700</v>
      </c>
      <c r="B438" s="644">
        <v>8700</v>
      </c>
      <c r="C438" s="593"/>
      <c r="D438" s="644" t="s">
        <v>830</v>
      </c>
      <c r="E438" s="310">
        <f>'d3'!E438-d3П!E433</f>
        <v>536655.37999999989</v>
      </c>
      <c r="F438" s="310">
        <f>'d3'!F438-d3П!F433</f>
        <v>536655.37999999989</v>
      </c>
      <c r="G438" s="310">
        <f>'d3'!G438-d3П!G433</f>
        <v>0</v>
      </c>
      <c r="H438" s="310">
        <f>'d3'!H438-d3П!H433</f>
        <v>0</v>
      </c>
      <c r="I438" s="310">
        <f>'d3'!I438-d3П!I433</f>
        <v>0</v>
      </c>
      <c r="J438" s="310">
        <f>'d3'!J438-d3П!J433</f>
        <v>0</v>
      </c>
      <c r="K438" s="310">
        <f>'d3'!K438-d3П!K433</f>
        <v>0</v>
      </c>
      <c r="L438" s="310">
        <f>'d3'!L438-d3П!L433</f>
        <v>0</v>
      </c>
      <c r="M438" s="310">
        <f>'d3'!M438-d3П!M433</f>
        <v>0</v>
      </c>
      <c r="N438" s="310">
        <f>'d3'!N438-d3П!N433</f>
        <v>0</v>
      </c>
      <c r="O438" s="310">
        <f>'d3'!O438-d3П!O433</f>
        <v>0</v>
      </c>
      <c r="P438" s="310">
        <f>'d3'!P438-d3П!P433</f>
        <v>536655.37999999989</v>
      </c>
      <c r="Q438" s="20"/>
    </row>
    <row r="439" spans="1:18" ht="69" customHeight="1" thickTop="1" thickBot="1" x14ac:dyDescent="0.25">
      <c r="A439" s="311">
        <v>3718710</v>
      </c>
      <c r="B439" s="311">
        <v>8710</v>
      </c>
      <c r="C439" s="101" t="s">
        <v>42</v>
      </c>
      <c r="D439" s="600" t="s">
        <v>631</v>
      </c>
      <c r="E439" s="310">
        <f>'d3'!E439-d3П!E434</f>
        <v>536655.37999999989</v>
      </c>
      <c r="F439" s="310">
        <f>'d3'!F439-d3П!F434</f>
        <v>536655.37999999989</v>
      </c>
      <c r="G439" s="310">
        <f>'d3'!G439-d3П!G434</f>
        <v>0</v>
      </c>
      <c r="H439" s="310">
        <f>'d3'!H439-d3П!H434</f>
        <v>0</v>
      </c>
      <c r="I439" s="310">
        <f>'d3'!I439-d3П!I434</f>
        <v>0</v>
      </c>
      <c r="J439" s="310">
        <f>'d3'!J439-d3П!J434</f>
        <v>0</v>
      </c>
      <c r="K439" s="310">
        <f>'d3'!K439-d3П!K434</f>
        <v>0</v>
      </c>
      <c r="L439" s="310">
        <f>'d3'!L439-d3П!L434</f>
        <v>0</v>
      </c>
      <c r="M439" s="310">
        <f>'d3'!M439-d3П!M434</f>
        <v>0</v>
      </c>
      <c r="N439" s="310">
        <f>'d3'!N439-d3П!N434</f>
        <v>0</v>
      </c>
      <c r="O439" s="310">
        <f>'d3'!O439-d3П!O434</f>
        <v>0</v>
      </c>
      <c r="P439" s="310">
        <f>'d3'!P439-d3П!P434</f>
        <v>536655.37999999989</v>
      </c>
      <c r="Q439" s="20"/>
    </row>
    <row r="440" spans="1:18" ht="47.25" hidden="1" thickTop="1" thickBot="1" x14ac:dyDescent="0.25">
      <c r="A440" s="163">
        <v>3718800</v>
      </c>
      <c r="B440" s="163">
        <v>8800</v>
      </c>
      <c r="C440" s="134"/>
      <c r="D440" s="163" t="s">
        <v>838</v>
      </c>
      <c r="E440" s="310">
        <f>'d3'!E440-d3П!E435</f>
        <v>0</v>
      </c>
      <c r="F440" s="310">
        <f>'d3'!F440-d3П!F435</f>
        <v>0</v>
      </c>
      <c r="G440" s="310">
        <f>'d3'!G440-d3П!G435</f>
        <v>0</v>
      </c>
      <c r="H440" s="310">
        <f>'d3'!H440-d3П!H435</f>
        <v>0</v>
      </c>
      <c r="I440" s="310">
        <f>'d3'!I440-d3П!I435</f>
        <v>0</v>
      </c>
      <c r="J440" s="310">
        <f>'d3'!J440-d3П!J435</f>
        <v>0</v>
      </c>
      <c r="K440" s="310">
        <f>'d3'!K440-d3П!K435</f>
        <v>0</v>
      </c>
      <c r="L440" s="310">
        <f>'d3'!L440-d3П!L435</f>
        <v>0</v>
      </c>
      <c r="M440" s="310">
        <f>'d3'!M440-d3П!M435</f>
        <v>0</v>
      </c>
      <c r="N440" s="310">
        <f>'d3'!N440-d3П!N435</f>
        <v>0</v>
      </c>
      <c r="O440" s="310">
        <f>'d3'!O440-d3П!O435</f>
        <v>0</v>
      </c>
      <c r="P440" s="310">
        <f>'d3'!P440-d3П!P435</f>
        <v>0</v>
      </c>
      <c r="Q440" s="20"/>
    </row>
    <row r="441" spans="1:18" ht="93" hidden="1" thickTop="1" thickBot="1" x14ac:dyDescent="0.25">
      <c r="A441" s="164">
        <v>3718880</v>
      </c>
      <c r="B441" s="164">
        <v>8880</v>
      </c>
      <c r="C441" s="138"/>
      <c r="D441" s="151" t="s">
        <v>1115</v>
      </c>
      <c r="E441" s="310">
        <f>'d3'!E441-d3П!E436</f>
        <v>0</v>
      </c>
      <c r="F441" s="310">
        <f>'d3'!F441-d3П!F436</f>
        <v>0</v>
      </c>
      <c r="G441" s="310">
        <f>'d3'!G441-d3П!G436</f>
        <v>0</v>
      </c>
      <c r="H441" s="310">
        <f>'d3'!H441-d3П!H436</f>
        <v>0</v>
      </c>
      <c r="I441" s="310">
        <f>'d3'!I441-d3П!I436</f>
        <v>0</v>
      </c>
      <c r="J441" s="310">
        <f>'d3'!J441-d3П!J436</f>
        <v>0</v>
      </c>
      <c r="K441" s="310">
        <f>'d3'!K441-d3П!K436</f>
        <v>0</v>
      </c>
      <c r="L441" s="310">
        <f>'d3'!L441-d3П!L436</f>
        <v>0</v>
      </c>
      <c r="M441" s="310">
        <f>'d3'!M441-d3П!M436</f>
        <v>0</v>
      </c>
      <c r="N441" s="310">
        <f>'d3'!N441-d3П!N436</f>
        <v>0</v>
      </c>
      <c r="O441" s="310">
        <f>'d3'!O441-d3П!O436</f>
        <v>0</v>
      </c>
      <c r="P441" s="310">
        <f>'d3'!P441-d3П!P436</f>
        <v>0</v>
      </c>
      <c r="Q441" s="20"/>
    </row>
    <row r="442" spans="1:18" ht="93" hidden="1" thickTop="1" thickBot="1" x14ac:dyDescent="0.25">
      <c r="A442" s="126">
        <v>3718881</v>
      </c>
      <c r="B442" s="126">
        <v>8881</v>
      </c>
      <c r="C442" s="126" t="s">
        <v>169</v>
      </c>
      <c r="D442" s="126" t="s">
        <v>1116</v>
      </c>
      <c r="E442" s="310">
        <f>'d3'!E442-d3П!E437</f>
        <v>0</v>
      </c>
      <c r="F442" s="310">
        <f>'d3'!F442-d3П!F437</f>
        <v>0</v>
      </c>
      <c r="G442" s="310">
        <f>'d3'!G442-d3П!G437</f>
        <v>0</v>
      </c>
      <c r="H442" s="310">
        <f>'d3'!H442-d3П!H437</f>
        <v>0</v>
      </c>
      <c r="I442" s="310">
        <f>'d3'!I442-d3П!I437</f>
        <v>0</v>
      </c>
      <c r="J442" s="310">
        <f>'d3'!J442-d3П!J437</f>
        <v>0</v>
      </c>
      <c r="K442" s="310">
        <f>'d3'!K442-d3П!K437</f>
        <v>0</v>
      </c>
      <c r="L442" s="310">
        <f>'d3'!L442-d3П!L437</f>
        <v>0</v>
      </c>
      <c r="M442" s="310">
        <f>'d3'!M442-d3П!M437</f>
        <v>0</v>
      </c>
      <c r="N442" s="310">
        <f>'d3'!N442-d3П!N437</f>
        <v>0</v>
      </c>
      <c r="O442" s="310">
        <f>'d3'!O442-d3П!O437</f>
        <v>0</v>
      </c>
      <c r="P442" s="310">
        <f>'d3'!P442-d3П!P437</f>
        <v>0</v>
      </c>
      <c r="Q442" s="20"/>
    </row>
    <row r="443" spans="1:18" ht="47.25" thickTop="1" thickBot="1" x14ac:dyDescent="0.25">
      <c r="A443" s="298" t="s">
        <v>831</v>
      </c>
      <c r="B443" s="298" t="s">
        <v>689</v>
      </c>
      <c r="C443" s="298"/>
      <c r="D443" s="298" t="s">
        <v>690</v>
      </c>
      <c r="E443" s="310">
        <f>'d3'!E443-d3П!E438</f>
        <v>0</v>
      </c>
      <c r="F443" s="310">
        <f>'d3'!F443-d3П!F438</f>
        <v>0</v>
      </c>
      <c r="G443" s="310">
        <f>'d3'!G443-d3П!G438</f>
        <v>0</v>
      </c>
      <c r="H443" s="310">
        <f>'d3'!H443-d3П!H438</f>
        <v>0</v>
      </c>
      <c r="I443" s="310">
        <f>'d3'!I443-d3П!I438</f>
        <v>0</v>
      </c>
      <c r="J443" s="310">
        <f>'d3'!J443-d3П!J438</f>
        <v>0</v>
      </c>
      <c r="K443" s="310">
        <f>'d3'!K443-d3П!K438</f>
        <v>0</v>
      </c>
      <c r="L443" s="310">
        <f>'d3'!L443-d3П!L438</f>
        <v>0</v>
      </c>
      <c r="M443" s="310">
        <f>'d3'!M443-d3П!M438</f>
        <v>0</v>
      </c>
      <c r="N443" s="310">
        <f>'d3'!N443-d3П!N438</f>
        <v>0</v>
      </c>
      <c r="O443" s="310">
        <f>'d3'!O443-d3П!O438</f>
        <v>0</v>
      </c>
      <c r="P443" s="310">
        <f>'d3'!P443-d3П!P438</f>
        <v>0</v>
      </c>
      <c r="Q443" s="20"/>
    </row>
    <row r="444" spans="1:18" ht="47.25" thickTop="1" thickBot="1" x14ac:dyDescent="0.25">
      <c r="A444" s="644">
        <v>3719100</v>
      </c>
      <c r="B444" s="593" t="s">
        <v>833</v>
      </c>
      <c r="C444" s="593"/>
      <c r="D444" s="593" t="s">
        <v>832</v>
      </c>
      <c r="E444" s="310">
        <f>'d3'!E444-d3П!E439</f>
        <v>0</v>
      </c>
      <c r="F444" s="310">
        <f>'d3'!F444-d3П!F439</f>
        <v>0</v>
      </c>
      <c r="G444" s="310">
        <f>'d3'!G444-d3П!G439</f>
        <v>0</v>
      </c>
      <c r="H444" s="310">
        <f>'d3'!H444-d3П!H439</f>
        <v>0</v>
      </c>
      <c r="I444" s="310">
        <f>'d3'!I444-d3П!I439</f>
        <v>0</v>
      </c>
      <c r="J444" s="310">
        <f>'d3'!J444-d3П!J439</f>
        <v>0</v>
      </c>
      <c r="K444" s="310">
        <f>'d3'!K444-d3П!K439</f>
        <v>0</v>
      </c>
      <c r="L444" s="310">
        <f>'d3'!L444-d3П!L439</f>
        <v>0</v>
      </c>
      <c r="M444" s="310">
        <f>'d3'!M444-d3П!M439</f>
        <v>0</v>
      </c>
      <c r="N444" s="310">
        <f>'d3'!N444-d3П!N439</f>
        <v>0</v>
      </c>
      <c r="O444" s="310">
        <f>'d3'!O444-d3П!O439</f>
        <v>0</v>
      </c>
      <c r="P444" s="310">
        <f>'d3'!P444-d3П!P439</f>
        <v>0</v>
      </c>
      <c r="Q444" s="20"/>
    </row>
    <row r="445" spans="1:18" ht="47.25" thickTop="1" thickBot="1" x14ac:dyDescent="0.25">
      <c r="A445" s="311">
        <v>3719110</v>
      </c>
      <c r="B445" s="311">
        <v>9110</v>
      </c>
      <c r="C445" s="101" t="s">
        <v>43</v>
      </c>
      <c r="D445" s="600" t="s">
        <v>446</v>
      </c>
      <c r="E445" s="310">
        <f>'d3'!E445-d3П!E440</f>
        <v>0</v>
      </c>
      <c r="F445" s="310">
        <f>'d3'!F445-d3П!F440</f>
        <v>0</v>
      </c>
      <c r="G445" s="310">
        <f>'d3'!G445-d3П!G440</f>
        <v>0</v>
      </c>
      <c r="H445" s="310">
        <f>'d3'!H445-d3П!H440</f>
        <v>0</v>
      </c>
      <c r="I445" s="310">
        <f>'d3'!I445-d3П!I440</f>
        <v>0</v>
      </c>
      <c r="J445" s="310">
        <f>'d3'!J445-d3П!J440</f>
        <v>0</v>
      </c>
      <c r="K445" s="310">
        <f>'d3'!K445-d3П!K440</f>
        <v>0</v>
      </c>
      <c r="L445" s="310">
        <f>'d3'!L445-d3П!L440</f>
        <v>0</v>
      </c>
      <c r="M445" s="310">
        <f>'d3'!M445-d3П!M440</f>
        <v>0</v>
      </c>
      <c r="N445" s="310">
        <f>'d3'!N445-d3П!N440</f>
        <v>0</v>
      </c>
      <c r="O445" s="310">
        <f>'d3'!O445-d3П!O440</f>
        <v>0</v>
      </c>
      <c r="P445" s="310">
        <f>'d3'!P445-d3П!P440</f>
        <v>0</v>
      </c>
      <c r="Q445" s="20"/>
    </row>
    <row r="446" spans="1:18" ht="111" customHeight="1" thickTop="1" thickBot="1" x14ac:dyDescent="0.25">
      <c r="A446" s="677" t="s">
        <v>377</v>
      </c>
      <c r="B446" s="677" t="s">
        <v>377</v>
      </c>
      <c r="C446" s="677" t="s">
        <v>377</v>
      </c>
      <c r="D446" s="677" t="s">
        <v>387</v>
      </c>
      <c r="E446" s="678">
        <f t="shared" ref="E446:P446" si="108">E16+E50+E232+E115+E149+E211++E335+E361+E429+E390+E410+E420+E371+E301+E269</f>
        <v>392321475.22999978</v>
      </c>
      <c r="F446" s="678">
        <f t="shared" si="108"/>
        <v>392321475.22999978</v>
      </c>
      <c r="G446" s="678">
        <f t="shared" si="108"/>
        <v>239047471</v>
      </c>
      <c r="H446" s="678">
        <f t="shared" si="108"/>
        <v>4694630</v>
      </c>
      <c r="I446" s="678">
        <f t="shared" si="108"/>
        <v>0</v>
      </c>
      <c r="J446" s="678">
        <f t="shared" si="108"/>
        <v>148609575.76999998</v>
      </c>
      <c r="K446" s="678">
        <f t="shared" si="108"/>
        <v>147809575.76999998</v>
      </c>
      <c r="L446" s="678">
        <f t="shared" si="108"/>
        <v>594652</v>
      </c>
      <c r="M446" s="678">
        <f t="shared" si="108"/>
        <v>0</v>
      </c>
      <c r="N446" s="678">
        <f t="shared" si="108"/>
        <v>200000</v>
      </c>
      <c r="O446" s="678">
        <f t="shared" si="108"/>
        <v>148014923.76999998</v>
      </c>
      <c r="P446" s="678">
        <f t="shared" si="108"/>
        <v>540931050.99999976</v>
      </c>
      <c r="Q446" s="79" t="b">
        <f>P446=J446+E446</f>
        <v>1</v>
      </c>
    </row>
    <row r="447" spans="1:18" ht="46.5" thickTop="1" x14ac:dyDescent="0.2">
      <c r="A447" s="786" t="s">
        <v>1430</v>
      </c>
      <c r="B447" s="787"/>
      <c r="C447" s="787"/>
      <c r="D447" s="787"/>
      <c r="E447" s="787"/>
      <c r="F447" s="787"/>
      <c r="G447" s="787"/>
      <c r="H447" s="787"/>
      <c r="I447" s="787"/>
      <c r="J447" s="787"/>
      <c r="K447" s="787"/>
      <c r="L447" s="787"/>
      <c r="M447" s="787"/>
      <c r="N447" s="787"/>
      <c r="O447" s="787"/>
      <c r="P447" s="787"/>
      <c r="Q447" s="56"/>
    </row>
    <row r="448" spans="1:18" ht="60.75" hidden="1" x14ac:dyDescent="0.2">
      <c r="A448" s="15"/>
      <c r="B448" s="16"/>
      <c r="C448" s="16"/>
      <c r="D448" s="16"/>
      <c r="E448" s="468">
        <f>F448</f>
        <v>4470249810.9700003</v>
      </c>
      <c r="F448" s="468">
        <f>((((3276526950+522248400)+28847677)+151378656.38-2000000+2000000)+97082657.69-56563.33-10000)+394232033.23</f>
        <v>4470249810.9700003</v>
      </c>
      <c r="G448" s="468">
        <f>(((((2103868+106818628+100276862+811737240+3269881+60343879+123795559+54280883)+428184320)+38620705)+8196800+12718010+2868850+725184)+204672000+2588000+6426228+1374430+993700)+3591318+6009620+1448200+2495500+8315600+1132875</f>
        <v>1992988140</v>
      </c>
      <c r="H448" s="468">
        <f>(((5000+61019+5861100+3994556+174499778+209980+4040641+8706450+4639939)+230000+36091.86+71185.22)+47320.5+45348.93+68436.67)+176154+338476+4180000</f>
        <v>207211476.18000001</v>
      </c>
      <c r="I448" s="468">
        <v>0</v>
      </c>
      <c r="J448" s="468">
        <f>((((476429079+'d2'!E43+'d4'!O29)+78699327)+195977268.48+2000000-2000000)+201670933.84+9705057+10000)+146699017.77</f>
        <v>1105303683.0900002</v>
      </c>
      <c r="K448" s="468">
        <f>((((476429079+'d2'!F43-'d4'!P29-268412475-5500000-2000000)+78699327-42063000)+195977268.48-7941156.97-1662549.7-3165484.81-1500074.4-200000-248677.63-3200000+2000000-2000000)+201670933.84-731698+7905090+10000)+8077040</f>
        <v>628256621.81000006</v>
      </c>
      <c r="L448" s="468">
        <f>(((2289715+237626300+10030550+11983500+4350000+1105000)+42063000)+7941156.97+1662549.7-26000+200000+248677.63)+731698+254051</f>
        <v>320460198.30000001</v>
      </c>
      <c r="M448" s="468">
        <f>(891107+59655330+4670511+8781040)+34640</f>
        <v>74032628</v>
      </c>
      <c r="N448" s="468">
        <f>(527653+34018360+774200+330880)+200000</f>
        <v>35851093</v>
      </c>
      <c r="O448" s="468">
        <f>((((476429079+'d2'!F43-'d4'!O29-268412475-5500000-2000000+895000+150000+6094110+20000+368300+1000000)+78699327-42063000)+195977268.48-7941156.97-1662549.7+26000-200000-248677.63+2000000-2000000)+201670933.84-731698+9451006+10000)+8077040</f>
        <v>646221507.01999998</v>
      </c>
      <c r="P448" s="468">
        <f>((((3752956029-3887000+522248400)+107547004)+347355924.86)+298753591.53+9648493.67)+276081051</f>
        <v>5310703494.0599995</v>
      </c>
      <c r="Q448" s="79" t="b">
        <f>E448+J448=P448</f>
        <v>0</v>
      </c>
      <c r="R448" s="56"/>
    </row>
    <row r="449" spans="1:18" ht="45.75" hidden="1" x14ac:dyDescent="0.65">
      <c r="A449" s="15"/>
      <c r="B449" s="16"/>
      <c r="C449" s="16"/>
      <c r="D449" s="788" t="s">
        <v>1649</v>
      </c>
      <c r="E449" s="788"/>
      <c r="F449" s="303"/>
      <c r="G449" s="2"/>
      <c r="H449" s="3"/>
      <c r="I449" s="2"/>
      <c r="J449" s="3"/>
      <c r="K449" s="2" t="s">
        <v>1650</v>
      </c>
      <c r="L449" s="2"/>
      <c r="M449" s="2"/>
      <c r="N449" s="2"/>
      <c r="O449" s="2"/>
      <c r="P449" s="2"/>
      <c r="Q449" s="56"/>
    </row>
    <row r="450" spans="1:18" ht="45.75" hidden="1" x14ac:dyDescent="0.65">
      <c r="A450" s="165"/>
      <c r="B450" s="166"/>
      <c r="C450" s="166"/>
      <c r="D450" s="3" t="s">
        <v>1376</v>
      </c>
      <c r="E450" s="303"/>
      <c r="F450" s="303"/>
      <c r="G450" s="2"/>
      <c r="H450" s="3"/>
      <c r="I450" s="2"/>
      <c r="J450" s="3"/>
      <c r="K450" s="3" t="s">
        <v>1377</v>
      </c>
      <c r="L450" s="193"/>
      <c r="M450" s="193"/>
      <c r="N450" s="193"/>
      <c r="O450" s="193"/>
      <c r="P450" s="193"/>
      <c r="Q450" s="56"/>
    </row>
    <row r="451" spans="1:18" ht="26.45" hidden="1" customHeight="1" x14ac:dyDescent="0.65">
      <c r="A451" s="15"/>
      <c r="B451" s="16"/>
      <c r="C451" s="16"/>
      <c r="D451" s="778"/>
      <c r="E451" s="778"/>
      <c r="F451" s="778"/>
      <c r="G451" s="778"/>
      <c r="H451" s="778"/>
      <c r="I451" s="778"/>
      <c r="J451" s="778"/>
      <c r="K451" s="778"/>
      <c r="L451" s="778"/>
      <c r="M451" s="778"/>
      <c r="N451" s="778"/>
      <c r="O451" s="778"/>
      <c r="P451" s="778"/>
      <c r="Q451" s="83"/>
    </row>
    <row r="452" spans="1:18" ht="50.25" hidden="1" customHeight="1" thickBot="1" x14ac:dyDescent="0.7">
      <c r="A452" s="15"/>
      <c r="B452" s="16"/>
      <c r="C452" s="16"/>
      <c r="D452" s="784" t="s">
        <v>516</v>
      </c>
      <c r="E452" s="785"/>
      <c r="F452" s="785"/>
      <c r="G452" s="334"/>
      <c r="H452" s="334"/>
      <c r="I452" s="2"/>
      <c r="J452" s="2"/>
      <c r="K452" s="3" t="s">
        <v>1290</v>
      </c>
      <c r="L452" s="2"/>
      <c r="M452" s="2"/>
      <c r="N452" s="2"/>
      <c r="O452" s="2"/>
      <c r="P452" s="2"/>
      <c r="Q452" s="83"/>
    </row>
    <row r="453" spans="1:18" ht="47.25" hidden="1" thickTop="1" thickBot="1" x14ac:dyDescent="0.7">
      <c r="A453" s="19"/>
      <c r="B453" s="19"/>
      <c r="C453" s="19"/>
      <c r="D453" s="776"/>
      <c r="E453" s="776"/>
      <c r="F453" s="776"/>
      <c r="G453" s="776"/>
      <c r="H453" s="776"/>
      <c r="I453" s="776"/>
      <c r="J453" s="776"/>
      <c r="K453" s="776"/>
      <c r="L453" s="776"/>
      <c r="M453" s="776"/>
      <c r="N453" s="776"/>
      <c r="O453" s="776"/>
      <c r="P453" s="776"/>
      <c r="Q453" s="84"/>
    </row>
    <row r="454" spans="1:18" ht="95.25" hidden="1" customHeight="1" thickTop="1" x14ac:dyDescent="0.55000000000000004">
      <c r="E454" s="516"/>
      <c r="G454" s="58"/>
      <c r="H454" s="58"/>
      <c r="I454" s="91"/>
      <c r="J454" s="92"/>
      <c r="K454" s="92"/>
      <c r="L454" s="91"/>
      <c r="M454" s="91"/>
      <c r="N454" s="91"/>
      <c r="O454" s="91"/>
      <c r="P454" s="92"/>
      <c r="Q454" s="82"/>
    </row>
    <row r="455" spans="1:18" hidden="1" x14ac:dyDescent="0.2">
      <c r="E455" s="59"/>
      <c r="F455" s="60"/>
      <c r="G455" s="58"/>
      <c r="H455" s="58"/>
      <c r="I455" s="91"/>
      <c r="J455" s="93"/>
      <c r="K455" s="93"/>
      <c r="L455" s="91"/>
      <c r="M455" s="91"/>
      <c r="N455" s="91"/>
      <c r="O455" s="91"/>
      <c r="P455" s="92"/>
    </row>
    <row r="456" spans="1:18" hidden="1" x14ac:dyDescent="0.2">
      <c r="E456" s="59"/>
      <c r="F456" s="60"/>
      <c r="G456" s="58"/>
      <c r="H456" s="58"/>
      <c r="I456" s="91"/>
      <c r="J456" s="93"/>
      <c r="K456" s="93"/>
      <c r="L456" s="91"/>
      <c r="M456" s="91"/>
      <c r="N456" s="91"/>
      <c r="O456" s="91"/>
      <c r="P456" s="92"/>
    </row>
    <row r="457" spans="1:18" ht="60.75" hidden="1" x14ac:dyDescent="0.2">
      <c r="E457" s="516" t="b">
        <f>E448=E446</f>
        <v>0</v>
      </c>
      <c r="F457" s="516" t="b">
        <f>F448=F446</f>
        <v>0</v>
      </c>
      <c r="G457" s="516" t="b">
        <f>G448=G446</f>
        <v>0</v>
      </c>
      <c r="H457" s="516" t="b">
        <f t="shared" ref="H457:O457" si="109">H448=H446</f>
        <v>0</v>
      </c>
      <c r="I457" s="516" t="b">
        <f>I448=I446</f>
        <v>1</v>
      </c>
      <c r="J457" s="516" t="b">
        <f>J448=J446</f>
        <v>0</v>
      </c>
      <c r="K457" s="516" t="b">
        <f>K448=K446</f>
        <v>0</v>
      </c>
      <c r="L457" s="516" t="b">
        <f t="shared" si="109"/>
        <v>0</v>
      </c>
      <c r="M457" s="516" t="b">
        <f t="shared" si="109"/>
        <v>0</v>
      </c>
      <c r="N457" s="516" t="b">
        <f>N448=N446</f>
        <v>0</v>
      </c>
      <c r="O457" s="516" t="b">
        <f t="shared" si="109"/>
        <v>0</v>
      </c>
      <c r="P457" s="516" t="b">
        <f>P448=P446</f>
        <v>0</v>
      </c>
    </row>
    <row r="458" spans="1:18" ht="61.5" hidden="1" x14ac:dyDescent="0.2">
      <c r="E458" s="516" t="b">
        <f>E446=F446</f>
        <v>1</v>
      </c>
      <c r="F458" s="517">
        <f>F439/E446</f>
        <v>1.3678970280313711E-3</v>
      </c>
      <c r="G458" s="86"/>
      <c r="H458" s="87"/>
      <c r="I458" s="88"/>
      <c r="J458" s="516" t="b">
        <f>J448=L448+O448</f>
        <v>0</v>
      </c>
      <c r="K458" s="94"/>
      <c r="L458" s="79"/>
      <c r="M458" s="88"/>
      <c r="N458" s="88"/>
      <c r="O458" s="79"/>
      <c r="P458" s="516" t="b">
        <f>E446+J446=P446</f>
        <v>1</v>
      </c>
    </row>
    <row r="459" spans="1:18" ht="60.75" hidden="1" x14ac:dyDescent="0.2">
      <c r="E459" s="89"/>
      <c r="F459" s="90"/>
      <c r="G459" s="518">
        <f>G448-G446</f>
        <v>1753940669</v>
      </c>
      <c r="H459" s="518">
        <f>H448-H446</f>
        <v>202516846.18000001</v>
      </c>
      <c r="I459" s="89"/>
      <c r="J459" s="59"/>
      <c r="K459" s="59"/>
    </row>
    <row r="460" spans="1:18" ht="61.5" hidden="1" x14ac:dyDescent="0.2">
      <c r="A460" s="21"/>
      <c r="B460" s="21"/>
      <c r="C460" s="21"/>
      <c r="D460" s="22"/>
      <c r="E460" s="37">
        <f>E446-E448</f>
        <v>-4077928335.7400007</v>
      </c>
      <c r="F460" s="517">
        <f>400000/E446</f>
        <v>1.0195720225753603E-3</v>
      </c>
      <c r="G460" s="86"/>
      <c r="H460" s="61"/>
      <c r="I460" s="22"/>
      <c r="J460" s="37">
        <f>J446-J448</f>
        <v>-956694107.32000017</v>
      </c>
      <c r="K460" s="37">
        <f>K446-K448</f>
        <v>-480447046.04000008</v>
      </c>
      <c r="L460" s="37"/>
      <c r="M460" s="37"/>
      <c r="N460" s="37"/>
      <c r="O460" s="37">
        <f>O446-O448</f>
        <v>-498206583.25</v>
      </c>
      <c r="P460" s="37">
        <f>P446-P448</f>
        <v>-4769772443.0599995</v>
      </c>
    </row>
    <row r="461" spans="1:18" ht="61.5" hidden="1" x14ac:dyDescent="0.2">
      <c r="D461" s="22"/>
      <c r="E461" s="37"/>
      <c r="F461" s="63"/>
      <c r="G461" s="55"/>
      <c r="H461" s="61"/>
      <c r="I461" s="22"/>
      <c r="J461" s="37"/>
      <c r="K461" s="37"/>
      <c r="L461" s="64"/>
      <c r="P461" s="55"/>
      <c r="Q461" s="85"/>
      <c r="R461" s="65"/>
    </row>
    <row r="462" spans="1:18" ht="60.75" hidden="1" x14ac:dyDescent="0.2">
      <c r="A462" s="21"/>
      <c r="B462" s="21"/>
      <c r="C462" s="21"/>
      <c r="D462" s="22"/>
      <c r="E462" s="26">
        <f>E446+K446-E161-E163-E174-E97-K77-E71-E65-E59-E58-'d1'!C118</f>
        <v>266540899.99999976</v>
      </c>
      <c r="F462" s="26"/>
      <c r="G462" s="26"/>
      <c r="H462" s="26"/>
      <c r="I462" s="66"/>
      <c r="J462" s="26"/>
      <c r="K462" s="26"/>
      <c r="L462" s="26"/>
      <c r="M462" s="26"/>
      <c r="N462" s="26"/>
      <c r="O462" s="26"/>
      <c r="P462" s="26"/>
      <c r="Q462" s="85"/>
      <c r="R462" s="65"/>
    </row>
    <row r="463" spans="1:18" ht="60.75" hidden="1" x14ac:dyDescent="0.2">
      <c r="D463" s="22"/>
      <c r="E463" s="37"/>
      <c r="F463" s="67"/>
      <c r="O463" s="55"/>
      <c r="P463" s="55"/>
    </row>
    <row r="464" spans="1:18" ht="60.75" hidden="1" x14ac:dyDescent="0.2">
      <c r="A464" s="21"/>
      <c r="B464" s="21"/>
      <c r="C464" s="21"/>
      <c r="D464" s="22"/>
      <c r="E464" s="37"/>
      <c r="F464" s="62"/>
      <c r="G464" s="64"/>
      <c r="I464" s="68"/>
      <c r="J464" s="59"/>
      <c r="K464" s="59"/>
      <c r="L464" s="21"/>
      <c r="M464" s="21"/>
      <c r="N464" s="21"/>
      <c r="O464" s="21"/>
      <c r="P464" s="55"/>
    </row>
    <row r="465" spans="1:16" ht="62.25" x14ac:dyDescent="0.8">
      <c r="A465" s="21"/>
      <c r="B465" s="21"/>
      <c r="C465" s="21"/>
      <c r="D465" s="21"/>
      <c r="E465" s="69"/>
      <c r="F465" s="62"/>
      <c r="J465" s="59"/>
      <c r="K465" s="59"/>
      <c r="L465" s="21"/>
      <c r="M465" s="21"/>
      <c r="N465" s="21"/>
      <c r="O465" s="21"/>
      <c r="P465" s="70"/>
    </row>
    <row r="466" spans="1:16" ht="45.75" x14ac:dyDescent="0.2">
      <c r="E466" s="71"/>
      <c r="F466" s="67"/>
    </row>
    <row r="467" spans="1:16" ht="45.75" x14ac:dyDescent="0.2">
      <c r="A467" s="21"/>
      <c r="B467" s="21"/>
      <c r="C467" s="21"/>
      <c r="D467" s="21"/>
      <c r="E467" s="69"/>
      <c r="F467" s="62"/>
      <c r="L467" s="21"/>
      <c r="M467" s="21"/>
      <c r="N467" s="21"/>
      <c r="O467" s="21"/>
      <c r="P467" s="21"/>
    </row>
    <row r="468" spans="1:16" ht="45.75" x14ac:dyDescent="0.2">
      <c r="E468" s="72"/>
      <c r="F468" s="67"/>
    </row>
    <row r="469" spans="1:16" ht="45.75" x14ac:dyDescent="0.2">
      <c r="E469" s="72"/>
      <c r="F469" s="67"/>
    </row>
    <row r="470" spans="1:16" ht="45.75" x14ac:dyDescent="0.2">
      <c r="E470" s="72"/>
      <c r="F470" s="67"/>
    </row>
    <row r="471" spans="1:16" ht="45.75" x14ac:dyDescent="0.2">
      <c r="A471" s="21"/>
      <c r="B471" s="21"/>
      <c r="C471" s="21"/>
      <c r="D471" s="21"/>
      <c r="E471" s="72"/>
      <c r="F471" s="67"/>
      <c r="G471" s="21"/>
      <c r="H471" s="21"/>
      <c r="I471" s="21"/>
      <c r="J471" s="21"/>
      <c r="K471" s="21"/>
      <c r="L471" s="21"/>
      <c r="M471" s="21"/>
      <c r="N471" s="21"/>
      <c r="O471" s="21"/>
      <c r="P471" s="21"/>
    </row>
    <row r="472" spans="1:16" ht="45.75" x14ac:dyDescent="0.2">
      <c r="A472" s="21"/>
      <c r="B472" s="21"/>
      <c r="C472" s="21"/>
      <c r="D472" s="21"/>
      <c r="E472" s="72"/>
      <c r="F472" s="67"/>
      <c r="G472" s="21"/>
      <c r="H472" s="21"/>
      <c r="I472" s="21"/>
      <c r="J472" s="21"/>
      <c r="K472" s="21"/>
      <c r="L472" s="21"/>
      <c r="M472" s="21"/>
      <c r="N472" s="21"/>
      <c r="O472" s="21"/>
      <c r="P472" s="21"/>
    </row>
    <row r="473" spans="1:16" ht="45.75" x14ac:dyDescent="0.2">
      <c r="A473" s="21"/>
      <c r="B473" s="21"/>
      <c r="C473" s="21"/>
      <c r="D473" s="21"/>
      <c r="E473" s="72"/>
      <c r="F473" s="67"/>
      <c r="G473" s="21"/>
      <c r="H473" s="21"/>
      <c r="I473" s="21"/>
      <c r="J473" s="21"/>
      <c r="K473" s="21"/>
      <c r="L473" s="21"/>
      <c r="M473" s="21"/>
      <c r="N473" s="21"/>
      <c r="O473" s="21"/>
      <c r="P473" s="21"/>
    </row>
    <row r="474" spans="1:16" ht="45.75" x14ac:dyDescent="0.2">
      <c r="A474" s="21"/>
      <c r="B474" s="21"/>
      <c r="C474" s="21"/>
      <c r="D474" s="21"/>
      <c r="E474" s="72"/>
      <c r="F474" s="67"/>
      <c r="G474" s="21"/>
      <c r="H474" s="21"/>
      <c r="I474" s="21"/>
      <c r="J474" s="21"/>
      <c r="K474" s="21"/>
      <c r="L474" s="21"/>
      <c r="M474" s="21"/>
      <c r="N474" s="21"/>
      <c r="O474" s="21"/>
      <c r="P474" s="21"/>
    </row>
  </sheetData>
  <mergeCells count="109">
    <mergeCell ref="A9:B9"/>
    <mergeCell ref="A11:A13"/>
    <mergeCell ref="B11:B13"/>
    <mergeCell ref="C11:C13"/>
    <mergeCell ref="D11:D13"/>
    <mergeCell ref="E11:I11"/>
    <mergeCell ref="N1:Q1"/>
    <mergeCell ref="N2:Q2"/>
    <mergeCell ref="O3:P3"/>
    <mergeCell ref="A5:P5"/>
    <mergeCell ref="A6:P6"/>
    <mergeCell ref="A8:B8"/>
    <mergeCell ref="O12:O13"/>
    <mergeCell ref="J11:O11"/>
    <mergeCell ref="P11:P13"/>
    <mergeCell ref="E12:E13"/>
    <mergeCell ref="F12:F13"/>
    <mergeCell ref="G12:H12"/>
    <mergeCell ref="I12:I13"/>
    <mergeCell ref="J12:J13"/>
    <mergeCell ref="K12:K13"/>
    <mergeCell ref="L12:L13"/>
    <mergeCell ref="M12:N12"/>
    <mergeCell ref="Q180:Q183"/>
    <mergeCell ref="R180:R183"/>
    <mergeCell ref="A184:A185"/>
    <mergeCell ref="B184:B185"/>
    <mergeCell ref="C184:C185"/>
    <mergeCell ref="R189:R191"/>
    <mergeCell ref="A180:A183"/>
    <mergeCell ref="B180:B183"/>
    <mergeCell ref="C180:C183"/>
    <mergeCell ref="R186:R188"/>
    <mergeCell ref="A189:A191"/>
    <mergeCell ref="B189:B191"/>
    <mergeCell ref="C189:C191"/>
    <mergeCell ref="R184:R185"/>
    <mergeCell ref="A186:A188"/>
    <mergeCell ref="B186:B188"/>
    <mergeCell ref="C186:C188"/>
    <mergeCell ref="P192:P193"/>
    <mergeCell ref="J192:J193"/>
    <mergeCell ref="K192:K193"/>
    <mergeCell ref="L192:L193"/>
    <mergeCell ref="M192:M193"/>
    <mergeCell ref="N192:N193"/>
    <mergeCell ref="P208:P209"/>
    <mergeCell ref="A192:A193"/>
    <mergeCell ref="B192:B193"/>
    <mergeCell ref="C192:C193"/>
    <mergeCell ref="D192:D193"/>
    <mergeCell ref="E192:E193"/>
    <mergeCell ref="F192:F193"/>
    <mergeCell ref="G192:G193"/>
    <mergeCell ref="H192:H193"/>
    <mergeCell ref="A208:A209"/>
    <mergeCell ref="B208:B209"/>
    <mergeCell ref="C208:C209"/>
    <mergeCell ref="E208:E209"/>
    <mergeCell ref="F208:F209"/>
    <mergeCell ref="G208:G209"/>
    <mergeCell ref="H208:H209"/>
    <mergeCell ref="I208:I209"/>
    <mergeCell ref="I192:I193"/>
    <mergeCell ref="O192:O193"/>
    <mergeCell ref="A293:A294"/>
    <mergeCell ref="B293:B294"/>
    <mergeCell ref="C293:C294"/>
    <mergeCell ref="J208:J209"/>
    <mergeCell ref="K208:K209"/>
    <mergeCell ref="L208:L209"/>
    <mergeCell ref="M208:M209"/>
    <mergeCell ref="N208:N209"/>
    <mergeCell ref="O208:O209"/>
    <mergeCell ref="N323:N324"/>
    <mergeCell ref="O323:O324"/>
    <mergeCell ref="P323:P324"/>
    <mergeCell ref="A357:A358"/>
    <mergeCell ref="B357:B358"/>
    <mergeCell ref="C357:C358"/>
    <mergeCell ref="E357:E358"/>
    <mergeCell ref="F357:F358"/>
    <mergeCell ref="G357:G358"/>
    <mergeCell ref="H357:H358"/>
    <mergeCell ref="H323:H324"/>
    <mergeCell ref="I323:I324"/>
    <mergeCell ref="J323:J324"/>
    <mergeCell ref="K323:K324"/>
    <mergeCell ref="L323:L324"/>
    <mergeCell ref="M323:M324"/>
    <mergeCell ref="A323:A324"/>
    <mergeCell ref="B323:B324"/>
    <mergeCell ref="C323:C324"/>
    <mergeCell ref="E323:E324"/>
    <mergeCell ref="F323:F324"/>
    <mergeCell ref="G323:G324"/>
    <mergeCell ref="D453:P453"/>
    <mergeCell ref="O357:O358"/>
    <mergeCell ref="P357:P358"/>
    <mergeCell ref="A447:P447"/>
    <mergeCell ref="D449:E449"/>
    <mergeCell ref="D451:P451"/>
    <mergeCell ref="D452:F452"/>
    <mergeCell ref="I357:I358"/>
    <mergeCell ref="J357:J358"/>
    <mergeCell ref="K357:K358"/>
    <mergeCell ref="L357:L358"/>
    <mergeCell ref="M357:M358"/>
    <mergeCell ref="N357:N358"/>
  </mergeCells>
  <conditionalFormatting sqref="Q361:Q369">
    <cfRule type="iconSet" priority="17">
      <iconSet iconSet="3Arrows">
        <cfvo type="percent" val="0"/>
        <cfvo type="percent" val="33"/>
        <cfvo type="percent" val="67"/>
      </iconSet>
    </cfRule>
  </conditionalFormatting>
  <conditionalFormatting sqref="Q371:Q372">
    <cfRule type="iconSet" priority="13">
      <iconSet iconSet="3Arrows">
        <cfvo type="percent" val="0"/>
        <cfvo type="percent" val="33"/>
        <cfvo type="percent" val="67"/>
      </iconSet>
    </cfRule>
  </conditionalFormatting>
  <conditionalFormatting sqref="Q373:Q388">
    <cfRule type="iconSet" priority="21">
      <iconSet iconSet="3Arrows">
        <cfvo type="percent" val="0"/>
        <cfvo type="percent" val="33"/>
        <cfvo type="percent" val="67"/>
      </iconSet>
    </cfRule>
  </conditionalFormatting>
  <conditionalFormatting sqref="Q410:Q415">
    <cfRule type="iconSet" priority="20">
      <iconSet iconSet="3Arrows">
        <cfvo type="percent" val="0"/>
        <cfvo type="percent" val="33"/>
        <cfvo type="percent" val="67"/>
      </iconSet>
    </cfRule>
  </conditionalFormatting>
  <conditionalFormatting sqref="Q416">
    <cfRule type="iconSet" priority="2">
      <iconSet iconSet="3Arrows">
        <cfvo type="percent" val="0"/>
        <cfvo type="percent" val="33"/>
        <cfvo type="percent" val="67"/>
      </iconSet>
    </cfRule>
  </conditionalFormatting>
  <conditionalFormatting sqref="Q417:Q418">
    <cfRule type="iconSet" priority="8">
      <iconSet iconSet="3Arrows">
        <cfvo type="percent" val="0"/>
        <cfvo type="percent" val="33"/>
        <cfvo type="percent" val="67"/>
      </iconSet>
    </cfRule>
  </conditionalFormatting>
  <conditionalFormatting sqref="Q420">
    <cfRule type="iconSet" priority="3">
      <iconSet iconSet="3Arrows">
        <cfvo type="percent" val="0"/>
        <cfvo type="percent" val="33"/>
        <cfvo type="percent" val="67"/>
      </iconSet>
    </cfRule>
  </conditionalFormatting>
  <conditionalFormatting sqref="Q429">
    <cfRule type="iconSet" priority="1">
      <iconSet iconSet="3Arrows">
        <cfvo type="percent" val="0"/>
        <cfvo type="percent" val="33"/>
        <cfvo type="percent" val="67"/>
      </iconSet>
    </cfRule>
  </conditionalFormatting>
  <conditionalFormatting sqref="Q430 Q432:R436 R431:S431">
    <cfRule type="iconSet" priority="16">
      <iconSet iconSet="3Arrows">
        <cfvo type="percent" val="0"/>
        <cfvo type="percent" val="33"/>
        <cfvo type="percent" val="67"/>
      </iconSet>
    </cfRule>
  </conditionalFormatting>
  <conditionalFormatting sqref="Q431">
    <cfRule type="iconSet" priority="7">
      <iconSet iconSet="3Arrows">
        <cfvo type="percent" val="0"/>
        <cfvo type="percent" val="33"/>
        <cfvo type="percent" val="67"/>
      </iconSet>
    </cfRule>
  </conditionalFormatting>
  <conditionalFormatting sqref="Q390:R397">
    <cfRule type="iconSet" priority="23">
      <iconSet iconSet="3Arrows">
        <cfvo type="percent" val="0"/>
        <cfvo type="percent" val="33"/>
        <cfvo type="percent" val="67"/>
      </iconSet>
    </cfRule>
  </conditionalFormatting>
  <conditionalFormatting sqref="R361:R362">
    <cfRule type="iconSet" priority="11">
      <iconSet iconSet="3Arrows">
        <cfvo type="percent" val="0"/>
        <cfvo type="percent" val="33"/>
        <cfvo type="percent" val="67"/>
      </iconSet>
    </cfRule>
  </conditionalFormatting>
  <conditionalFormatting sqref="R363:R369">
    <cfRule type="iconSet" priority="10">
      <iconSet iconSet="3Arrows">
        <cfvo type="percent" val="0"/>
        <cfvo type="percent" val="33"/>
        <cfvo type="percent" val="67"/>
      </iconSet>
    </cfRule>
  </conditionalFormatting>
  <conditionalFormatting sqref="R371:R372">
    <cfRule type="iconSet" priority="12">
      <iconSet iconSet="3Arrows">
        <cfvo type="percent" val="0"/>
        <cfvo type="percent" val="33"/>
        <cfvo type="percent" val="67"/>
      </iconSet>
    </cfRule>
  </conditionalFormatting>
  <conditionalFormatting sqref="R373:R388">
    <cfRule type="iconSet" priority="22">
      <iconSet iconSet="3Arrows">
        <cfvo type="percent" val="0"/>
        <cfvo type="percent" val="33"/>
        <cfvo type="percent" val="67"/>
      </iconSet>
    </cfRule>
  </conditionalFormatting>
  <conditionalFormatting sqref="R398:R408">
    <cfRule type="iconSet" priority="18">
      <iconSet iconSet="3Arrows">
        <cfvo type="percent" val="0"/>
        <cfvo type="percent" val="33"/>
        <cfvo type="percent" val="67"/>
      </iconSet>
    </cfRule>
  </conditionalFormatting>
  <conditionalFormatting sqref="R410:R411">
    <cfRule type="iconSet" priority="9">
      <iconSet iconSet="3Arrows">
        <cfvo type="percent" val="0"/>
        <cfvo type="percent" val="33"/>
        <cfvo type="percent" val="67"/>
      </iconSet>
    </cfRule>
  </conditionalFormatting>
  <conditionalFormatting sqref="R412:R415">
    <cfRule type="iconSet" priority="19">
      <iconSet iconSet="3Arrows">
        <cfvo type="percent" val="0"/>
        <cfvo type="percent" val="33"/>
        <cfvo type="percent" val="67"/>
      </iconSet>
    </cfRule>
  </conditionalFormatting>
  <conditionalFormatting sqref="R422:R424 Q421:R421 R420">
    <cfRule type="iconSet" priority="15">
      <iconSet iconSet="3Arrows">
        <cfvo type="percent" val="0"/>
        <cfvo type="percent" val="33"/>
        <cfvo type="percent" val="67"/>
      </iconSet>
    </cfRule>
  </conditionalFormatting>
  <conditionalFormatting sqref="R425">
    <cfRule type="iconSet" priority="5">
      <iconSet iconSet="3Arrows">
        <cfvo type="percent" val="0"/>
        <cfvo type="percent" val="33"/>
        <cfvo type="percent" val="67"/>
      </iconSet>
    </cfRule>
  </conditionalFormatting>
  <conditionalFormatting sqref="R427">
    <cfRule type="iconSet" priority="4">
      <iconSet iconSet="3Arrows">
        <cfvo type="percent" val="0"/>
        <cfvo type="percent" val="33"/>
        <cfvo type="percent" val="67"/>
      </iconSet>
    </cfRule>
  </conditionalFormatting>
  <conditionalFormatting sqref="R429">
    <cfRule type="iconSet" priority="6">
      <iconSet iconSet="3Arrows">
        <cfvo type="percent" val="0"/>
        <cfvo type="percent" val="33"/>
        <cfvo type="percent" val="67"/>
      </iconSet>
    </cfRule>
  </conditionalFormatting>
  <conditionalFormatting sqref="R430">
    <cfRule type="iconSet" priority="14">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3" orientation="landscape" r:id="rId1"/>
  <headerFooter alignWithMargins="0">
    <oddFooter>&amp;C&amp;"Times New Roman Cyr,курсив"Сторінка &amp;P з &amp;N</oddFooter>
  </headerFooter>
  <rowBreaks count="2" manualBreakCount="2">
    <brk id="54" max="15" man="1"/>
    <brk id="397"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7"/>
  <sheetViews>
    <sheetView view="pageBreakPreview" topLeftCell="A46" zoomScale="90" zoomScaleSheetLayoutView="90" workbookViewId="0">
      <selection activeCell="B72" sqref="B72"/>
    </sheetView>
  </sheetViews>
  <sheetFormatPr defaultColWidth="9.140625" defaultRowHeight="12.75" x14ac:dyDescent="0.2"/>
  <cols>
    <col min="1" max="1" width="9.7109375" style="13" customWidth="1"/>
    <col min="2" max="3" width="22.140625" style="13" customWidth="1"/>
    <col min="4" max="4" width="15.5703125" style="13" customWidth="1"/>
    <col min="5" max="5" width="15.28515625" style="13" customWidth="1"/>
    <col min="6" max="6" width="14.85546875" style="13" customWidth="1"/>
    <col min="7" max="7" width="18.85546875" style="13" customWidth="1"/>
    <col min="8" max="8" width="16.42578125" style="13" customWidth="1"/>
    <col min="9" max="9" width="19.28515625" style="13" customWidth="1"/>
    <col min="10" max="10" width="13.5703125" style="13" customWidth="1"/>
    <col min="11" max="11" width="9.7109375" style="13" customWidth="1"/>
    <col min="12" max="12" width="9.140625" style="13"/>
    <col min="13" max="13" width="8.140625" style="13" customWidth="1"/>
    <col min="14" max="16384" width="9.140625" style="13"/>
  </cols>
  <sheetData>
    <row r="1" spans="1:17" x14ac:dyDescent="0.2">
      <c r="A1"/>
      <c r="B1"/>
      <c r="C1"/>
      <c r="D1"/>
      <c r="E1" s="741" t="s">
        <v>114</v>
      </c>
      <c r="F1" s="741"/>
    </row>
    <row r="2" spans="1:17" x14ac:dyDescent="0.2">
      <c r="A2"/>
      <c r="B2"/>
      <c r="C2"/>
      <c r="D2"/>
      <c r="E2" s="741" t="s">
        <v>940</v>
      </c>
      <c r="F2" s="741"/>
    </row>
    <row r="3" spans="1:17" x14ac:dyDescent="0.2">
      <c r="A3"/>
      <c r="B3"/>
      <c r="C3"/>
      <c r="D3"/>
      <c r="E3" s="741" t="s">
        <v>1605</v>
      </c>
      <c r="F3" s="741"/>
    </row>
    <row r="4" spans="1:17" x14ac:dyDescent="0.2">
      <c r="A4"/>
      <c r="B4"/>
      <c r="C4"/>
      <c r="D4"/>
      <c r="E4"/>
      <c r="F4"/>
    </row>
    <row r="5" spans="1:17" ht="18.75" x14ac:dyDescent="0.2">
      <c r="A5" s="744" t="s">
        <v>565</v>
      </c>
      <c r="B5" s="744"/>
      <c r="C5" s="744"/>
      <c r="D5" s="744"/>
      <c r="E5" s="744"/>
      <c r="F5" s="744"/>
    </row>
    <row r="6" spans="1:17" ht="18.75" x14ac:dyDescent="0.2">
      <c r="A6" s="744" t="s">
        <v>1548</v>
      </c>
      <c r="B6" s="744"/>
      <c r="C6" s="744"/>
      <c r="D6" s="744"/>
      <c r="E6" s="744"/>
      <c r="F6" s="744"/>
    </row>
    <row r="7" spans="1:17" ht="18.75" x14ac:dyDescent="0.2">
      <c r="A7" s="307"/>
      <c r="B7" s="307"/>
      <c r="C7" s="307"/>
      <c r="D7" s="307"/>
      <c r="E7" s="307"/>
      <c r="F7" s="307"/>
    </row>
    <row r="8" spans="1:17" x14ac:dyDescent="0.2">
      <c r="A8" s="745">
        <v>2256400000</v>
      </c>
      <c r="B8" s="746"/>
      <c r="C8" s="747"/>
      <c r="D8" s="747"/>
      <c r="E8" s="747"/>
      <c r="F8" s="747"/>
      <c r="G8" s="20"/>
    </row>
    <row r="9" spans="1:17" ht="15" customHeight="1" x14ac:dyDescent="0.2">
      <c r="A9" s="748" t="s">
        <v>485</v>
      </c>
      <c r="B9" s="749"/>
      <c r="C9" s="747"/>
      <c r="D9" s="747"/>
      <c r="E9" s="747"/>
      <c r="F9" s="747"/>
      <c r="G9" s="20"/>
    </row>
    <row r="10" spans="1:17" ht="13.5" thickBot="1" x14ac:dyDescent="0.25">
      <c r="A10" s="464"/>
      <c r="B10" s="464"/>
      <c r="C10"/>
      <c r="D10"/>
      <c r="E10"/>
      <c r="F10" s="465" t="s">
        <v>400</v>
      </c>
      <c r="G10" s="20"/>
    </row>
    <row r="11" spans="1:17" ht="14.25" thickTop="1" thickBot="1" x14ac:dyDescent="0.25">
      <c r="A11" s="750" t="s">
        <v>57</v>
      </c>
      <c r="B11" s="750" t="s">
        <v>374</v>
      </c>
      <c r="C11" s="750" t="s">
        <v>379</v>
      </c>
      <c r="D11" s="750" t="s">
        <v>12</v>
      </c>
      <c r="E11" s="750" t="s">
        <v>52</v>
      </c>
      <c r="F11" s="750"/>
      <c r="G11" s="20"/>
    </row>
    <row r="12" spans="1:17" ht="35.450000000000003" customHeight="1" thickTop="1" thickBot="1" x14ac:dyDescent="0.25">
      <c r="A12" s="750"/>
      <c r="B12" s="750"/>
      <c r="C12" s="750"/>
      <c r="D12" s="751"/>
      <c r="E12" s="466" t="s">
        <v>380</v>
      </c>
      <c r="F12" s="466" t="s">
        <v>381</v>
      </c>
      <c r="G12" s="20"/>
    </row>
    <row r="13" spans="1:17" ht="14.25" thickTop="1" thickBot="1" x14ac:dyDescent="0.25">
      <c r="A13" s="467">
        <v>1</v>
      </c>
      <c r="B13" s="467">
        <v>2</v>
      </c>
      <c r="C13" s="467">
        <v>3</v>
      </c>
      <c r="D13" s="467">
        <v>4</v>
      </c>
      <c r="E13" s="467">
        <v>5</v>
      </c>
      <c r="F13" s="467">
        <v>6</v>
      </c>
      <c r="G13" s="20"/>
    </row>
    <row r="14" spans="1:17" ht="30.75" customHeight="1" thickTop="1" thickBot="1" x14ac:dyDescent="0.25">
      <c r="A14" s="752" t="s">
        <v>375</v>
      </c>
      <c r="B14" s="752"/>
      <c r="C14" s="753"/>
      <c r="D14" s="753"/>
      <c r="E14" s="753"/>
      <c r="F14" s="753"/>
      <c r="G14" s="20"/>
    </row>
    <row r="15" spans="1:17" ht="26.45" customHeight="1" thickTop="1" thickBot="1" x14ac:dyDescent="0.25">
      <c r="A15" s="659" t="s">
        <v>115</v>
      </c>
      <c r="B15" s="669" t="s">
        <v>116</v>
      </c>
      <c r="C15" s="659">
        <f>C16+C25+C20</f>
        <v>252028066.34</v>
      </c>
      <c r="D15" s="659">
        <f>D16+D25+D20</f>
        <v>-558293185.75</v>
      </c>
      <c r="E15" s="659">
        <f>E16+E25+E20</f>
        <v>810321252.09000003</v>
      </c>
      <c r="F15" s="659">
        <f>F16+F25+F20</f>
        <v>751437308.58000004</v>
      </c>
      <c r="G15" s="520">
        <f>E15-F15</f>
        <v>58883943.50999999</v>
      </c>
      <c r="H15" s="115"/>
      <c r="I15" s="115"/>
      <c r="J15" s="115"/>
      <c r="K15" s="115"/>
      <c r="L15" s="115"/>
      <c r="M15" s="115"/>
      <c r="N15" s="115"/>
      <c r="O15" s="115"/>
      <c r="P15" s="115"/>
      <c r="Q15" s="115"/>
    </row>
    <row r="16" spans="1:17" ht="42" hidden="1" thickTop="1" thickBot="1" x14ac:dyDescent="0.25">
      <c r="A16" s="660">
        <v>202000</v>
      </c>
      <c r="B16" s="661" t="s">
        <v>945</v>
      </c>
      <c r="C16" s="662">
        <f t="shared" ref="C16:C17" si="0">SUM(D16,E16)</f>
        <v>0</v>
      </c>
      <c r="D16" s="662">
        <f t="shared" ref="D16" si="1">D17</f>
        <v>0</v>
      </c>
      <c r="E16" s="662">
        <f>E17</f>
        <v>0</v>
      </c>
      <c r="F16" s="662">
        <f t="shared" ref="F16" si="2">F17</f>
        <v>0</v>
      </c>
      <c r="G16" s="358"/>
      <c r="H16" s="115"/>
      <c r="I16" s="115"/>
      <c r="J16" s="115"/>
      <c r="K16" s="115"/>
      <c r="L16" s="115"/>
      <c r="M16" s="115"/>
      <c r="N16" s="115"/>
      <c r="O16" s="115"/>
      <c r="P16" s="115"/>
      <c r="Q16" s="115"/>
    </row>
    <row r="17" spans="1:17" ht="27" hidden="1" thickTop="1" thickBot="1" x14ac:dyDescent="0.25">
      <c r="A17" s="657">
        <v>202200</v>
      </c>
      <c r="B17" s="658" t="s">
        <v>947</v>
      </c>
      <c r="C17" s="659">
        <f t="shared" si="0"/>
        <v>0</v>
      </c>
      <c r="D17" s="659">
        <f>SUM(D18:D19)</f>
        <v>0</v>
      </c>
      <c r="E17" s="659">
        <f>SUM(E18:E19)</f>
        <v>0</v>
      </c>
      <c r="F17" s="659">
        <f>SUM(F18:F19)</f>
        <v>0</v>
      </c>
      <c r="G17" s="358"/>
      <c r="H17" s="115"/>
      <c r="I17" s="115"/>
      <c r="J17" s="115"/>
      <c r="K17" s="115"/>
      <c r="L17" s="115"/>
      <c r="M17" s="115"/>
      <c r="N17" s="115"/>
      <c r="O17" s="115"/>
      <c r="P17" s="115"/>
      <c r="Q17" s="115"/>
    </row>
    <row r="18" spans="1:17" ht="14.25" hidden="1" thickTop="1" thickBot="1" x14ac:dyDescent="0.25">
      <c r="A18" s="663">
        <v>202210</v>
      </c>
      <c r="B18" s="664" t="s">
        <v>946</v>
      </c>
      <c r="C18" s="665">
        <f>SUM(D18,E18)</f>
        <v>0</v>
      </c>
      <c r="D18" s="659"/>
      <c r="E18" s="665">
        <v>0</v>
      </c>
      <c r="F18" s="665">
        <v>0</v>
      </c>
      <c r="G18" s="358"/>
      <c r="H18" s="115"/>
      <c r="I18" s="115"/>
      <c r="J18" s="115"/>
      <c r="K18" s="115"/>
      <c r="L18" s="115"/>
      <c r="M18" s="115"/>
      <c r="N18" s="115"/>
      <c r="O18" s="115"/>
      <c r="P18" s="115"/>
      <c r="Q18" s="115"/>
    </row>
    <row r="19" spans="1:17" ht="14.25" hidden="1" thickTop="1" thickBot="1" x14ac:dyDescent="0.25">
      <c r="A19" s="663">
        <v>202220</v>
      </c>
      <c r="B19" s="664" t="s">
        <v>355</v>
      </c>
      <c r="C19" s="665">
        <f>SUM(D19,E19)</f>
        <v>0</v>
      </c>
      <c r="D19" s="659"/>
      <c r="E19" s="665">
        <v>0</v>
      </c>
      <c r="F19" s="665">
        <v>0</v>
      </c>
      <c r="G19" s="358"/>
      <c r="H19" s="115"/>
      <c r="I19" s="115"/>
      <c r="J19" s="115"/>
      <c r="K19" s="115"/>
      <c r="L19" s="115"/>
      <c r="M19" s="115"/>
      <c r="N19" s="115"/>
      <c r="O19" s="115"/>
      <c r="P19" s="115"/>
      <c r="Q19" s="115"/>
    </row>
    <row r="20" spans="1:17" ht="69" hidden="1" customHeight="1" thickTop="1" thickBot="1" x14ac:dyDescent="0.25">
      <c r="A20" s="660">
        <v>206000</v>
      </c>
      <c r="B20" s="670" t="s">
        <v>1401</v>
      </c>
      <c r="C20" s="662">
        <f>C21+C23</f>
        <v>0</v>
      </c>
      <c r="D20" s="662">
        <f t="shared" ref="D20:F20" si="3">D21+D23</f>
        <v>0</v>
      </c>
      <c r="E20" s="662">
        <f t="shared" si="3"/>
        <v>0</v>
      </c>
      <c r="F20" s="662">
        <f t="shared" si="3"/>
        <v>0</v>
      </c>
      <c r="G20" s="358"/>
      <c r="H20" s="115"/>
      <c r="I20" s="115"/>
      <c r="J20" s="115"/>
      <c r="K20" s="115"/>
      <c r="L20" s="115"/>
      <c r="M20" s="115"/>
      <c r="N20" s="115"/>
      <c r="O20" s="115"/>
      <c r="P20" s="115"/>
      <c r="Q20" s="115"/>
    </row>
    <row r="21" spans="1:17" ht="65.25" hidden="1" thickTop="1" thickBot="1" x14ac:dyDescent="0.25">
      <c r="A21" s="666">
        <v>206100</v>
      </c>
      <c r="B21" s="671" t="s">
        <v>1402</v>
      </c>
      <c r="C21" s="668">
        <f>C22</f>
        <v>0</v>
      </c>
      <c r="D21" s="668">
        <f t="shared" ref="D21" si="4">D22</f>
        <v>0</v>
      </c>
      <c r="E21" s="668">
        <f t="shared" ref="E21" si="5">E22</f>
        <v>0</v>
      </c>
      <c r="F21" s="668">
        <f t="shared" ref="F21" si="6">F22</f>
        <v>0</v>
      </c>
      <c r="G21" s="358"/>
      <c r="H21" s="115"/>
      <c r="I21" s="115"/>
      <c r="J21" s="115"/>
      <c r="K21" s="115"/>
      <c r="L21" s="115"/>
      <c r="M21" s="115"/>
      <c r="N21" s="115"/>
      <c r="O21" s="115"/>
      <c r="P21" s="115"/>
      <c r="Q21" s="115"/>
    </row>
    <row r="22" spans="1:17" ht="39.75" hidden="1" thickTop="1" thickBot="1" x14ac:dyDescent="0.25">
      <c r="A22" s="663">
        <v>206120</v>
      </c>
      <c r="B22" s="664" t="s">
        <v>1404</v>
      </c>
      <c r="C22" s="665">
        <f>D22+E22</f>
        <v>0</v>
      </c>
      <c r="D22" s="665">
        <v>0</v>
      </c>
      <c r="E22" s="665">
        <v>0</v>
      </c>
      <c r="F22" s="665">
        <v>0</v>
      </c>
      <c r="G22" s="358"/>
      <c r="H22" s="115"/>
      <c r="I22" s="115"/>
      <c r="J22" s="115"/>
      <c r="K22" s="115"/>
      <c r="L22" s="115"/>
      <c r="M22" s="115"/>
      <c r="N22" s="115"/>
      <c r="O22" s="115"/>
      <c r="P22" s="115"/>
      <c r="Q22" s="115"/>
    </row>
    <row r="23" spans="1:17" ht="52.5" hidden="1" thickTop="1" thickBot="1" x14ac:dyDescent="0.25">
      <c r="A23" s="666">
        <v>206200</v>
      </c>
      <c r="B23" s="671" t="s">
        <v>1403</v>
      </c>
      <c r="C23" s="668">
        <f>C24</f>
        <v>0</v>
      </c>
      <c r="D23" s="668">
        <f t="shared" ref="D23:F23" si="7">D24</f>
        <v>0</v>
      </c>
      <c r="E23" s="668">
        <f t="shared" si="7"/>
        <v>0</v>
      </c>
      <c r="F23" s="668">
        <f t="shared" si="7"/>
        <v>0</v>
      </c>
      <c r="G23" s="358"/>
      <c r="H23" s="115"/>
      <c r="I23" s="115"/>
      <c r="J23" s="115"/>
      <c r="K23" s="115"/>
      <c r="L23" s="115"/>
      <c r="M23" s="115"/>
      <c r="N23" s="115"/>
      <c r="O23" s="115"/>
      <c r="P23" s="115"/>
      <c r="Q23" s="115"/>
    </row>
    <row r="24" spans="1:17" ht="27" hidden="1" thickTop="1" thickBot="1" x14ac:dyDescent="0.25">
      <c r="A24" s="663">
        <v>206220</v>
      </c>
      <c r="B24" s="664" t="s">
        <v>1405</v>
      </c>
      <c r="C24" s="665">
        <f>D24+E24</f>
        <v>0</v>
      </c>
      <c r="D24" s="665">
        <v>0</v>
      </c>
      <c r="E24" s="665">
        <v>0</v>
      </c>
      <c r="F24" s="665">
        <v>0</v>
      </c>
      <c r="G24" s="358"/>
      <c r="H24" s="115"/>
      <c r="I24" s="115"/>
      <c r="J24" s="115"/>
      <c r="K24" s="115"/>
      <c r="L24" s="115"/>
      <c r="M24" s="115"/>
      <c r="N24" s="115"/>
      <c r="O24" s="115"/>
      <c r="P24" s="115"/>
      <c r="Q24" s="115"/>
    </row>
    <row r="25" spans="1:17" ht="42" thickTop="1" thickBot="1" x14ac:dyDescent="0.25">
      <c r="A25" s="660">
        <v>208000</v>
      </c>
      <c r="B25" s="670" t="s">
        <v>949</v>
      </c>
      <c r="C25" s="662">
        <f>(C26-C27)+C30+C28</f>
        <v>252028066.34</v>
      </c>
      <c r="D25" s="662">
        <f>(D26-D27)+D30+D28</f>
        <v>-558293185.75</v>
      </c>
      <c r="E25" s="662">
        <f>(E26-E27)+E30+E28</f>
        <v>810321252.09000003</v>
      </c>
      <c r="F25" s="662">
        <f>(F26-F27)+F30+F28</f>
        <v>751437308.58000004</v>
      </c>
      <c r="G25" s="521">
        <f>E25-F25</f>
        <v>58883943.50999999</v>
      </c>
      <c r="H25" s="521">
        <f>D26-D27</f>
        <v>189252956.59</v>
      </c>
      <c r="I25" s="521">
        <f>E26-E27</f>
        <v>62775109.75</v>
      </c>
      <c r="J25" s="521">
        <f>F26-F27</f>
        <v>3891166.24</v>
      </c>
      <c r="K25" s="115"/>
      <c r="L25" s="115"/>
      <c r="M25" s="115"/>
      <c r="N25" s="115"/>
      <c r="O25" s="115"/>
      <c r="P25" s="115"/>
      <c r="Q25" s="115"/>
    </row>
    <row r="26" spans="1:17" ht="15" thickTop="1" thickBot="1" x14ac:dyDescent="0.25">
      <c r="A26" s="660" t="s">
        <v>117</v>
      </c>
      <c r="B26" s="661" t="s">
        <v>118</v>
      </c>
      <c r="C26" s="662">
        <f>SUM(D26,E26)</f>
        <v>255078043.74000001</v>
      </c>
      <c r="D26" s="662">
        <f>(0)+189676574.84</f>
        <v>189676574.84</v>
      </c>
      <c r="E26" s="662">
        <f>65401468.9</f>
        <v>65401468.899999999</v>
      </c>
      <c r="F26" s="662">
        <v>3891166.24</v>
      </c>
      <c r="G26" s="521"/>
      <c r="H26" s="115"/>
      <c r="I26" s="115"/>
      <c r="J26" s="115"/>
      <c r="K26" s="115"/>
      <c r="L26" s="115"/>
      <c r="M26" s="115"/>
      <c r="N26" s="115"/>
      <c r="O26" s="115"/>
      <c r="P26" s="115"/>
      <c r="Q26" s="115"/>
    </row>
    <row r="27" spans="1:17" ht="15" thickTop="1" thickBot="1" x14ac:dyDescent="0.25">
      <c r="A27" s="660">
        <v>208200</v>
      </c>
      <c r="B27" s="661" t="s">
        <v>1653</v>
      </c>
      <c r="C27" s="662">
        <f>SUM(D27,E27)</f>
        <v>3049977.4</v>
      </c>
      <c r="D27" s="662">
        <f>(0)+400000+23618.25</f>
        <v>423618.25</v>
      </c>
      <c r="E27" s="662">
        <f>(0)+1263655.3+359703.85+3000+1000000</f>
        <v>2626359.15</v>
      </c>
      <c r="F27" s="662">
        <v>0</v>
      </c>
      <c r="G27" s="521"/>
      <c r="H27" s="115"/>
      <c r="I27" s="115"/>
      <c r="J27" s="115"/>
      <c r="K27" s="115"/>
      <c r="L27" s="115"/>
      <c r="M27" s="115"/>
      <c r="N27" s="115"/>
      <c r="O27" s="115"/>
      <c r="P27" s="115"/>
      <c r="Q27" s="115"/>
    </row>
    <row r="28" spans="1:17" ht="15" hidden="1" thickTop="1" thickBot="1" x14ac:dyDescent="0.25">
      <c r="A28" s="672">
        <v>208300</v>
      </c>
      <c r="B28" s="673" t="s">
        <v>952</v>
      </c>
      <c r="C28" s="674">
        <f>SUM(D28,E28)</f>
        <v>0</v>
      </c>
      <c r="D28" s="662">
        <f>D29</f>
        <v>0</v>
      </c>
      <c r="E28" s="662">
        <f>E29</f>
        <v>0</v>
      </c>
      <c r="F28" s="662">
        <f>F29</f>
        <v>0</v>
      </c>
      <c r="G28" s="358"/>
      <c r="H28" s="115"/>
      <c r="I28" s="115"/>
      <c r="J28" s="115"/>
      <c r="K28" s="115"/>
      <c r="L28" s="115"/>
      <c r="M28" s="115"/>
      <c r="N28" s="115"/>
      <c r="O28" s="115"/>
      <c r="P28" s="115"/>
      <c r="Q28" s="115"/>
    </row>
    <row r="29" spans="1:17" ht="52.5" hidden="1" thickTop="1" thickBot="1" x14ac:dyDescent="0.25">
      <c r="A29" s="675">
        <v>208330</v>
      </c>
      <c r="B29" s="676" t="s">
        <v>953</v>
      </c>
      <c r="C29" s="674">
        <f>SUM(D29,E29)</f>
        <v>0</v>
      </c>
      <c r="D29" s="665"/>
      <c r="E29" s="665">
        <f>-D29</f>
        <v>0</v>
      </c>
      <c r="F29" s="665">
        <f>E29</f>
        <v>0</v>
      </c>
      <c r="G29" s="358"/>
      <c r="H29" s="115"/>
      <c r="I29" s="115"/>
      <c r="J29" s="115"/>
      <c r="K29" s="115"/>
      <c r="L29" s="115"/>
      <c r="M29" s="115"/>
      <c r="N29" s="115"/>
      <c r="O29" s="115"/>
      <c r="P29" s="115"/>
      <c r="Q29" s="115"/>
    </row>
    <row r="30" spans="1:17" ht="55.5" thickTop="1" thickBot="1" x14ac:dyDescent="0.25">
      <c r="A30" s="660">
        <v>208400</v>
      </c>
      <c r="B30" s="661" t="s">
        <v>119</v>
      </c>
      <c r="C30" s="662">
        <f>SUM(D30,E30)</f>
        <v>0</v>
      </c>
      <c r="D30" s="662">
        <f>'d3'!E446-'d1'!D160+'d4'!N29+(-D20)+(-D26-(-D27))</f>
        <v>-747546142.34000003</v>
      </c>
      <c r="E30" s="662">
        <f>-D30</f>
        <v>747546142.34000003</v>
      </c>
      <c r="F30" s="662">
        <f>E30</f>
        <v>747546142.34000003</v>
      </c>
      <c r="G30" s="521" t="b">
        <f>E30=('d3'!J446+'d4'!O29)-('d1'!E160+E31+E26-E27)</f>
        <v>1</v>
      </c>
      <c r="H30" s="115"/>
      <c r="I30" s="115"/>
      <c r="J30" s="115"/>
      <c r="K30" s="115"/>
      <c r="L30" s="115"/>
      <c r="M30" s="115"/>
      <c r="N30" s="115"/>
      <c r="O30" s="115"/>
      <c r="P30" s="115"/>
      <c r="Q30" s="115"/>
    </row>
    <row r="31" spans="1:17" ht="14.25" thickTop="1" thickBot="1" x14ac:dyDescent="0.25">
      <c r="A31" s="657">
        <v>300000</v>
      </c>
      <c r="B31" s="658" t="s">
        <v>352</v>
      </c>
      <c r="C31" s="659">
        <f>C32</f>
        <v>-3887000</v>
      </c>
      <c r="D31" s="659">
        <f>D32</f>
        <v>0</v>
      </c>
      <c r="E31" s="659">
        <f>E32</f>
        <v>-3887000</v>
      </c>
      <c r="F31" s="659">
        <f>F32</f>
        <v>-3887000</v>
      </c>
      <c r="G31" s="114"/>
      <c r="H31" s="115"/>
      <c r="I31" s="115"/>
      <c r="J31" s="115"/>
      <c r="K31" s="115"/>
      <c r="L31" s="115"/>
      <c r="M31" s="115"/>
      <c r="N31" s="115"/>
      <c r="O31" s="115"/>
      <c r="P31" s="115"/>
      <c r="Q31" s="115"/>
    </row>
    <row r="32" spans="1:17" ht="42" thickTop="1" thickBot="1" x14ac:dyDescent="0.25">
      <c r="A32" s="660">
        <v>301000</v>
      </c>
      <c r="B32" s="661" t="s">
        <v>353</v>
      </c>
      <c r="C32" s="662">
        <f>C33+C34</f>
        <v>-3887000</v>
      </c>
      <c r="D32" s="662">
        <f>D33+D34</f>
        <v>0</v>
      </c>
      <c r="E32" s="662">
        <f>E33+E34</f>
        <v>-3887000</v>
      </c>
      <c r="F32" s="662">
        <f>F33+F34</f>
        <v>-3887000</v>
      </c>
      <c r="G32" s="114"/>
      <c r="H32" s="115"/>
      <c r="I32" s="115"/>
      <c r="J32" s="115"/>
      <c r="K32" s="115"/>
      <c r="L32" s="115"/>
      <c r="M32" s="115"/>
      <c r="N32" s="115"/>
      <c r="O32" s="115"/>
      <c r="P32" s="115"/>
      <c r="Q32" s="115"/>
    </row>
    <row r="33" spans="1:17" ht="14.25" thickTop="1" thickBot="1" x14ac:dyDescent="0.25">
      <c r="A33" s="663">
        <v>301100</v>
      </c>
      <c r="B33" s="664" t="s">
        <v>354</v>
      </c>
      <c r="C33" s="665">
        <f>SUM(D33,E33)</f>
        <v>0</v>
      </c>
      <c r="D33" s="665"/>
      <c r="E33" s="665">
        <v>0</v>
      </c>
      <c r="F33" s="665">
        <v>0</v>
      </c>
      <c r="G33" s="114"/>
      <c r="H33" s="115"/>
      <c r="I33" s="115"/>
      <c r="J33" s="115"/>
      <c r="K33" s="115"/>
      <c r="L33" s="115"/>
      <c r="M33" s="115"/>
      <c r="N33" s="115"/>
      <c r="O33" s="115"/>
      <c r="P33" s="115"/>
      <c r="Q33" s="115"/>
    </row>
    <row r="34" spans="1:17" ht="14.25" thickTop="1" thickBot="1" x14ac:dyDescent="0.25">
      <c r="A34" s="663">
        <v>301200</v>
      </c>
      <c r="B34" s="664" t="s">
        <v>355</v>
      </c>
      <c r="C34" s="665">
        <f>SUM(D34,E34)</f>
        <v>-3887000</v>
      </c>
      <c r="D34" s="665"/>
      <c r="E34" s="665">
        <v>-3887000</v>
      </c>
      <c r="F34" s="665">
        <v>-3887000</v>
      </c>
      <c r="G34" s="114"/>
      <c r="H34" s="115"/>
      <c r="I34" s="115"/>
      <c r="J34" s="115"/>
      <c r="K34" s="115"/>
      <c r="L34" s="115"/>
      <c r="M34" s="115"/>
      <c r="N34" s="115"/>
      <c r="O34" s="115"/>
      <c r="P34" s="115"/>
      <c r="Q34" s="115"/>
    </row>
    <row r="35" spans="1:17" ht="24" customHeight="1" thickTop="1" thickBot="1" x14ac:dyDescent="0.25">
      <c r="A35" s="679" t="s">
        <v>377</v>
      </c>
      <c r="B35" s="680" t="s">
        <v>376</v>
      </c>
      <c r="C35" s="681">
        <f>C15+C31</f>
        <v>248141066.34</v>
      </c>
      <c r="D35" s="681">
        <f>D15+D31</f>
        <v>-558293185.75</v>
      </c>
      <c r="E35" s="681">
        <f>E15+E31</f>
        <v>806434252.09000003</v>
      </c>
      <c r="F35" s="681">
        <f>F15+F31</f>
        <v>747550308.58000004</v>
      </c>
      <c r="G35" s="520">
        <f>E35-F35</f>
        <v>58883943.50999999</v>
      </c>
      <c r="H35" s="115"/>
      <c r="I35" s="115"/>
      <c r="J35" s="115"/>
      <c r="K35" s="115"/>
      <c r="L35" s="115"/>
      <c r="M35" s="115"/>
      <c r="N35" s="115"/>
      <c r="O35" s="115"/>
      <c r="P35" s="115"/>
      <c r="Q35" s="115"/>
    </row>
    <row r="36" spans="1:17" ht="35.450000000000003" customHeight="1" thickTop="1" thickBot="1" x14ac:dyDescent="0.25">
      <c r="A36" s="752" t="s">
        <v>378</v>
      </c>
      <c r="B36" s="752"/>
      <c r="C36" s="753"/>
      <c r="D36" s="753"/>
      <c r="E36" s="753"/>
      <c r="F36" s="753"/>
      <c r="G36" s="114"/>
      <c r="H36" s="115"/>
      <c r="I36" s="115"/>
      <c r="J36" s="115"/>
      <c r="K36" s="115"/>
      <c r="L36" s="115"/>
      <c r="M36" s="115"/>
      <c r="N36" s="115"/>
      <c r="O36" s="115"/>
      <c r="P36" s="115"/>
      <c r="Q36" s="115"/>
    </row>
    <row r="37" spans="1:17" ht="27" thickTop="1" thickBot="1" x14ac:dyDescent="0.25">
      <c r="A37" s="657">
        <v>400000</v>
      </c>
      <c r="B37" s="658" t="s">
        <v>120</v>
      </c>
      <c r="C37" s="659">
        <f>C38+C43</f>
        <v>-3887000</v>
      </c>
      <c r="D37" s="659">
        <f>D38+D43</f>
        <v>0</v>
      </c>
      <c r="E37" s="659">
        <f>E38+E43</f>
        <v>-3887000</v>
      </c>
      <c r="F37" s="659">
        <f>F38+F43</f>
        <v>-3887000</v>
      </c>
      <c r="G37" s="114"/>
      <c r="H37" s="115"/>
      <c r="I37" s="115"/>
      <c r="J37" s="115"/>
      <c r="K37" s="115"/>
      <c r="L37" s="115"/>
      <c r="M37" s="115"/>
      <c r="N37" s="115"/>
      <c r="O37" s="115"/>
      <c r="P37" s="115"/>
      <c r="Q37" s="115"/>
    </row>
    <row r="38" spans="1:17" ht="15" hidden="1" thickTop="1" thickBot="1" x14ac:dyDescent="0.25">
      <c r="A38" s="560">
        <v>401000</v>
      </c>
      <c r="B38" s="561" t="s">
        <v>121</v>
      </c>
      <c r="C38" s="359">
        <f>C39+C41</f>
        <v>0</v>
      </c>
      <c r="D38" s="359">
        <f>D39+D41</f>
        <v>0</v>
      </c>
      <c r="E38" s="359">
        <f>E39+E41</f>
        <v>0</v>
      </c>
      <c r="F38" s="359">
        <f>F39+F41</f>
        <v>0</v>
      </c>
      <c r="G38" s="114"/>
      <c r="H38" s="115"/>
      <c r="I38" s="115"/>
      <c r="J38" s="115"/>
      <c r="K38" s="115"/>
      <c r="L38" s="115"/>
      <c r="M38" s="115"/>
      <c r="N38" s="115"/>
      <c r="O38" s="115"/>
      <c r="P38" s="115"/>
      <c r="Q38" s="115"/>
    </row>
    <row r="39" spans="1:17" ht="14.25" hidden="1" thickTop="1" thickBot="1" x14ac:dyDescent="0.25">
      <c r="A39" s="362">
        <v>401100</v>
      </c>
      <c r="B39" s="364" t="s">
        <v>948</v>
      </c>
      <c r="C39" s="363">
        <f>C40</f>
        <v>0</v>
      </c>
      <c r="D39" s="363">
        <f>D40</f>
        <v>0</v>
      </c>
      <c r="E39" s="363">
        <f>E40</f>
        <v>0</v>
      </c>
      <c r="F39" s="363">
        <f>F40</f>
        <v>0</v>
      </c>
      <c r="G39" s="114"/>
      <c r="H39" s="115"/>
      <c r="I39" s="115"/>
      <c r="J39" s="115"/>
      <c r="K39" s="115"/>
      <c r="L39" s="115"/>
      <c r="M39" s="115"/>
      <c r="N39" s="115"/>
      <c r="O39" s="115"/>
      <c r="P39" s="115"/>
      <c r="Q39" s="115"/>
    </row>
    <row r="40" spans="1:17" ht="27" hidden="1" thickTop="1" thickBot="1" x14ac:dyDescent="0.25">
      <c r="A40" s="360">
        <v>401101</v>
      </c>
      <c r="B40" s="361" t="s">
        <v>943</v>
      </c>
      <c r="C40" s="331">
        <f>SUM(D40,E40)</f>
        <v>0</v>
      </c>
      <c r="D40" s="330"/>
      <c r="E40" s="331">
        <v>0</v>
      </c>
      <c r="F40" s="331">
        <v>0</v>
      </c>
      <c r="G40" s="114"/>
      <c r="H40" s="115"/>
      <c r="I40" s="115"/>
      <c r="J40" s="115"/>
      <c r="K40" s="115"/>
      <c r="L40" s="115"/>
      <c r="M40" s="115"/>
      <c r="N40" s="115"/>
      <c r="O40" s="115"/>
      <c r="P40" s="115"/>
      <c r="Q40" s="115"/>
    </row>
    <row r="41" spans="1:17" s="4" customFormat="1" ht="14.25" hidden="1" thickTop="1" thickBot="1" x14ac:dyDescent="0.25">
      <c r="A41" s="362">
        <v>401200</v>
      </c>
      <c r="B41" s="364" t="s">
        <v>356</v>
      </c>
      <c r="C41" s="363">
        <f>SUM(D41,E41)</f>
        <v>0</v>
      </c>
      <c r="D41" s="363"/>
      <c r="E41" s="363">
        <f>E42</f>
        <v>0</v>
      </c>
      <c r="F41" s="363">
        <f>F42</f>
        <v>0</v>
      </c>
      <c r="G41" s="119"/>
      <c r="H41" s="120"/>
      <c r="I41" s="120"/>
      <c r="J41" s="120"/>
      <c r="K41" s="120"/>
      <c r="L41" s="120"/>
      <c r="M41" s="120"/>
      <c r="N41" s="120"/>
      <c r="O41" s="120"/>
      <c r="P41" s="120"/>
      <c r="Q41" s="120"/>
    </row>
    <row r="42" spans="1:17" ht="27" hidden="1" thickTop="1" thickBot="1" x14ac:dyDescent="0.25">
      <c r="A42" s="360">
        <v>401201</v>
      </c>
      <c r="B42" s="361" t="s">
        <v>943</v>
      </c>
      <c r="C42" s="331">
        <f>SUM(D42,E42)</f>
        <v>0</v>
      </c>
      <c r="D42" s="330"/>
      <c r="E42" s="331">
        <f>E33</f>
        <v>0</v>
      </c>
      <c r="F42" s="331">
        <f>F33</f>
        <v>0</v>
      </c>
      <c r="G42" s="114"/>
      <c r="H42" s="115"/>
      <c r="I42" s="115"/>
      <c r="J42" s="115"/>
      <c r="K42" s="115"/>
      <c r="L42" s="115"/>
      <c r="M42" s="115"/>
      <c r="N42" s="115"/>
      <c r="O42" s="115"/>
      <c r="P42" s="115"/>
      <c r="Q42" s="115"/>
    </row>
    <row r="43" spans="1:17" s="4" customFormat="1" ht="15" thickTop="1" thickBot="1" x14ac:dyDescent="0.25">
      <c r="A43" s="660">
        <v>402000</v>
      </c>
      <c r="B43" s="661" t="s">
        <v>357</v>
      </c>
      <c r="C43" s="662">
        <f>C46+C44</f>
        <v>-3887000</v>
      </c>
      <c r="D43" s="662">
        <f>D46+D44</f>
        <v>0</v>
      </c>
      <c r="E43" s="662">
        <f>E46+E44</f>
        <v>-3887000</v>
      </c>
      <c r="F43" s="662">
        <f>F46+F44</f>
        <v>-3887000</v>
      </c>
      <c r="G43" s="119"/>
      <c r="H43" s="120"/>
      <c r="I43" s="120"/>
      <c r="J43" s="120"/>
      <c r="K43" s="120"/>
      <c r="L43" s="120"/>
      <c r="M43" s="120"/>
      <c r="N43" s="120"/>
      <c r="O43" s="120"/>
      <c r="P43" s="120"/>
      <c r="Q43" s="120"/>
    </row>
    <row r="44" spans="1:17" s="4" customFormat="1" ht="14.25" hidden="1" thickTop="1" thickBot="1" x14ac:dyDescent="0.25">
      <c r="A44" s="666">
        <v>402100</v>
      </c>
      <c r="B44" s="667" t="s">
        <v>992</v>
      </c>
      <c r="C44" s="668">
        <f>C45</f>
        <v>0</v>
      </c>
      <c r="D44" s="668">
        <f>D45</f>
        <v>0</v>
      </c>
      <c r="E44" s="668">
        <f>E45</f>
        <v>0</v>
      </c>
      <c r="F44" s="668">
        <f>F45</f>
        <v>0</v>
      </c>
      <c r="G44" s="119"/>
      <c r="H44" s="120"/>
      <c r="I44" s="120"/>
      <c r="J44" s="120"/>
      <c r="K44" s="120"/>
      <c r="L44" s="120"/>
      <c r="M44" s="120"/>
      <c r="N44" s="120"/>
      <c r="O44" s="120"/>
      <c r="P44" s="120"/>
      <c r="Q44" s="120"/>
    </row>
    <row r="45" spans="1:17" s="4" customFormat="1" ht="27" hidden="1" thickTop="1" thickBot="1" x14ac:dyDescent="0.25">
      <c r="A45" s="663">
        <v>402101</v>
      </c>
      <c r="B45" s="664" t="s">
        <v>943</v>
      </c>
      <c r="C45" s="665">
        <f>SUM(D45,E45)</f>
        <v>0</v>
      </c>
      <c r="D45" s="659"/>
      <c r="E45" s="665">
        <v>0</v>
      </c>
      <c r="F45" s="665">
        <v>0</v>
      </c>
      <c r="G45" s="119"/>
      <c r="H45" s="120"/>
      <c r="I45" s="120"/>
      <c r="J45" s="120"/>
      <c r="K45" s="120"/>
      <c r="L45" s="120"/>
      <c r="M45" s="120"/>
      <c r="N45" s="120"/>
      <c r="O45" s="120"/>
      <c r="P45" s="120"/>
      <c r="Q45" s="120"/>
    </row>
    <row r="46" spans="1:17" s="4" customFormat="1" ht="14.25" thickTop="1" thickBot="1" x14ac:dyDescent="0.25">
      <c r="A46" s="666">
        <v>402200</v>
      </c>
      <c r="B46" s="667" t="s">
        <v>942</v>
      </c>
      <c r="C46" s="668">
        <f>SUM(C47,C48)</f>
        <v>-3887000</v>
      </c>
      <c r="D46" s="668"/>
      <c r="E46" s="668">
        <f>SUM(E47,E48)</f>
        <v>-3887000</v>
      </c>
      <c r="F46" s="668">
        <f>SUM(F47,F48)</f>
        <v>-3887000</v>
      </c>
      <c r="G46" s="119"/>
      <c r="H46" s="120"/>
      <c r="I46" s="120"/>
      <c r="J46" s="120"/>
      <c r="K46" s="120"/>
      <c r="L46" s="120"/>
      <c r="M46" s="120"/>
      <c r="N46" s="120"/>
      <c r="O46" s="120"/>
      <c r="P46" s="120"/>
      <c r="Q46" s="120"/>
    </row>
    <row r="47" spans="1:17" s="4" customFormat="1" ht="27" thickTop="1" thickBot="1" x14ac:dyDescent="0.25">
      <c r="A47" s="663">
        <v>402201</v>
      </c>
      <c r="B47" s="664" t="s">
        <v>943</v>
      </c>
      <c r="C47" s="665">
        <f>SUM(D47,E47)</f>
        <v>-3887000</v>
      </c>
      <c r="D47" s="659"/>
      <c r="E47" s="665">
        <f>E34</f>
        <v>-3887000</v>
      </c>
      <c r="F47" s="665">
        <f>F34</f>
        <v>-3887000</v>
      </c>
      <c r="G47" s="119"/>
      <c r="H47" s="120"/>
      <c r="I47" s="120"/>
      <c r="J47" s="120"/>
      <c r="K47" s="120"/>
      <c r="L47" s="120"/>
      <c r="M47" s="120"/>
      <c r="N47" s="120"/>
      <c r="O47" s="120"/>
      <c r="P47" s="120"/>
      <c r="Q47" s="120"/>
    </row>
    <row r="48" spans="1:17" ht="27" hidden="1" thickTop="1" thickBot="1" x14ac:dyDescent="0.25">
      <c r="A48" s="116">
        <v>402202</v>
      </c>
      <c r="B48" s="117" t="s">
        <v>944</v>
      </c>
      <c r="C48" s="118">
        <f>SUM(D48,E48)</f>
        <v>0</v>
      </c>
      <c r="D48" s="330"/>
      <c r="E48" s="331">
        <v>0</v>
      </c>
      <c r="F48" s="118">
        <v>0</v>
      </c>
      <c r="G48" s="114"/>
      <c r="H48" s="115"/>
      <c r="I48" s="115"/>
      <c r="J48" s="115"/>
      <c r="K48" s="115"/>
      <c r="L48" s="115"/>
      <c r="M48" s="115"/>
      <c r="N48" s="115"/>
      <c r="O48" s="115"/>
      <c r="P48" s="115"/>
      <c r="Q48" s="115"/>
    </row>
    <row r="49" spans="1:17" ht="27" thickTop="1" thickBot="1" x14ac:dyDescent="0.25">
      <c r="A49" s="657" t="s">
        <v>122</v>
      </c>
      <c r="B49" s="658" t="s">
        <v>123</v>
      </c>
      <c r="C49" s="659">
        <f>C55+C50</f>
        <v>252028066.34</v>
      </c>
      <c r="D49" s="659">
        <f t="shared" ref="D49:F49" si="8">D55+D50</f>
        <v>-558293185.75</v>
      </c>
      <c r="E49" s="659">
        <f t="shared" si="8"/>
        <v>810321252.09000003</v>
      </c>
      <c r="F49" s="659">
        <f t="shared" si="8"/>
        <v>751437308.58000004</v>
      </c>
      <c r="G49" s="114"/>
      <c r="H49" s="115"/>
      <c r="I49" s="115"/>
      <c r="J49" s="115"/>
      <c r="K49" s="115"/>
      <c r="L49" s="115"/>
      <c r="M49" s="115"/>
      <c r="N49" s="115"/>
      <c r="O49" s="115"/>
      <c r="P49" s="115"/>
      <c r="Q49" s="115"/>
    </row>
    <row r="50" spans="1:17" ht="64.5" hidden="1" customHeight="1" thickTop="1" thickBot="1" x14ac:dyDescent="0.25">
      <c r="A50" s="560">
        <v>601000</v>
      </c>
      <c r="B50" s="561" t="s">
        <v>1406</v>
      </c>
      <c r="C50" s="359">
        <f>C51+C53</f>
        <v>0</v>
      </c>
      <c r="D50" s="359">
        <f t="shared" ref="D50:F50" si="9">D51+D53</f>
        <v>0</v>
      </c>
      <c r="E50" s="359">
        <f t="shared" si="9"/>
        <v>0</v>
      </c>
      <c r="F50" s="359">
        <f t="shared" si="9"/>
        <v>0</v>
      </c>
      <c r="G50" s="114"/>
      <c r="H50" s="115"/>
      <c r="I50" s="115"/>
      <c r="J50" s="115"/>
      <c r="K50" s="115"/>
      <c r="L50" s="115"/>
      <c r="M50" s="115"/>
      <c r="N50" s="115"/>
      <c r="O50" s="115"/>
      <c r="P50" s="115"/>
      <c r="Q50" s="115"/>
    </row>
    <row r="51" spans="1:17" ht="73.5" hidden="1" customHeight="1" thickTop="1" thickBot="1" x14ac:dyDescent="0.25">
      <c r="A51" s="362">
        <v>601100</v>
      </c>
      <c r="B51" s="364" t="s">
        <v>1402</v>
      </c>
      <c r="C51" s="363">
        <f>C52</f>
        <v>0</v>
      </c>
      <c r="D51" s="363">
        <f t="shared" ref="D51:F51" si="10">D52</f>
        <v>0</v>
      </c>
      <c r="E51" s="363">
        <f t="shared" si="10"/>
        <v>0</v>
      </c>
      <c r="F51" s="363">
        <f t="shared" si="10"/>
        <v>0</v>
      </c>
      <c r="G51" s="114"/>
      <c r="H51" s="115"/>
      <c r="I51" s="115"/>
      <c r="J51" s="115"/>
      <c r="K51" s="115"/>
      <c r="L51" s="115"/>
      <c r="M51" s="115"/>
      <c r="N51" s="115"/>
      <c r="O51" s="115"/>
      <c r="P51" s="115"/>
      <c r="Q51" s="115"/>
    </row>
    <row r="52" spans="1:17" ht="39.75" hidden="1" thickTop="1" thickBot="1" x14ac:dyDescent="0.25">
      <c r="A52" s="360">
        <v>601120</v>
      </c>
      <c r="B52" s="361" t="s">
        <v>1404</v>
      </c>
      <c r="C52" s="331">
        <f>D52+E52</f>
        <v>0</v>
      </c>
      <c r="D52" s="331">
        <v>0</v>
      </c>
      <c r="E52" s="331">
        <v>0</v>
      </c>
      <c r="F52" s="331">
        <v>0</v>
      </c>
      <c r="G52" s="114"/>
      <c r="H52" s="115"/>
      <c r="I52" s="115"/>
      <c r="J52" s="115"/>
      <c r="K52" s="115"/>
      <c r="L52" s="115"/>
      <c r="M52" s="115"/>
      <c r="N52" s="115"/>
      <c r="O52" s="115"/>
      <c r="P52" s="115"/>
      <c r="Q52" s="115"/>
    </row>
    <row r="53" spans="1:17" ht="52.5" hidden="1" thickTop="1" thickBot="1" x14ac:dyDescent="0.25">
      <c r="A53" s="362">
        <v>601200</v>
      </c>
      <c r="B53" s="364" t="s">
        <v>1407</v>
      </c>
      <c r="C53" s="363">
        <f>C54</f>
        <v>0</v>
      </c>
      <c r="D53" s="363">
        <f t="shared" ref="D53" si="11">D54</f>
        <v>0</v>
      </c>
      <c r="E53" s="363">
        <f t="shared" ref="E53" si="12">E54</f>
        <v>0</v>
      </c>
      <c r="F53" s="363">
        <f t="shared" ref="F53" si="13">F54</f>
        <v>0</v>
      </c>
      <c r="G53" s="114"/>
      <c r="H53" s="115"/>
      <c r="I53" s="115"/>
      <c r="J53" s="115"/>
      <c r="K53" s="115"/>
      <c r="L53" s="115"/>
      <c r="M53" s="115"/>
      <c r="N53" s="115"/>
      <c r="O53" s="115"/>
      <c r="P53" s="115"/>
      <c r="Q53" s="115"/>
    </row>
    <row r="54" spans="1:17" ht="27" hidden="1" thickTop="1" thickBot="1" x14ac:dyDescent="0.25">
      <c r="A54" s="360">
        <v>601220</v>
      </c>
      <c r="B54" s="361" t="s">
        <v>1408</v>
      </c>
      <c r="C54" s="331">
        <f>D54+E54</f>
        <v>0</v>
      </c>
      <c r="D54" s="331">
        <v>0</v>
      </c>
      <c r="E54" s="331">
        <v>0</v>
      </c>
      <c r="F54" s="331">
        <v>0</v>
      </c>
      <c r="G54" s="114"/>
      <c r="H54" s="115"/>
      <c r="I54" s="115"/>
      <c r="J54" s="115"/>
      <c r="K54" s="115"/>
      <c r="L54" s="115"/>
      <c r="M54" s="115"/>
      <c r="N54" s="115"/>
      <c r="O54" s="115"/>
      <c r="P54" s="115"/>
      <c r="Q54" s="115"/>
    </row>
    <row r="55" spans="1:17" ht="28.5" thickTop="1" thickBot="1" x14ac:dyDescent="0.25">
      <c r="A55" s="660">
        <v>602000</v>
      </c>
      <c r="B55" s="661" t="s">
        <v>950</v>
      </c>
      <c r="C55" s="662">
        <f>(C56-C57)+C60+C58</f>
        <v>252028066.34</v>
      </c>
      <c r="D55" s="662">
        <f>(D56-D57)+D60+D58</f>
        <v>-558293185.75</v>
      </c>
      <c r="E55" s="662">
        <f>(E56-E57)+E60+E58</f>
        <v>810321252.09000003</v>
      </c>
      <c r="F55" s="662">
        <f>(F56-F57)+F60+F58</f>
        <v>751437308.58000004</v>
      </c>
      <c r="G55" s="114"/>
      <c r="H55" s="115"/>
      <c r="I55" s="115"/>
      <c r="J55" s="115"/>
      <c r="K55" s="115"/>
      <c r="L55" s="115"/>
      <c r="M55" s="115"/>
      <c r="N55" s="115"/>
      <c r="O55" s="115"/>
      <c r="P55" s="115"/>
      <c r="Q55" s="115"/>
    </row>
    <row r="56" spans="1:17" ht="14.25" thickTop="1" thickBot="1" x14ac:dyDescent="0.25">
      <c r="A56" s="666">
        <v>602100</v>
      </c>
      <c r="B56" s="667" t="s">
        <v>951</v>
      </c>
      <c r="C56" s="668">
        <f>SUM(D56,E56)</f>
        <v>255078043.74000001</v>
      </c>
      <c r="D56" s="668">
        <f t="shared" ref="D56:F57" si="14">D26</f>
        <v>189676574.84</v>
      </c>
      <c r="E56" s="668">
        <f t="shared" si="14"/>
        <v>65401468.899999999</v>
      </c>
      <c r="F56" s="668">
        <f t="shared" si="14"/>
        <v>3891166.24</v>
      </c>
      <c r="G56" s="114"/>
      <c r="H56" s="115"/>
      <c r="I56" s="115"/>
      <c r="J56" s="115"/>
      <c r="K56" s="115"/>
      <c r="L56" s="115"/>
      <c r="M56" s="115"/>
      <c r="N56" s="115"/>
      <c r="O56" s="115"/>
      <c r="P56" s="115"/>
      <c r="Q56" s="115"/>
    </row>
    <row r="57" spans="1:17" ht="14.25" thickTop="1" thickBot="1" x14ac:dyDescent="0.25">
      <c r="A57" s="666">
        <v>602200</v>
      </c>
      <c r="B57" s="667" t="s">
        <v>1654</v>
      </c>
      <c r="C57" s="668">
        <f>SUM(D57,E57)</f>
        <v>3049977.4</v>
      </c>
      <c r="D57" s="668">
        <f t="shared" si="14"/>
        <v>423618.25</v>
      </c>
      <c r="E57" s="668">
        <f t="shared" si="14"/>
        <v>2626359.15</v>
      </c>
      <c r="F57" s="668">
        <f t="shared" si="14"/>
        <v>0</v>
      </c>
      <c r="G57" s="114"/>
      <c r="H57" s="115"/>
      <c r="I57" s="115"/>
      <c r="J57" s="115"/>
      <c r="K57" s="115"/>
      <c r="L57" s="115"/>
      <c r="M57" s="115"/>
      <c r="N57" s="115"/>
      <c r="O57" s="115"/>
      <c r="P57" s="115"/>
      <c r="Q57" s="115"/>
    </row>
    <row r="58" spans="1:17" ht="14.25" hidden="1" thickTop="1" thickBot="1" x14ac:dyDescent="0.25">
      <c r="A58" s="362">
        <v>602300</v>
      </c>
      <c r="B58" s="364" t="s">
        <v>952</v>
      </c>
      <c r="C58" s="363">
        <f>SUM(D58,E58)</f>
        <v>0</v>
      </c>
      <c r="D58" s="363">
        <f>D59</f>
        <v>0</v>
      </c>
      <c r="E58" s="363">
        <f>E59</f>
        <v>0</v>
      </c>
      <c r="F58" s="363">
        <f>E58</f>
        <v>0</v>
      </c>
      <c r="G58" s="114"/>
      <c r="H58" s="115"/>
      <c r="I58" s="115"/>
      <c r="J58" s="115"/>
      <c r="K58" s="115"/>
      <c r="L58" s="115"/>
      <c r="M58" s="115"/>
      <c r="N58" s="115"/>
      <c r="O58" s="115"/>
      <c r="P58" s="115"/>
      <c r="Q58" s="115"/>
    </row>
    <row r="59" spans="1:17" ht="52.5" hidden="1" thickTop="1" thickBot="1" x14ac:dyDescent="0.25">
      <c r="A59" s="360">
        <v>602303</v>
      </c>
      <c r="B59" s="361" t="s">
        <v>953</v>
      </c>
      <c r="C59" s="331">
        <f>SUM(D59,E59)</f>
        <v>0</v>
      </c>
      <c r="D59" s="331"/>
      <c r="E59" s="331">
        <f>-D59</f>
        <v>0</v>
      </c>
      <c r="F59" s="331">
        <f>E59</f>
        <v>0</v>
      </c>
      <c r="G59" s="114"/>
      <c r="H59" s="115"/>
      <c r="I59" s="115"/>
      <c r="J59" s="115"/>
      <c r="K59" s="115"/>
      <c r="L59" s="115"/>
      <c r="M59" s="115"/>
      <c r="N59" s="115"/>
      <c r="O59" s="115"/>
      <c r="P59" s="115"/>
      <c r="Q59" s="115"/>
    </row>
    <row r="60" spans="1:17" ht="52.5" thickTop="1" thickBot="1" x14ac:dyDescent="0.25">
      <c r="A60" s="666">
        <v>602400</v>
      </c>
      <c r="B60" s="667" t="s">
        <v>119</v>
      </c>
      <c r="C60" s="668">
        <f>SUM(D60,E60)</f>
        <v>0</v>
      </c>
      <c r="D60" s="668">
        <f>D30</f>
        <v>-747546142.34000003</v>
      </c>
      <c r="E60" s="668">
        <f>E30</f>
        <v>747546142.34000003</v>
      </c>
      <c r="F60" s="668">
        <f>F30</f>
        <v>747546142.34000003</v>
      </c>
      <c r="G60" s="114"/>
      <c r="H60" s="115"/>
      <c r="I60" s="115"/>
      <c r="J60" s="115"/>
      <c r="K60" s="115"/>
      <c r="L60" s="115"/>
      <c r="M60" s="115"/>
      <c r="N60" s="115"/>
      <c r="O60" s="115"/>
      <c r="P60" s="115"/>
      <c r="Q60" s="115"/>
    </row>
    <row r="61" spans="1:17" ht="30" customHeight="1" thickTop="1" thickBot="1" x14ac:dyDescent="0.25">
      <c r="A61" s="679" t="s">
        <v>377</v>
      </c>
      <c r="B61" s="680" t="s">
        <v>376</v>
      </c>
      <c r="C61" s="681">
        <f>C37+C49</f>
        <v>248141066.34</v>
      </c>
      <c r="D61" s="681">
        <f>D37+D49</f>
        <v>-558293185.75</v>
      </c>
      <c r="E61" s="681">
        <f>E37+E49</f>
        <v>806434252.09000003</v>
      </c>
      <c r="F61" s="681">
        <f>F37+F49</f>
        <v>747550308.58000004</v>
      </c>
      <c r="G61" s="114"/>
      <c r="H61" s="115"/>
      <c r="I61" s="115"/>
      <c r="J61" s="115"/>
      <c r="K61" s="115"/>
      <c r="L61" s="115"/>
      <c r="M61" s="115"/>
      <c r="N61" s="115"/>
      <c r="O61" s="115"/>
      <c r="P61" s="115"/>
      <c r="Q61" s="115"/>
    </row>
    <row r="62" spans="1:17" ht="13.5" thickTop="1" x14ac:dyDescent="0.2">
      <c r="A62" s="121"/>
      <c r="B62" s="121"/>
      <c r="C62" s="121"/>
      <c r="D62" s="121"/>
      <c r="E62" s="121"/>
      <c r="F62" s="121"/>
      <c r="G62" s="121"/>
      <c r="H62" s="121"/>
      <c r="I62" s="121"/>
    </row>
    <row r="63" spans="1:17" ht="45.75" hidden="1" x14ac:dyDescent="0.65">
      <c r="A63" s="121"/>
      <c r="B63" s="754" t="s">
        <v>1649</v>
      </c>
      <c r="C63" s="754"/>
      <c r="D63"/>
      <c r="E63" s="339" t="s">
        <v>1650</v>
      </c>
      <c r="F63" s="14"/>
      <c r="G63" s="122"/>
      <c r="H63" s="122"/>
      <c r="I63" s="122"/>
      <c r="J63" s="122"/>
      <c r="K63" s="122"/>
      <c r="L63" s="122"/>
      <c r="M63" s="122"/>
      <c r="N63" s="122"/>
      <c r="O63" s="122"/>
    </row>
    <row r="64" spans="1:17" ht="31.5" hidden="1" x14ac:dyDescent="0.25">
      <c r="A64" s="121"/>
      <c r="B64" s="338" t="s">
        <v>1376</v>
      </c>
      <c r="C64"/>
      <c r="D64"/>
      <c r="E64" s="339" t="s">
        <v>1377</v>
      </c>
      <c r="F64" s="326"/>
      <c r="G64" s="121"/>
      <c r="H64" s="121"/>
      <c r="I64" s="121"/>
    </row>
    <row r="65" spans="1:9" ht="36.75" customHeight="1" x14ac:dyDescent="0.25">
      <c r="A65" s="121"/>
      <c r="B65" s="950" t="s">
        <v>1751</v>
      </c>
      <c r="C65" s="950"/>
      <c r="D65"/>
      <c r="E65" s="339" t="s">
        <v>1750</v>
      </c>
      <c r="F65" s="326"/>
      <c r="G65" s="121"/>
      <c r="H65" s="121"/>
      <c r="I65" s="121"/>
    </row>
    <row r="66" spans="1:9" ht="13.5" customHeight="1" x14ac:dyDescent="0.25">
      <c r="A66" s="121"/>
      <c r="B66" s="336"/>
      <c r="C66" s="336"/>
      <c r="D66" s="337"/>
      <c r="E66" s="326"/>
      <c r="F66" s="326"/>
      <c r="G66" s="121"/>
      <c r="H66" s="121"/>
      <c r="I66" s="121"/>
    </row>
    <row r="67" spans="1:9" ht="15.75" customHeight="1" x14ac:dyDescent="0.25">
      <c r="B67" s="742" t="s">
        <v>516</v>
      </c>
      <c r="C67" s="743"/>
      <c r="D67" s="743"/>
      <c r="E67" s="1" t="s">
        <v>1290</v>
      </c>
      <c r="F67" s="1"/>
    </row>
  </sheetData>
  <mergeCells count="17">
    <mergeCell ref="B65:C65"/>
    <mergeCell ref="E1:F1"/>
    <mergeCell ref="E2:F2"/>
    <mergeCell ref="E3:F3"/>
    <mergeCell ref="B67:D67"/>
    <mergeCell ref="A5:F5"/>
    <mergeCell ref="A6:F6"/>
    <mergeCell ref="A8:F8"/>
    <mergeCell ref="A9:F9"/>
    <mergeCell ref="A11:A12"/>
    <mergeCell ref="B11:B12"/>
    <mergeCell ref="C11:C12"/>
    <mergeCell ref="D11:D12"/>
    <mergeCell ref="E11:F11"/>
    <mergeCell ref="A14:F14"/>
    <mergeCell ref="A36:F36"/>
    <mergeCell ref="B63:C63"/>
  </mergeCells>
  <pageMargins left="1.1811023622047245" right="0.44" top="0.39370078740157483" bottom="0.19685039370078741" header="0.39370078740157483" footer="0.1574803149606299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75"/>
  <sheetViews>
    <sheetView tabSelected="1" view="pageBreakPreview" zoomScale="25" zoomScaleNormal="25" zoomScaleSheetLayoutView="25" zoomScalePageLayoutView="10" workbookViewId="0">
      <pane ySplit="14" topLeftCell="A31" activePane="bottomLeft" state="frozen"/>
      <selection activeCell="A22" sqref="A22"/>
      <selection pane="bottomLeft" activeCell="K42" sqref="K42"/>
    </sheetView>
  </sheetViews>
  <sheetFormatPr defaultColWidth="9.140625" defaultRowHeight="12.75" x14ac:dyDescent="0.2"/>
  <cols>
    <col min="1" max="1" width="48" style="18" customWidth="1"/>
    <col min="2" max="2" width="52.5703125" style="18" customWidth="1"/>
    <col min="3" max="3" width="65.7109375" style="18" customWidth="1"/>
    <col min="4" max="4" width="255.57031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90" t="s">
        <v>488</v>
      </c>
      <c r="O1" s="791"/>
      <c r="P1" s="791"/>
      <c r="Q1" s="791"/>
    </row>
    <row r="2" spans="1:18" ht="45.75" x14ac:dyDescent="0.2">
      <c r="A2" s="76"/>
      <c r="B2" s="76"/>
      <c r="C2" s="76"/>
      <c r="D2" s="76"/>
      <c r="E2" s="77"/>
      <c r="F2" s="78"/>
      <c r="G2" s="77"/>
      <c r="H2" s="77"/>
      <c r="I2" s="77"/>
      <c r="J2" s="77"/>
      <c r="K2" s="77"/>
      <c r="L2" s="77"/>
      <c r="M2" s="77"/>
      <c r="N2" s="790" t="s">
        <v>1606</v>
      </c>
      <c r="O2" s="792"/>
      <c r="P2" s="792"/>
      <c r="Q2" s="792"/>
    </row>
    <row r="3" spans="1:18" ht="40.700000000000003" customHeight="1" x14ac:dyDescent="0.2">
      <c r="A3" s="76"/>
      <c r="B3" s="76"/>
      <c r="C3" s="76"/>
      <c r="D3" s="76"/>
      <c r="E3" s="77"/>
      <c r="F3" s="78"/>
      <c r="G3" s="77"/>
      <c r="H3" s="77"/>
      <c r="I3" s="77"/>
      <c r="J3" s="77"/>
      <c r="K3" s="77"/>
      <c r="L3" s="77"/>
      <c r="M3" s="77"/>
      <c r="N3" s="77"/>
      <c r="O3" s="790"/>
      <c r="P3" s="793"/>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94" t="s">
        <v>558</v>
      </c>
      <c r="B5" s="794"/>
      <c r="C5" s="794"/>
      <c r="D5" s="794"/>
      <c r="E5" s="794"/>
      <c r="F5" s="794"/>
      <c r="G5" s="794"/>
      <c r="H5" s="794"/>
      <c r="I5" s="794"/>
      <c r="J5" s="794"/>
      <c r="K5" s="794"/>
      <c r="L5" s="794"/>
      <c r="M5" s="794"/>
      <c r="N5" s="794"/>
      <c r="O5" s="794"/>
      <c r="P5" s="794"/>
      <c r="Q5" s="80"/>
    </row>
    <row r="6" spans="1:18" ht="45" x14ac:dyDescent="0.2">
      <c r="A6" s="794" t="s">
        <v>1547</v>
      </c>
      <c r="B6" s="794"/>
      <c r="C6" s="794"/>
      <c r="D6" s="794"/>
      <c r="E6" s="794"/>
      <c r="F6" s="794"/>
      <c r="G6" s="794"/>
      <c r="H6" s="794"/>
      <c r="I6" s="794"/>
      <c r="J6" s="794"/>
      <c r="K6" s="794"/>
      <c r="L6" s="794"/>
      <c r="M6" s="794"/>
      <c r="N6" s="794"/>
      <c r="O6" s="794"/>
      <c r="P6" s="794"/>
      <c r="Q6" s="80"/>
    </row>
    <row r="7" spans="1:18" ht="45" x14ac:dyDescent="0.2">
      <c r="A7" s="77"/>
      <c r="B7" s="77"/>
      <c r="C7" s="77"/>
      <c r="D7" s="77"/>
      <c r="E7" s="77"/>
      <c r="F7" s="77"/>
      <c r="G7" s="77"/>
      <c r="H7" s="77"/>
      <c r="I7" s="77"/>
      <c r="J7" s="77"/>
      <c r="K7" s="77"/>
      <c r="L7" s="77"/>
      <c r="M7" s="77"/>
      <c r="N7" s="77"/>
      <c r="O7" s="77"/>
      <c r="P7" s="77"/>
      <c r="Q7" s="80"/>
    </row>
    <row r="8" spans="1:18" ht="45.75" x14ac:dyDescent="0.65">
      <c r="A8" s="795">
        <v>2256400000</v>
      </c>
      <c r="B8" s="796"/>
      <c r="C8" s="77"/>
      <c r="D8" s="365"/>
      <c r="E8" s="365"/>
      <c r="F8" s="365"/>
      <c r="G8" s="365"/>
      <c r="H8" s="365"/>
      <c r="I8" s="365"/>
      <c r="J8" s="365"/>
      <c r="K8" s="365"/>
      <c r="L8" s="365"/>
      <c r="M8" s="365"/>
      <c r="N8" s="365"/>
      <c r="O8" s="365"/>
      <c r="P8" s="365"/>
      <c r="Q8" s="13"/>
    </row>
    <row r="9" spans="1:18" ht="45.75" x14ac:dyDescent="0.2">
      <c r="A9" s="800" t="s">
        <v>485</v>
      </c>
      <c r="B9" s="801"/>
      <c r="C9" s="77"/>
      <c r="D9" s="365"/>
      <c r="E9" s="365"/>
      <c r="F9" s="365"/>
      <c r="G9" s="365"/>
      <c r="H9" s="365"/>
      <c r="I9" s="365"/>
      <c r="J9" s="365"/>
      <c r="K9" s="365"/>
      <c r="L9" s="365"/>
      <c r="M9" s="365"/>
      <c r="N9" s="365"/>
      <c r="O9" s="365"/>
      <c r="P9" s="365"/>
      <c r="Q9" s="13"/>
    </row>
    <row r="10" spans="1:18" ht="53.45" customHeight="1" thickBot="1" x14ac:dyDescent="0.25">
      <c r="A10" s="77"/>
      <c r="B10" s="77"/>
      <c r="C10" s="77"/>
      <c r="D10" s="365"/>
      <c r="E10" s="365"/>
      <c r="F10" s="366"/>
      <c r="G10" s="365"/>
      <c r="H10" s="365"/>
      <c r="I10" s="365"/>
      <c r="J10" s="365"/>
      <c r="K10" s="365"/>
      <c r="L10" s="365"/>
      <c r="M10" s="365"/>
      <c r="N10" s="365"/>
      <c r="O10" s="365"/>
      <c r="P10" s="300" t="s">
        <v>400</v>
      </c>
      <c r="Q10" s="13"/>
    </row>
    <row r="11" spans="1:18" ht="62.45" customHeight="1" thickTop="1" thickBot="1" x14ac:dyDescent="0.25">
      <c r="A11" s="799" t="s">
        <v>486</v>
      </c>
      <c r="B11" s="799" t="s">
        <v>487</v>
      </c>
      <c r="C11" s="799" t="s">
        <v>386</v>
      </c>
      <c r="D11" s="799" t="s">
        <v>566</v>
      </c>
      <c r="E11" s="797" t="s">
        <v>12</v>
      </c>
      <c r="F11" s="797"/>
      <c r="G11" s="797"/>
      <c r="H11" s="797"/>
      <c r="I11" s="797"/>
      <c r="J11" s="797" t="s">
        <v>52</v>
      </c>
      <c r="K11" s="797"/>
      <c r="L11" s="797"/>
      <c r="M11" s="797"/>
      <c r="N11" s="797"/>
      <c r="O11" s="798"/>
      <c r="P11" s="797" t="s">
        <v>11</v>
      </c>
      <c r="Q11" s="20"/>
    </row>
    <row r="12" spans="1:18" ht="96" customHeight="1" thickTop="1" thickBot="1" x14ac:dyDescent="0.25">
      <c r="A12" s="797"/>
      <c r="B12" s="802"/>
      <c r="C12" s="802"/>
      <c r="D12" s="797"/>
      <c r="E12" s="799" t="s">
        <v>380</v>
      </c>
      <c r="F12" s="799" t="s">
        <v>53</v>
      </c>
      <c r="G12" s="799" t="s">
        <v>13</v>
      </c>
      <c r="H12" s="799"/>
      <c r="I12" s="799" t="s">
        <v>55</v>
      </c>
      <c r="J12" s="799" t="s">
        <v>380</v>
      </c>
      <c r="K12" s="799" t="s">
        <v>381</v>
      </c>
      <c r="L12" s="799" t="s">
        <v>53</v>
      </c>
      <c r="M12" s="799" t="s">
        <v>13</v>
      </c>
      <c r="N12" s="799"/>
      <c r="O12" s="799" t="s">
        <v>55</v>
      </c>
      <c r="P12" s="797"/>
      <c r="Q12" s="20"/>
    </row>
    <row r="13" spans="1:18" ht="328.7" customHeight="1" thickTop="1" thickBot="1" x14ac:dyDescent="0.25">
      <c r="A13" s="802"/>
      <c r="B13" s="802"/>
      <c r="C13" s="802"/>
      <c r="D13" s="802"/>
      <c r="E13" s="799"/>
      <c r="F13" s="799"/>
      <c r="G13" s="301" t="s">
        <v>54</v>
      </c>
      <c r="H13" s="301" t="s">
        <v>15</v>
      </c>
      <c r="I13" s="799"/>
      <c r="J13" s="799"/>
      <c r="K13" s="799"/>
      <c r="L13" s="799"/>
      <c r="M13" s="301" t="s">
        <v>54</v>
      </c>
      <c r="N13" s="301" t="s">
        <v>15</v>
      </c>
      <c r="O13" s="799"/>
      <c r="P13" s="797"/>
      <c r="Q13" s="20"/>
    </row>
    <row r="14" spans="1:18" s="24" customFormat="1" ht="47.25" thickTop="1" thickBot="1" x14ac:dyDescent="0.25">
      <c r="A14" s="298" t="s">
        <v>2</v>
      </c>
      <c r="B14" s="298" t="s">
        <v>3</v>
      </c>
      <c r="C14" s="298" t="s">
        <v>14</v>
      </c>
      <c r="D14" s="298" t="s">
        <v>5</v>
      </c>
      <c r="E14" s="298" t="s">
        <v>388</v>
      </c>
      <c r="F14" s="298" t="s">
        <v>389</v>
      </c>
      <c r="G14" s="298" t="s">
        <v>390</v>
      </c>
      <c r="H14" s="298" t="s">
        <v>391</v>
      </c>
      <c r="I14" s="298" t="s">
        <v>392</v>
      </c>
      <c r="J14" s="298" t="s">
        <v>393</v>
      </c>
      <c r="K14" s="298" t="s">
        <v>394</v>
      </c>
      <c r="L14" s="298" t="s">
        <v>395</v>
      </c>
      <c r="M14" s="298" t="s">
        <v>396</v>
      </c>
      <c r="N14" s="298" t="s">
        <v>397</v>
      </c>
      <c r="O14" s="298" t="s">
        <v>398</v>
      </c>
      <c r="P14" s="298" t="s">
        <v>399</v>
      </c>
      <c r="Q14" s="124"/>
      <c r="R14" s="23"/>
    </row>
    <row r="15" spans="1:18" s="24" customFormat="1" ht="120" customHeight="1" thickTop="1" thickBot="1" x14ac:dyDescent="0.25">
      <c r="A15" s="624" t="s">
        <v>147</v>
      </c>
      <c r="B15" s="624"/>
      <c r="C15" s="624"/>
      <c r="D15" s="625" t="s">
        <v>149</v>
      </c>
      <c r="E15" s="626">
        <f>E16</f>
        <v>358385144.84000003</v>
      </c>
      <c r="F15" s="627">
        <f t="shared" ref="F15:N15" si="0">F16</f>
        <v>358385144.84000003</v>
      </c>
      <c r="G15" s="627">
        <f t="shared" si="0"/>
        <v>117510928</v>
      </c>
      <c r="H15" s="627">
        <f t="shared" si="0"/>
        <v>6091100</v>
      </c>
      <c r="I15" s="627">
        <f t="shared" si="0"/>
        <v>0</v>
      </c>
      <c r="J15" s="626">
        <f t="shared" si="0"/>
        <v>265388420.25</v>
      </c>
      <c r="K15" s="627">
        <f t="shared" si="0"/>
        <v>252251401.28</v>
      </c>
      <c r="L15" s="627">
        <f t="shared" si="0"/>
        <v>12987018.969999999</v>
      </c>
      <c r="M15" s="627">
        <f t="shared" si="0"/>
        <v>0</v>
      </c>
      <c r="N15" s="627">
        <f t="shared" si="0"/>
        <v>0</v>
      </c>
      <c r="O15" s="626">
        <f>O16</f>
        <v>252401401.28</v>
      </c>
      <c r="P15" s="627">
        <f t="shared" ref="P15" si="1">P16</f>
        <v>623773565.09000003</v>
      </c>
      <c r="Q15" s="25"/>
      <c r="R15" s="25"/>
    </row>
    <row r="16" spans="1:18" s="24" customFormat="1" ht="120" customHeight="1" thickTop="1" thickBot="1" x14ac:dyDescent="0.25">
      <c r="A16" s="588" t="s">
        <v>148</v>
      </c>
      <c r="B16" s="588"/>
      <c r="C16" s="588"/>
      <c r="D16" s="589" t="s">
        <v>150</v>
      </c>
      <c r="E16" s="590">
        <f>E17+E27+E38+E44+E22</f>
        <v>358385144.84000003</v>
      </c>
      <c r="F16" s="590">
        <f>F17+F27+F38+F44+F22</f>
        <v>358385144.84000003</v>
      </c>
      <c r="G16" s="590">
        <f>G17+G27+G38+G44+G22</f>
        <v>117510928</v>
      </c>
      <c r="H16" s="590">
        <f>H17+H27+H38+H44+H22</f>
        <v>6091100</v>
      </c>
      <c r="I16" s="590">
        <f>I17+I27+I38+I44+I22</f>
        <v>0</v>
      </c>
      <c r="J16" s="590">
        <f>L16+O16</f>
        <v>265388420.25</v>
      </c>
      <c r="K16" s="590">
        <f>K17+K27+K38+K44+K22</f>
        <v>252251401.28</v>
      </c>
      <c r="L16" s="590">
        <f>L17+L27+L38+L44+L22</f>
        <v>12987018.969999999</v>
      </c>
      <c r="M16" s="590">
        <f>M17+M27+M38+M44+M22</f>
        <v>0</v>
      </c>
      <c r="N16" s="590">
        <f>N17+N27+N38+N44+N22</f>
        <v>0</v>
      </c>
      <c r="O16" s="590">
        <f>O17+O27+O38+O44+O22</f>
        <v>252401401.28</v>
      </c>
      <c r="P16" s="590">
        <f>E16+J16</f>
        <v>623773565.09000003</v>
      </c>
      <c r="Q16" s="474" t="b">
        <f>P16=P18+P21+P26+P29+P34+P36+P37+P40+P41+P43+P46+P47+P48+P24+P32</f>
        <v>1</v>
      </c>
      <c r="R16" s="26"/>
    </row>
    <row r="17" spans="1:18" s="28" customFormat="1" ht="47.25" thickTop="1" thickBot="1" x14ac:dyDescent="0.25">
      <c r="A17" s="298" t="s">
        <v>671</v>
      </c>
      <c r="B17" s="298" t="s">
        <v>672</v>
      </c>
      <c r="C17" s="298"/>
      <c r="D17" s="298" t="s">
        <v>673</v>
      </c>
      <c r="E17" s="310">
        <f>SUM(E18:E21)</f>
        <v>180145084</v>
      </c>
      <c r="F17" s="310">
        <f>SUM(F18:F21)</f>
        <v>180145084</v>
      </c>
      <c r="G17" s="310">
        <f t="shared" ref="G17:P17" si="2">SUM(G18:G21)</f>
        <v>117510928</v>
      </c>
      <c r="H17" s="310">
        <f t="shared" si="2"/>
        <v>6091100</v>
      </c>
      <c r="I17" s="310">
        <f t="shared" si="2"/>
        <v>0</v>
      </c>
      <c r="J17" s="310">
        <f t="shared" si="2"/>
        <v>2395500</v>
      </c>
      <c r="K17" s="310">
        <f t="shared" si="2"/>
        <v>2395500</v>
      </c>
      <c r="L17" s="310">
        <f t="shared" si="2"/>
        <v>0</v>
      </c>
      <c r="M17" s="310">
        <f t="shared" si="2"/>
        <v>0</v>
      </c>
      <c r="N17" s="310">
        <f t="shared" si="2"/>
        <v>0</v>
      </c>
      <c r="O17" s="310">
        <f t="shared" si="2"/>
        <v>2395500</v>
      </c>
      <c r="P17" s="310">
        <f t="shared" si="2"/>
        <v>182540584</v>
      </c>
      <c r="Q17" s="31"/>
      <c r="R17" s="27"/>
    </row>
    <row r="18" spans="1:18" ht="173.25" customHeight="1" thickTop="1" thickBot="1" x14ac:dyDescent="0.25">
      <c r="A18" s="101" t="s">
        <v>231</v>
      </c>
      <c r="B18" s="101" t="s">
        <v>232</v>
      </c>
      <c r="C18" s="101" t="s">
        <v>233</v>
      </c>
      <c r="D18" s="101" t="s">
        <v>230</v>
      </c>
      <c r="E18" s="310">
        <f t="shared" ref="E18:E46" si="3">F18</f>
        <v>158100084</v>
      </c>
      <c r="F18" s="308">
        <f>(((145451830-200000-1357000)+1048000)+8196800+1803200+50000+113000)+2694500+299754</f>
        <v>158100084</v>
      </c>
      <c r="G18" s="308">
        <f>((106818628)+8196800)+2495500</f>
        <v>117510928</v>
      </c>
      <c r="H18" s="308">
        <f>(2700000+100000+2720000+267000+74100)+230000</f>
        <v>6091100</v>
      </c>
      <c r="I18" s="308"/>
      <c r="J18" s="310">
        <f t="shared" ref="J18:J34" si="4">L18+O18</f>
        <v>2395500</v>
      </c>
      <c r="K18" s="308">
        <f>((200000+1357000)+50000)+788500</f>
        <v>2395500</v>
      </c>
      <c r="L18" s="421"/>
      <c r="M18" s="615"/>
      <c r="N18" s="615"/>
      <c r="O18" s="422">
        <f t="shared" ref="O18:O34" si="5">K18</f>
        <v>2395500</v>
      </c>
      <c r="P18" s="310">
        <f>+J18+E18</f>
        <v>160495584</v>
      </c>
      <c r="Q18" s="131"/>
      <c r="R18" s="29"/>
    </row>
    <row r="19" spans="1:18" ht="93" hidden="1" thickTop="1" thickBot="1" x14ac:dyDescent="0.25">
      <c r="A19" s="126" t="s">
        <v>577</v>
      </c>
      <c r="B19" s="126" t="s">
        <v>235</v>
      </c>
      <c r="C19" s="126" t="s">
        <v>233</v>
      </c>
      <c r="D19" s="126" t="s">
        <v>234</v>
      </c>
      <c r="E19" s="125">
        <f t="shared" ref="E19" si="6">F19</f>
        <v>0</v>
      </c>
      <c r="F19" s="127"/>
      <c r="G19" s="127"/>
      <c r="H19" s="127"/>
      <c r="I19" s="127"/>
      <c r="J19" s="125">
        <f t="shared" ref="J19" si="7">L19+O19</f>
        <v>0</v>
      </c>
      <c r="K19" s="127"/>
      <c r="L19" s="128"/>
      <c r="M19" s="129"/>
      <c r="N19" s="129"/>
      <c r="O19" s="130">
        <f t="shared" si="5"/>
        <v>0</v>
      </c>
      <c r="P19" s="125">
        <f>+J19+E19</f>
        <v>0</v>
      </c>
      <c r="Q19" s="131"/>
      <c r="R19" s="29"/>
    </row>
    <row r="20" spans="1:18" ht="93" hidden="1" thickTop="1" thickBot="1" x14ac:dyDescent="0.25">
      <c r="A20" s="126" t="s">
        <v>615</v>
      </c>
      <c r="B20" s="126" t="s">
        <v>358</v>
      </c>
      <c r="C20" s="126" t="s">
        <v>616</v>
      </c>
      <c r="D20" s="126" t="s">
        <v>617</v>
      </c>
      <c r="E20" s="125">
        <f t="shared" ref="E20" si="8">F20</f>
        <v>0</v>
      </c>
      <c r="F20" s="127">
        <v>0</v>
      </c>
      <c r="G20" s="127"/>
      <c r="H20" s="127"/>
      <c r="I20" s="127"/>
      <c r="J20" s="125">
        <f t="shared" ref="J20" si="9">L20+O20</f>
        <v>0</v>
      </c>
      <c r="K20" s="127"/>
      <c r="L20" s="128"/>
      <c r="M20" s="129"/>
      <c r="N20" s="129"/>
      <c r="O20" s="130">
        <f t="shared" si="5"/>
        <v>0</v>
      </c>
      <c r="P20" s="125">
        <f>+J20+E20</f>
        <v>0</v>
      </c>
      <c r="Q20" s="131"/>
      <c r="R20" s="30"/>
    </row>
    <row r="21" spans="1:18" ht="88.5" customHeight="1" thickTop="1" thickBot="1" x14ac:dyDescent="0.25">
      <c r="A21" s="101" t="s">
        <v>245</v>
      </c>
      <c r="B21" s="101" t="s">
        <v>43</v>
      </c>
      <c r="C21" s="101" t="s">
        <v>42</v>
      </c>
      <c r="D21" s="101" t="s">
        <v>246</v>
      </c>
      <c r="E21" s="310">
        <f t="shared" si="3"/>
        <v>22045000</v>
      </c>
      <c r="F21" s="425">
        <f>((29775200)-7896400)+166200</f>
        <v>22045000</v>
      </c>
      <c r="G21" s="425"/>
      <c r="H21" s="425"/>
      <c r="I21" s="425"/>
      <c r="J21" s="310">
        <f t="shared" si="4"/>
        <v>0</v>
      </c>
      <c r="K21" s="425"/>
      <c r="L21" s="425"/>
      <c r="M21" s="425"/>
      <c r="N21" s="425"/>
      <c r="O21" s="422">
        <f t="shared" si="5"/>
        <v>0</v>
      </c>
      <c r="P21" s="310">
        <f>E21+J21</f>
        <v>22045000</v>
      </c>
      <c r="Q21" s="131"/>
      <c r="R21" s="30"/>
    </row>
    <row r="22" spans="1:18" ht="75.75" customHeight="1" thickTop="1" thickBot="1" x14ac:dyDescent="0.25">
      <c r="A22" s="298" t="s">
        <v>1501</v>
      </c>
      <c r="B22" s="298" t="s">
        <v>698</v>
      </c>
      <c r="C22" s="298"/>
      <c r="D22" s="298" t="s">
        <v>699</v>
      </c>
      <c r="E22" s="310">
        <f t="shared" ref="E22:P22" si="10">E25+E23</f>
        <v>8063149</v>
      </c>
      <c r="F22" s="310">
        <f t="shared" si="10"/>
        <v>8063149</v>
      </c>
      <c r="G22" s="310">
        <f t="shared" si="10"/>
        <v>0</v>
      </c>
      <c r="H22" s="310">
        <f t="shared" si="10"/>
        <v>0</v>
      </c>
      <c r="I22" s="310">
        <f t="shared" si="10"/>
        <v>0</v>
      </c>
      <c r="J22" s="310">
        <f t="shared" si="10"/>
        <v>504000</v>
      </c>
      <c r="K22" s="310">
        <f t="shared" si="10"/>
        <v>504000</v>
      </c>
      <c r="L22" s="310">
        <f t="shared" si="10"/>
        <v>0</v>
      </c>
      <c r="M22" s="310">
        <f t="shared" si="10"/>
        <v>0</v>
      </c>
      <c r="N22" s="310">
        <f t="shared" si="10"/>
        <v>0</v>
      </c>
      <c r="O22" s="310">
        <f t="shared" si="10"/>
        <v>504000</v>
      </c>
      <c r="P22" s="310">
        <f t="shared" si="10"/>
        <v>8567149</v>
      </c>
      <c r="Q22" s="131"/>
      <c r="R22" s="30"/>
    </row>
    <row r="23" spans="1:18" ht="79.5" customHeight="1" thickTop="1" thickBot="1" x14ac:dyDescent="0.25">
      <c r="A23" s="598" t="s">
        <v>1646</v>
      </c>
      <c r="B23" s="598" t="s">
        <v>723</v>
      </c>
      <c r="C23" s="598"/>
      <c r="D23" s="598" t="s">
        <v>724</v>
      </c>
      <c r="E23" s="599">
        <f>E24</f>
        <v>3455220</v>
      </c>
      <c r="F23" s="599">
        <f t="shared" ref="F23:P25" si="11">F24</f>
        <v>3455220</v>
      </c>
      <c r="G23" s="599">
        <f t="shared" si="11"/>
        <v>0</v>
      </c>
      <c r="H23" s="599">
        <f t="shared" si="11"/>
        <v>0</v>
      </c>
      <c r="I23" s="599">
        <f t="shared" si="11"/>
        <v>0</v>
      </c>
      <c r="J23" s="599">
        <f t="shared" si="11"/>
        <v>0</v>
      </c>
      <c r="K23" s="599">
        <f t="shared" si="11"/>
        <v>0</v>
      </c>
      <c r="L23" s="599">
        <f t="shared" si="11"/>
        <v>0</v>
      </c>
      <c r="M23" s="599">
        <f t="shared" si="11"/>
        <v>0</v>
      </c>
      <c r="N23" s="599">
        <f t="shared" si="11"/>
        <v>0</v>
      </c>
      <c r="O23" s="599">
        <f t="shared" si="11"/>
        <v>0</v>
      </c>
      <c r="P23" s="599">
        <f t="shared" si="11"/>
        <v>3455220</v>
      </c>
      <c r="Q23" s="131"/>
      <c r="R23" s="30"/>
    </row>
    <row r="24" spans="1:18" ht="172.5" customHeight="1" thickTop="1" thickBot="1" x14ac:dyDescent="0.25">
      <c r="A24" s="101" t="s">
        <v>1643</v>
      </c>
      <c r="B24" s="101" t="s">
        <v>1644</v>
      </c>
      <c r="C24" s="101" t="s">
        <v>204</v>
      </c>
      <c r="D24" s="600" t="s">
        <v>1645</v>
      </c>
      <c r="E24" s="310">
        <f t="shared" ref="E24:E26" si="12">F24</f>
        <v>3455220</v>
      </c>
      <c r="F24" s="425">
        <f>((2211460)-349000)+1592760</f>
        <v>3455220</v>
      </c>
      <c r="G24" s="308"/>
      <c r="H24" s="308"/>
      <c r="I24" s="425"/>
      <c r="J24" s="310">
        <f t="shared" ref="J24:J26" si="13">L24+O24</f>
        <v>0</v>
      </c>
      <c r="K24" s="425"/>
      <c r="L24" s="425"/>
      <c r="M24" s="425"/>
      <c r="N24" s="425"/>
      <c r="O24" s="422"/>
      <c r="P24" s="310">
        <f t="shared" ref="P24:P26" si="14">E24+J24</f>
        <v>3455220</v>
      </c>
      <c r="Q24" s="131"/>
      <c r="R24" s="30"/>
    </row>
    <row r="25" spans="1:18" ht="69.75" customHeight="1" thickTop="1" thickBot="1" x14ac:dyDescent="0.25">
      <c r="A25" s="598" t="s">
        <v>1502</v>
      </c>
      <c r="B25" s="598" t="s">
        <v>726</v>
      </c>
      <c r="C25" s="598"/>
      <c r="D25" s="598" t="s">
        <v>727</v>
      </c>
      <c r="E25" s="599">
        <f>E26</f>
        <v>4607929</v>
      </c>
      <c r="F25" s="599">
        <f t="shared" si="11"/>
        <v>4607929</v>
      </c>
      <c r="G25" s="599">
        <f t="shared" si="11"/>
        <v>0</v>
      </c>
      <c r="H25" s="599">
        <f t="shared" si="11"/>
        <v>0</v>
      </c>
      <c r="I25" s="599">
        <f t="shared" si="11"/>
        <v>0</v>
      </c>
      <c r="J25" s="599">
        <f t="shared" si="11"/>
        <v>504000</v>
      </c>
      <c r="K25" s="599">
        <f t="shared" si="11"/>
        <v>504000</v>
      </c>
      <c r="L25" s="599">
        <f t="shared" si="11"/>
        <v>0</v>
      </c>
      <c r="M25" s="599">
        <f t="shared" si="11"/>
        <v>0</v>
      </c>
      <c r="N25" s="599">
        <f t="shared" si="11"/>
        <v>0</v>
      </c>
      <c r="O25" s="599">
        <f t="shared" si="11"/>
        <v>504000</v>
      </c>
      <c r="P25" s="599">
        <f t="shared" si="11"/>
        <v>5111929</v>
      </c>
      <c r="Q25" s="131"/>
      <c r="R25" s="30"/>
    </row>
    <row r="26" spans="1:18" ht="124.5" customHeight="1" thickTop="1" thickBot="1" x14ac:dyDescent="0.25">
      <c r="A26" s="101" t="s">
        <v>1503</v>
      </c>
      <c r="B26" s="101" t="s">
        <v>327</v>
      </c>
      <c r="C26" s="101" t="s">
        <v>190</v>
      </c>
      <c r="D26" s="600" t="s">
        <v>1621</v>
      </c>
      <c r="E26" s="310">
        <f t="shared" si="12"/>
        <v>4607929</v>
      </c>
      <c r="F26" s="425">
        <f>((4585029-425000)+200000)+247900</f>
        <v>4607929</v>
      </c>
      <c r="G26" s="308"/>
      <c r="H26" s="308"/>
      <c r="I26" s="425"/>
      <c r="J26" s="310">
        <f t="shared" si="13"/>
        <v>504000</v>
      </c>
      <c r="K26" s="425">
        <f>(425000)+79000</f>
        <v>504000</v>
      </c>
      <c r="L26" s="425"/>
      <c r="M26" s="425"/>
      <c r="N26" s="425"/>
      <c r="O26" s="422">
        <f>(K26)</f>
        <v>504000</v>
      </c>
      <c r="P26" s="310">
        <f t="shared" si="14"/>
        <v>5111929</v>
      </c>
      <c r="Q26" s="131"/>
      <c r="R26" s="30"/>
    </row>
    <row r="27" spans="1:18" s="28" customFormat="1" ht="75.75" customHeight="1" thickTop="1" thickBot="1" x14ac:dyDescent="0.3">
      <c r="A27" s="298" t="s">
        <v>734</v>
      </c>
      <c r="B27" s="298" t="s">
        <v>735</v>
      </c>
      <c r="C27" s="298"/>
      <c r="D27" s="298" t="s">
        <v>736</v>
      </c>
      <c r="E27" s="310">
        <f t="shared" ref="E27:P27" si="15">SUM(E28:E37)-E28-E31-E35</f>
        <v>11592754.969999999</v>
      </c>
      <c r="F27" s="310">
        <f t="shared" si="15"/>
        <v>11592754.969999999</v>
      </c>
      <c r="G27" s="310">
        <f t="shared" si="15"/>
        <v>0</v>
      </c>
      <c r="H27" s="310">
        <f t="shared" si="15"/>
        <v>0</v>
      </c>
      <c r="I27" s="310">
        <f t="shared" si="15"/>
        <v>0</v>
      </c>
      <c r="J27" s="310">
        <f t="shared" si="15"/>
        <v>17137018.969999999</v>
      </c>
      <c r="K27" s="310">
        <f t="shared" si="15"/>
        <v>4000000</v>
      </c>
      <c r="L27" s="310">
        <f t="shared" si="15"/>
        <v>12987018.969999999</v>
      </c>
      <c r="M27" s="310">
        <f t="shared" si="15"/>
        <v>0</v>
      </c>
      <c r="N27" s="310">
        <f t="shared" si="15"/>
        <v>0</v>
      </c>
      <c r="O27" s="310">
        <f t="shared" si="15"/>
        <v>4150000</v>
      </c>
      <c r="P27" s="310">
        <f t="shared" si="15"/>
        <v>28729773.939999998</v>
      </c>
      <c r="Q27" s="133"/>
      <c r="R27" s="31"/>
    </row>
    <row r="28" spans="1:18" s="33" customFormat="1" ht="72" customHeight="1" thickTop="1" thickBot="1" x14ac:dyDescent="0.25">
      <c r="A28" s="593" t="s">
        <v>674</v>
      </c>
      <c r="B28" s="593" t="s">
        <v>675</v>
      </c>
      <c r="C28" s="593"/>
      <c r="D28" s="593" t="s">
        <v>676</v>
      </c>
      <c r="E28" s="595">
        <f t="shared" ref="E28:P28" si="16">SUM(E29:E30)</f>
        <v>7425100</v>
      </c>
      <c r="F28" s="595">
        <f t="shared" si="16"/>
        <v>7425100</v>
      </c>
      <c r="G28" s="595">
        <f t="shared" si="16"/>
        <v>0</v>
      </c>
      <c r="H28" s="595">
        <f t="shared" si="16"/>
        <v>0</v>
      </c>
      <c r="I28" s="595">
        <f t="shared" si="16"/>
        <v>0</v>
      </c>
      <c r="J28" s="595">
        <f t="shared" si="16"/>
        <v>4000000</v>
      </c>
      <c r="K28" s="595">
        <f t="shared" si="16"/>
        <v>4000000</v>
      </c>
      <c r="L28" s="595">
        <f t="shared" si="16"/>
        <v>0</v>
      </c>
      <c r="M28" s="595">
        <f t="shared" si="16"/>
        <v>0</v>
      </c>
      <c r="N28" s="595">
        <f t="shared" si="16"/>
        <v>0</v>
      </c>
      <c r="O28" s="595">
        <f t="shared" si="16"/>
        <v>4000000</v>
      </c>
      <c r="P28" s="595">
        <f t="shared" si="16"/>
        <v>11425100</v>
      </c>
      <c r="Q28" s="136"/>
      <c r="R28" s="32"/>
    </row>
    <row r="29" spans="1:18" ht="69.75" customHeight="1" thickTop="1" thickBot="1" x14ac:dyDescent="0.25">
      <c r="A29" s="101" t="s">
        <v>237</v>
      </c>
      <c r="B29" s="101" t="s">
        <v>238</v>
      </c>
      <c r="C29" s="101" t="s">
        <v>239</v>
      </c>
      <c r="D29" s="101" t="s">
        <v>236</v>
      </c>
      <c r="E29" s="310">
        <f t="shared" si="3"/>
        <v>7425100</v>
      </c>
      <c r="F29" s="425">
        <f>(((6305100)+200000)+200000+220000)+500000</f>
        <v>7425100</v>
      </c>
      <c r="G29" s="425"/>
      <c r="H29" s="425"/>
      <c r="I29" s="425"/>
      <c r="J29" s="310">
        <f t="shared" si="4"/>
        <v>4000000</v>
      </c>
      <c r="K29" s="425">
        <f>((0)+2000000)+2000000</f>
        <v>4000000</v>
      </c>
      <c r="L29" s="425"/>
      <c r="M29" s="425"/>
      <c r="N29" s="425"/>
      <c r="O29" s="422">
        <f t="shared" si="5"/>
        <v>4000000</v>
      </c>
      <c r="P29" s="310">
        <f>+J29+E29</f>
        <v>11425100</v>
      </c>
      <c r="Q29" s="131"/>
      <c r="R29" s="29"/>
    </row>
    <row r="30" spans="1:18" ht="93" hidden="1" thickTop="1" thickBot="1" x14ac:dyDescent="0.25">
      <c r="A30" s="41" t="s">
        <v>956</v>
      </c>
      <c r="B30" s="41" t="s">
        <v>957</v>
      </c>
      <c r="C30" s="41" t="s">
        <v>239</v>
      </c>
      <c r="D30" s="41" t="s">
        <v>958</v>
      </c>
      <c r="E30" s="125">
        <f t="shared" si="3"/>
        <v>0</v>
      </c>
      <c r="F30" s="132">
        <v>0</v>
      </c>
      <c r="G30" s="132"/>
      <c r="H30" s="132"/>
      <c r="I30" s="132"/>
      <c r="J30" s="125">
        <f t="shared" si="4"/>
        <v>0</v>
      </c>
      <c r="K30" s="43"/>
      <c r="L30" s="43"/>
      <c r="M30" s="43"/>
      <c r="N30" s="43"/>
      <c r="O30" s="44"/>
      <c r="P30" s="42">
        <f>+J30+E30</f>
        <v>0</v>
      </c>
      <c r="Q30" s="131"/>
      <c r="R30" s="29"/>
    </row>
    <row r="31" spans="1:18" ht="63" customHeight="1" thickTop="1" thickBot="1" x14ac:dyDescent="0.25">
      <c r="A31" s="593" t="s">
        <v>678</v>
      </c>
      <c r="B31" s="593" t="s">
        <v>679</v>
      </c>
      <c r="C31" s="593"/>
      <c r="D31" s="593" t="s">
        <v>677</v>
      </c>
      <c r="E31" s="595">
        <f>SUM(E34)+E35+E33+E32</f>
        <v>4167654.9699999997</v>
      </c>
      <c r="F31" s="595">
        <f t="shared" ref="F31:P31" si="17">SUM(F34)+F35+F33+F32</f>
        <v>4167654.9699999997</v>
      </c>
      <c r="G31" s="595">
        <f t="shared" si="17"/>
        <v>0</v>
      </c>
      <c r="H31" s="595">
        <f t="shared" si="17"/>
        <v>0</v>
      </c>
      <c r="I31" s="595">
        <f t="shared" si="17"/>
        <v>0</v>
      </c>
      <c r="J31" s="595">
        <f t="shared" si="17"/>
        <v>13137018.969999999</v>
      </c>
      <c r="K31" s="595">
        <f t="shared" si="17"/>
        <v>0</v>
      </c>
      <c r="L31" s="595">
        <f t="shared" si="17"/>
        <v>12987018.969999999</v>
      </c>
      <c r="M31" s="595">
        <f t="shared" si="17"/>
        <v>0</v>
      </c>
      <c r="N31" s="595">
        <f t="shared" si="17"/>
        <v>0</v>
      </c>
      <c r="O31" s="595">
        <f t="shared" si="17"/>
        <v>150000</v>
      </c>
      <c r="P31" s="595">
        <f t="shared" si="17"/>
        <v>17304673.939999998</v>
      </c>
      <c r="Q31" s="137"/>
      <c r="R31" s="34"/>
    </row>
    <row r="32" spans="1:18" ht="63" customHeight="1" thickTop="1" thickBot="1" x14ac:dyDescent="0.25">
      <c r="A32" s="101" t="s">
        <v>1737</v>
      </c>
      <c r="B32" s="101" t="s">
        <v>252</v>
      </c>
      <c r="C32" s="101" t="s">
        <v>212</v>
      </c>
      <c r="D32" s="101" t="s">
        <v>251</v>
      </c>
      <c r="E32" s="310">
        <f t="shared" ref="E32" si="18">F32</f>
        <v>586205.97</v>
      </c>
      <c r="F32" s="425">
        <v>586205.97</v>
      </c>
      <c r="G32" s="425"/>
      <c r="H32" s="425"/>
      <c r="I32" s="425"/>
      <c r="J32" s="310">
        <f t="shared" ref="J32" si="19">L32+O32</f>
        <v>0</v>
      </c>
      <c r="K32" s="425"/>
      <c r="L32" s="425"/>
      <c r="M32" s="425"/>
      <c r="N32" s="425"/>
      <c r="O32" s="422">
        <f>K32</f>
        <v>0</v>
      </c>
      <c r="P32" s="310">
        <f t="shared" ref="P32" si="20">E32+J32</f>
        <v>586205.97</v>
      </c>
      <c r="Q32" s="137"/>
      <c r="R32" s="34"/>
    </row>
    <row r="33" spans="1:18" ht="48" hidden="1" thickTop="1" thickBot="1" x14ac:dyDescent="0.25">
      <c r="A33" s="101" t="s">
        <v>1341</v>
      </c>
      <c r="B33" s="101" t="s">
        <v>211</v>
      </c>
      <c r="C33" s="101" t="s">
        <v>212</v>
      </c>
      <c r="D33" s="101" t="s">
        <v>41</v>
      </c>
      <c r="E33" s="310">
        <f t="shared" si="3"/>
        <v>0</v>
      </c>
      <c r="F33" s="425"/>
      <c r="G33" s="425"/>
      <c r="H33" s="425"/>
      <c r="I33" s="425"/>
      <c r="J33" s="310">
        <f t="shared" si="4"/>
        <v>0</v>
      </c>
      <c r="K33" s="425"/>
      <c r="L33" s="425"/>
      <c r="M33" s="425"/>
      <c r="N33" s="425"/>
      <c r="O33" s="422">
        <f t="shared" si="5"/>
        <v>0</v>
      </c>
      <c r="P33" s="310">
        <f>+J33+E33</f>
        <v>0</v>
      </c>
      <c r="Q33" s="137"/>
      <c r="R33" s="34"/>
    </row>
    <row r="34" spans="1:18" ht="76.7" customHeight="1" thickTop="1" thickBot="1" x14ac:dyDescent="0.25">
      <c r="A34" s="101" t="s">
        <v>297</v>
      </c>
      <c r="B34" s="101" t="s">
        <v>298</v>
      </c>
      <c r="C34" s="101" t="s">
        <v>169</v>
      </c>
      <c r="D34" s="101" t="s">
        <v>437</v>
      </c>
      <c r="E34" s="310">
        <f t="shared" si="3"/>
        <v>626435</v>
      </c>
      <c r="F34" s="425">
        <f>(326435)+300000</f>
        <v>626435</v>
      </c>
      <c r="G34" s="425"/>
      <c r="H34" s="425"/>
      <c r="I34" s="425"/>
      <c r="J34" s="310">
        <f t="shared" si="4"/>
        <v>0</v>
      </c>
      <c r="K34" s="425"/>
      <c r="L34" s="425"/>
      <c r="M34" s="425"/>
      <c r="N34" s="425"/>
      <c r="O34" s="422">
        <f t="shared" si="5"/>
        <v>0</v>
      </c>
      <c r="P34" s="310">
        <f>+J34+E34</f>
        <v>626435</v>
      </c>
      <c r="Q34" s="131"/>
      <c r="R34" s="30"/>
    </row>
    <row r="35" spans="1:18" ht="72.75" customHeight="1" thickTop="1" thickBot="1" x14ac:dyDescent="0.25">
      <c r="A35" s="598" t="s">
        <v>681</v>
      </c>
      <c r="B35" s="598" t="s">
        <v>682</v>
      </c>
      <c r="C35" s="598"/>
      <c r="D35" s="616" t="s">
        <v>680</v>
      </c>
      <c r="E35" s="599">
        <f t="shared" ref="E35:O35" si="21">SUM(E36:E37)</f>
        <v>2955014</v>
      </c>
      <c r="F35" s="599">
        <f t="shared" si="21"/>
        <v>2955014</v>
      </c>
      <c r="G35" s="599">
        <f t="shared" si="21"/>
        <v>0</v>
      </c>
      <c r="H35" s="599">
        <f t="shared" si="21"/>
        <v>0</v>
      </c>
      <c r="I35" s="599">
        <f t="shared" si="21"/>
        <v>0</v>
      </c>
      <c r="J35" s="599">
        <f t="shared" si="21"/>
        <v>13137018.969999999</v>
      </c>
      <c r="K35" s="599">
        <f t="shared" si="21"/>
        <v>0</v>
      </c>
      <c r="L35" s="599">
        <f t="shared" si="21"/>
        <v>12987018.969999999</v>
      </c>
      <c r="M35" s="599">
        <f t="shared" si="21"/>
        <v>0</v>
      </c>
      <c r="N35" s="599">
        <f t="shared" si="21"/>
        <v>0</v>
      </c>
      <c r="O35" s="599">
        <f t="shared" si="21"/>
        <v>150000</v>
      </c>
      <c r="P35" s="599">
        <f>E35+J35</f>
        <v>16092032.969999999</v>
      </c>
      <c r="Q35" s="137"/>
      <c r="R35" s="35"/>
    </row>
    <row r="36" spans="1:18" s="33" customFormat="1" ht="309.75" customHeight="1" thickTop="1" thickBot="1" x14ac:dyDescent="0.25">
      <c r="A36" s="101" t="s">
        <v>336</v>
      </c>
      <c r="B36" s="101" t="s">
        <v>335</v>
      </c>
      <c r="C36" s="101" t="s">
        <v>169</v>
      </c>
      <c r="D36" s="724" t="s">
        <v>1715</v>
      </c>
      <c r="E36" s="310">
        <f t="shared" si="3"/>
        <v>0</v>
      </c>
      <c r="F36" s="309"/>
      <c r="G36" s="309"/>
      <c r="H36" s="309"/>
      <c r="I36" s="309"/>
      <c r="J36" s="636">
        <f>L36+O36</f>
        <v>13137018.969999999</v>
      </c>
      <c r="K36" s="309"/>
      <c r="L36" s="309">
        <f>((1071271+285129+2993600)+7936156.97+5000)+695862</f>
        <v>12987018.969999999</v>
      </c>
      <c r="M36" s="309"/>
      <c r="N36" s="309"/>
      <c r="O36" s="605">
        <f>150000</f>
        <v>150000</v>
      </c>
      <c r="P36" s="708">
        <f>E36+J36</f>
        <v>13137018.969999999</v>
      </c>
      <c r="Q36" s="140"/>
      <c r="R36" s="36"/>
    </row>
    <row r="37" spans="1:18" s="33" customFormat="1" ht="79.5" customHeight="1" thickTop="1" thickBot="1" x14ac:dyDescent="0.25">
      <c r="A37" s="101" t="s">
        <v>896</v>
      </c>
      <c r="B37" s="101" t="s">
        <v>255</v>
      </c>
      <c r="C37" s="101" t="s">
        <v>169</v>
      </c>
      <c r="D37" s="101" t="s">
        <v>253</v>
      </c>
      <c r="E37" s="310">
        <f>F37</f>
        <v>2955014</v>
      </c>
      <c r="F37" s="425">
        <f>((2655260)+299754)</f>
        <v>2955014</v>
      </c>
      <c r="G37" s="425"/>
      <c r="H37" s="425"/>
      <c r="I37" s="425"/>
      <c r="J37" s="310">
        <f>L37+O37</f>
        <v>0</v>
      </c>
      <c r="K37" s="425"/>
      <c r="L37" s="425"/>
      <c r="M37" s="425"/>
      <c r="N37" s="425"/>
      <c r="O37" s="422"/>
      <c r="P37" s="310">
        <f>E37+J37</f>
        <v>2955014</v>
      </c>
      <c r="Q37" s="36"/>
      <c r="R37" s="36"/>
    </row>
    <row r="38" spans="1:18" s="33" customFormat="1" ht="65.25" customHeight="1" thickTop="1" thickBot="1" x14ac:dyDescent="0.25">
      <c r="A38" s="298" t="s">
        <v>683</v>
      </c>
      <c r="B38" s="298" t="s">
        <v>684</v>
      </c>
      <c r="C38" s="298"/>
      <c r="D38" s="298" t="s">
        <v>685</v>
      </c>
      <c r="E38" s="310">
        <f t="shared" ref="E38:P38" si="22">E42+E39</f>
        <v>61804685</v>
      </c>
      <c r="F38" s="310">
        <f t="shared" si="22"/>
        <v>61804685</v>
      </c>
      <c r="G38" s="310">
        <f t="shared" si="22"/>
        <v>0</v>
      </c>
      <c r="H38" s="310">
        <f t="shared" si="22"/>
        <v>0</v>
      </c>
      <c r="I38" s="310">
        <f t="shared" si="22"/>
        <v>0</v>
      </c>
      <c r="J38" s="310">
        <f t="shared" si="22"/>
        <v>92887945.719999999</v>
      </c>
      <c r="K38" s="310">
        <f t="shared" si="22"/>
        <v>92887945.719999999</v>
      </c>
      <c r="L38" s="310">
        <f t="shared" si="22"/>
        <v>0</v>
      </c>
      <c r="M38" s="310">
        <f t="shared" si="22"/>
        <v>0</v>
      </c>
      <c r="N38" s="310">
        <f t="shared" si="22"/>
        <v>0</v>
      </c>
      <c r="O38" s="310">
        <f t="shared" si="22"/>
        <v>92887945.719999999</v>
      </c>
      <c r="P38" s="310">
        <f t="shared" si="22"/>
        <v>154692630.72</v>
      </c>
      <c r="Q38" s="36"/>
      <c r="R38" s="36"/>
    </row>
    <row r="39" spans="1:18" s="33" customFormat="1" ht="75.75" customHeight="1" thickTop="1" thickBot="1" x14ac:dyDescent="0.25">
      <c r="A39" s="593" t="s">
        <v>1144</v>
      </c>
      <c r="B39" s="593" t="s">
        <v>1145</v>
      </c>
      <c r="C39" s="593"/>
      <c r="D39" s="593" t="s">
        <v>1143</v>
      </c>
      <c r="E39" s="595">
        <f t="shared" ref="E39:P39" si="23">SUM(E40:E41)</f>
        <v>50656114</v>
      </c>
      <c r="F39" s="595">
        <f t="shared" si="23"/>
        <v>50656114</v>
      </c>
      <c r="G39" s="595">
        <f t="shared" si="23"/>
        <v>0</v>
      </c>
      <c r="H39" s="595">
        <f t="shared" si="23"/>
        <v>0</v>
      </c>
      <c r="I39" s="595">
        <f t="shared" si="23"/>
        <v>0</v>
      </c>
      <c r="J39" s="595">
        <f t="shared" si="23"/>
        <v>92287945.719999999</v>
      </c>
      <c r="K39" s="595">
        <f t="shared" si="23"/>
        <v>92287945.719999999</v>
      </c>
      <c r="L39" s="595">
        <f t="shared" si="23"/>
        <v>0</v>
      </c>
      <c r="M39" s="595">
        <f t="shared" si="23"/>
        <v>0</v>
      </c>
      <c r="N39" s="595">
        <f t="shared" si="23"/>
        <v>0</v>
      </c>
      <c r="O39" s="595">
        <f t="shared" si="23"/>
        <v>92287945.719999999</v>
      </c>
      <c r="P39" s="595">
        <f t="shared" si="23"/>
        <v>142944059.72</v>
      </c>
      <c r="Q39" s="36"/>
      <c r="R39" s="36"/>
    </row>
    <row r="40" spans="1:18" s="33" customFormat="1" ht="85.7" customHeight="1" thickTop="1" thickBot="1" x14ac:dyDescent="0.25">
      <c r="A40" s="101" t="s">
        <v>1171</v>
      </c>
      <c r="B40" s="101" t="s">
        <v>1172</v>
      </c>
      <c r="C40" s="101" t="s">
        <v>1147</v>
      </c>
      <c r="D40" s="101" t="s">
        <v>1173</v>
      </c>
      <c r="E40" s="310">
        <f>F40</f>
        <v>42800000</v>
      </c>
      <c r="F40" s="425">
        <f>((((10000000)+10000000)+10000000+4800000)+2000000)+4000000+2000000</f>
        <v>42800000</v>
      </c>
      <c r="G40" s="425"/>
      <c r="H40" s="425"/>
      <c r="I40" s="425"/>
      <c r="J40" s="310">
        <f>L40+O40</f>
        <v>90400000</v>
      </c>
      <c r="K40" s="425">
        <f>((((30000000+200000)-10000000)+16000000+200000)+26000000)+25000000+3000000</f>
        <v>90400000</v>
      </c>
      <c r="L40" s="425"/>
      <c r="M40" s="425"/>
      <c r="N40" s="425"/>
      <c r="O40" s="422">
        <f>K40</f>
        <v>90400000</v>
      </c>
      <c r="P40" s="310">
        <f>E40+J40</f>
        <v>133200000</v>
      </c>
      <c r="Q40" s="36"/>
      <c r="R40" s="36"/>
    </row>
    <row r="41" spans="1:18" s="33" customFormat="1" ht="72.75" customHeight="1" thickTop="1" thickBot="1" x14ac:dyDescent="0.25">
      <c r="A41" s="101" t="s">
        <v>1148</v>
      </c>
      <c r="B41" s="101" t="s">
        <v>1149</v>
      </c>
      <c r="C41" s="101" t="s">
        <v>1147</v>
      </c>
      <c r="D41" s="101" t="s">
        <v>1146</v>
      </c>
      <c r="E41" s="310">
        <f>F41</f>
        <v>7856114</v>
      </c>
      <c r="F41" s="425">
        <f>(((6806114)+300000)+50000+200000)+300000+200000</f>
        <v>7856114</v>
      </c>
      <c r="G41" s="425"/>
      <c r="H41" s="425"/>
      <c r="I41" s="425"/>
      <c r="J41" s="310">
        <f>L41+O41</f>
        <v>1887945.72</v>
      </c>
      <c r="K41" s="425">
        <f>(((0)+1400000)+287945.72)+200000</f>
        <v>1887945.72</v>
      </c>
      <c r="L41" s="425"/>
      <c r="M41" s="425"/>
      <c r="N41" s="425"/>
      <c r="O41" s="422">
        <f>K41</f>
        <v>1887945.72</v>
      </c>
      <c r="P41" s="310">
        <f>E41+J41</f>
        <v>9744059.7200000007</v>
      </c>
      <c r="Q41" s="36"/>
      <c r="R41" s="36"/>
    </row>
    <row r="42" spans="1:18" s="33" customFormat="1" ht="47.25" thickTop="1" thickBot="1" x14ac:dyDescent="0.25">
      <c r="A42" s="593" t="s">
        <v>686</v>
      </c>
      <c r="B42" s="593" t="s">
        <v>687</v>
      </c>
      <c r="C42" s="593"/>
      <c r="D42" s="593" t="s">
        <v>1579</v>
      </c>
      <c r="E42" s="595">
        <f>SUM(E43)</f>
        <v>11148571</v>
      </c>
      <c r="F42" s="595">
        <f t="shared" ref="F42:P42" si="24">SUM(F43)</f>
        <v>11148571</v>
      </c>
      <c r="G42" s="595">
        <f t="shared" si="24"/>
        <v>0</v>
      </c>
      <c r="H42" s="595">
        <f t="shared" si="24"/>
        <v>0</v>
      </c>
      <c r="I42" s="595">
        <f t="shared" si="24"/>
        <v>0</v>
      </c>
      <c r="J42" s="595">
        <f t="shared" si="24"/>
        <v>600000</v>
      </c>
      <c r="K42" s="595">
        <f t="shared" si="24"/>
        <v>600000</v>
      </c>
      <c r="L42" s="595">
        <f t="shared" si="24"/>
        <v>0</v>
      </c>
      <c r="M42" s="595">
        <f t="shared" si="24"/>
        <v>0</v>
      </c>
      <c r="N42" s="595">
        <f t="shared" si="24"/>
        <v>0</v>
      </c>
      <c r="O42" s="595">
        <f t="shared" si="24"/>
        <v>600000</v>
      </c>
      <c r="P42" s="595">
        <f t="shared" si="24"/>
        <v>11748571</v>
      </c>
      <c r="Q42" s="36"/>
    </row>
    <row r="43" spans="1:18" ht="48" thickTop="1" thickBot="1" x14ac:dyDescent="0.25">
      <c r="A43" s="101" t="s">
        <v>240</v>
      </c>
      <c r="B43" s="101" t="s">
        <v>241</v>
      </c>
      <c r="C43" s="101" t="s">
        <v>242</v>
      </c>
      <c r="D43" s="101" t="s">
        <v>1580</v>
      </c>
      <c r="E43" s="310">
        <f>F43</f>
        <v>11148571</v>
      </c>
      <c r="F43" s="425">
        <v>11148571</v>
      </c>
      <c r="G43" s="425"/>
      <c r="H43" s="425"/>
      <c r="I43" s="425"/>
      <c r="J43" s="310">
        <f>L43+O43</f>
        <v>600000</v>
      </c>
      <c r="K43" s="425">
        <f>(0)+600000</f>
        <v>600000</v>
      </c>
      <c r="L43" s="425"/>
      <c r="M43" s="425"/>
      <c r="N43" s="425"/>
      <c r="O43" s="422">
        <f>K43</f>
        <v>600000</v>
      </c>
      <c r="P43" s="310">
        <f>E43+J43</f>
        <v>11748571</v>
      </c>
      <c r="Q43" s="20"/>
    </row>
    <row r="44" spans="1:18" ht="72" customHeight="1" thickTop="1" thickBot="1" x14ac:dyDescent="0.25">
      <c r="A44" s="298" t="s">
        <v>688</v>
      </c>
      <c r="B44" s="298" t="s">
        <v>689</v>
      </c>
      <c r="C44" s="298"/>
      <c r="D44" s="298" t="s">
        <v>690</v>
      </c>
      <c r="E44" s="310">
        <f>E45+E48</f>
        <v>96779471.870000005</v>
      </c>
      <c r="F44" s="310">
        <f t="shared" ref="F44:P44" si="25">F45+F48</f>
        <v>96779471.870000005</v>
      </c>
      <c r="G44" s="310">
        <f t="shared" si="25"/>
        <v>0</v>
      </c>
      <c r="H44" s="310">
        <f t="shared" si="25"/>
        <v>0</v>
      </c>
      <c r="I44" s="310">
        <f t="shared" si="25"/>
        <v>0</v>
      </c>
      <c r="J44" s="310">
        <f t="shared" si="25"/>
        <v>152463955.56</v>
      </c>
      <c r="K44" s="310">
        <f t="shared" si="25"/>
        <v>152463955.56</v>
      </c>
      <c r="L44" s="310">
        <f t="shared" si="25"/>
        <v>0</v>
      </c>
      <c r="M44" s="310">
        <f t="shared" si="25"/>
        <v>0</v>
      </c>
      <c r="N44" s="310">
        <f t="shared" si="25"/>
        <v>0</v>
      </c>
      <c r="O44" s="310">
        <f t="shared" si="25"/>
        <v>152463955.56</v>
      </c>
      <c r="P44" s="310">
        <f t="shared" si="25"/>
        <v>249243427.43000001</v>
      </c>
      <c r="Q44" s="20"/>
    </row>
    <row r="45" spans="1:18" s="33" customFormat="1" ht="91.5" thickTop="1" thickBot="1" x14ac:dyDescent="0.25">
      <c r="A45" s="593" t="s">
        <v>691</v>
      </c>
      <c r="B45" s="593" t="s">
        <v>692</v>
      </c>
      <c r="C45" s="593"/>
      <c r="D45" s="593" t="s">
        <v>693</v>
      </c>
      <c r="E45" s="595">
        <f>SUM(E46:E47)</f>
        <v>1359600</v>
      </c>
      <c r="F45" s="595">
        <f t="shared" ref="F45:P45" si="26">SUM(F46:F47)</f>
        <v>1359600</v>
      </c>
      <c r="G45" s="595">
        <f t="shared" si="26"/>
        <v>0</v>
      </c>
      <c r="H45" s="595">
        <f t="shared" si="26"/>
        <v>0</v>
      </c>
      <c r="I45" s="595">
        <f t="shared" si="26"/>
        <v>0</v>
      </c>
      <c r="J45" s="595">
        <f t="shared" si="26"/>
        <v>0</v>
      </c>
      <c r="K45" s="595">
        <f t="shared" si="26"/>
        <v>0</v>
      </c>
      <c r="L45" s="595">
        <f t="shared" si="26"/>
        <v>0</v>
      </c>
      <c r="M45" s="595">
        <f t="shared" si="26"/>
        <v>0</v>
      </c>
      <c r="N45" s="595">
        <f t="shared" si="26"/>
        <v>0</v>
      </c>
      <c r="O45" s="595">
        <f t="shared" si="26"/>
        <v>0</v>
      </c>
      <c r="P45" s="595">
        <f t="shared" si="26"/>
        <v>1359600</v>
      </c>
      <c r="Q45" s="36"/>
      <c r="R45" s="36"/>
    </row>
    <row r="46" spans="1:18" ht="138.75" thickTop="1" thickBot="1" x14ac:dyDescent="0.25">
      <c r="A46" s="101" t="s">
        <v>243</v>
      </c>
      <c r="B46" s="101" t="s">
        <v>244</v>
      </c>
      <c r="C46" s="101" t="s">
        <v>43</v>
      </c>
      <c r="D46" s="101" t="s">
        <v>438</v>
      </c>
      <c r="E46" s="310">
        <f t="shared" si="3"/>
        <v>1359600</v>
      </c>
      <c r="F46" s="425">
        <v>1359600</v>
      </c>
      <c r="G46" s="425"/>
      <c r="H46" s="425"/>
      <c r="I46" s="425"/>
      <c r="J46" s="310">
        <f>L46+O46</f>
        <v>0</v>
      </c>
      <c r="K46" s="425"/>
      <c r="L46" s="425"/>
      <c r="M46" s="425"/>
      <c r="N46" s="425"/>
      <c r="O46" s="422">
        <f>K46</f>
        <v>0</v>
      </c>
      <c r="P46" s="310">
        <f>E46+J46</f>
        <v>1359600</v>
      </c>
      <c r="Q46" s="20"/>
    </row>
    <row r="47" spans="1:18" ht="48" hidden="1" thickTop="1" thickBot="1" x14ac:dyDescent="0.25">
      <c r="A47" s="709" t="s">
        <v>568</v>
      </c>
      <c r="B47" s="709" t="s">
        <v>359</v>
      </c>
      <c r="C47" s="709" t="s">
        <v>43</v>
      </c>
      <c r="D47" s="709" t="s">
        <v>360</v>
      </c>
      <c r="E47" s="710">
        <f t="shared" ref="E47:E48" si="27">F47</f>
        <v>0</v>
      </c>
      <c r="F47" s="711">
        <f>(166200)-166200</f>
        <v>0</v>
      </c>
      <c r="G47" s="711"/>
      <c r="H47" s="711"/>
      <c r="I47" s="711"/>
      <c r="J47" s="710">
        <f>L47+O47</f>
        <v>0</v>
      </c>
      <c r="K47" s="711">
        <f>(1000000)-1000000</f>
        <v>0</v>
      </c>
      <c r="L47" s="711"/>
      <c r="M47" s="711"/>
      <c r="N47" s="711"/>
      <c r="O47" s="712">
        <f>K47</f>
        <v>0</v>
      </c>
      <c r="P47" s="710">
        <f>E47+J47</f>
        <v>0</v>
      </c>
      <c r="Q47" s="20"/>
    </row>
    <row r="48" spans="1:18" ht="117.75" customHeight="1" thickTop="1" thickBot="1" x14ac:dyDescent="0.25">
      <c r="A48" s="101" t="s">
        <v>508</v>
      </c>
      <c r="B48" s="101" t="s">
        <v>509</v>
      </c>
      <c r="C48" s="101" t="s">
        <v>43</v>
      </c>
      <c r="D48" s="101" t="s">
        <v>510</v>
      </c>
      <c r="E48" s="310">
        <f t="shared" si="27"/>
        <v>95419871.870000005</v>
      </c>
      <c r="F48" s="425">
        <f>((((55000000+10000000)-27229356.72)+25524000+3500000+2000000)+13138028.59)+13487200</f>
        <v>95419871.870000005</v>
      </c>
      <c r="G48" s="425"/>
      <c r="H48" s="425"/>
      <c r="I48" s="425"/>
      <c r="J48" s="310">
        <f>L48+O48</f>
        <v>152463955.56</v>
      </c>
      <c r="K48" s="425">
        <f>(((0+29085000)+41315500+2000000-2000000)+40861971.41+150000)+44051484.15-3000000</f>
        <v>152463955.56</v>
      </c>
      <c r="L48" s="425"/>
      <c r="M48" s="425"/>
      <c r="N48" s="425"/>
      <c r="O48" s="422">
        <f>K48</f>
        <v>152463955.56</v>
      </c>
      <c r="P48" s="310">
        <f>E48+J48</f>
        <v>247883827.43000001</v>
      </c>
      <c r="Q48" s="20"/>
      <c r="R48" s="26"/>
    </row>
    <row r="49" spans="1:20" ht="120" customHeight="1" thickTop="1" thickBot="1" x14ac:dyDescent="0.25">
      <c r="A49" s="624" t="s">
        <v>151</v>
      </c>
      <c r="B49" s="624"/>
      <c r="C49" s="624"/>
      <c r="D49" s="625" t="s">
        <v>0</v>
      </c>
      <c r="E49" s="626">
        <f>E50</f>
        <v>2233075390.9400001</v>
      </c>
      <c r="F49" s="627">
        <f t="shared" ref="F49" si="28">F50</f>
        <v>2233075390.9400001</v>
      </c>
      <c r="G49" s="627">
        <f>G50</f>
        <v>1515630233</v>
      </c>
      <c r="H49" s="627">
        <f>H50</f>
        <v>178792917.94999999</v>
      </c>
      <c r="I49" s="627">
        <f t="shared" ref="I49" si="29">I50</f>
        <v>0</v>
      </c>
      <c r="J49" s="626">
        <f>J50</f>
        <v>382537602.65999997</v>
      </c>
      <c r="K49" s="627">
        <f>K50</f>
        <v>90126191.150000006</v>
      </c>
      <c r="L49" s="627">
        <f>L50</f>
        <v>281605900.69999999</v>
      </c>
      <c r="M49" s="627">
        <f t="shared" ref="M49" si="30">M50</f>
        <v>59655330</v>
      </c>
      <c r="N49" s="627">
        <f>N50</f>
        <v>34218360</v>
      </c>
      <c r="O49" s="626">
        <f>O50</f>
        <v>100931701.96000001</v>
      </c>
      <c r="P49" s="627">
        <f t="shared" ref="P49" si="31">P50</f>
        <v>2615612993.5999999</v>
      </c>
      <c r="Q49" s="20"/>
    </row>
    <row r="50" spans="1:20" ht="120" customHeight="1" thickTop="1" thickBot="1" x14ac:dyDescent="0.25">
      <c r="A50" s="588" t="s">
        <v>152</v>
      </c>
      <c r="B50" s="588"/>
      <c r="C50" s="588"/>
      <c r="D50" s="589" t="s">
        <v>1</v>
      </c>
      <c r="E50" s="590">
        <f>E51+E98+E111+E101+E106</f>
        <v>2233075390.9400001</v>
      </c>
      <c r="F50" s="590">
        <f>F51+F98+F111+F101+F106</f>
        <v>2233075390.9400001</v>
      </c>
      <c r="G50" s="590">
        <f>G51+G98+G111+G101+G106</f>
        <v>1515630233</v>
      </c>
      <c r="H50" s="590">
        <f>H51+H98+H111+H101+H106</f>
        <v>178792917.94999999</v>
      </c>
      <c r="I50" s="590">
        <f>I51+I98+I111+I101+I106</f>
        <v>0</v>
      </c>
      <c r="J50" s="590">
        <f>L50+O50</f>
        <v>382537602.65999997</v>
      </c>
      <c r="K50" s="590">
        <f>K51+K98+K111+K101+K106</f>
        <v>90126191.150000006</v>
      </c>
      <c r="L50" s="590">
        <f>L51+L98+L111+L101+L106</f>
        <v>281605900.69999999</v>
      </c>
      <c r="M50" s="590">
        <f>M51+M98+M111+M101+M106</f>
        <v>59655330</v>
      </c>
      <c r="N50" s="590">
        <f>N51+N98+N111+N101+N106</f>
        <v>34218360</v>
      </c>
      <c r="O50" s="590">
        <f>O51+O98+O111+O101+O106</f>
        <v>100931701.96000001</v>
      </c>
      <c r="P50" s="590">
        <f>E50+J50</f>
        <v>2615612993.5999999</v>
      </c>
      <c r="Q50" s="474" t="b">
        <f>P50=P52+P54+P55+P56+P58+P59+P62+P64+P65+P67+P68+P70+P72+P84+P94+P99+P105+P71+P76+P77+P78+P96+P97+P92+P93+P103+P89+P90+P108</f>
        <v>1</v>
      </c>
      <c r="R50" s="26"/>
    </row>
    <row r="51" spans="1:20" ht="47.25" thickTop="1" thickBot="1" x14ac:dyDescent="0.25">
      <c r="A51" s="298" t="s">
        <v>694</v>
      </c>
      <c r="B51" s="298" t="s">
        <v>695</v>
      </c>
      <c r="C51" s="298"/>
      <c r="D51" s="298" t="s">
        <v>696</v>
      </c>
      <c r="E51" s="310">
        <f t="shared" ref="E51:P51" si="32">E52+E53+E57+E62+E63+E66+E69+E72+E73+E78+E60+E79+E80+E83+E86+E91+E95+E94+E97</f>
        <v>2231080390.9400001</v>
      </c>
      <c r="F51" s="310">
        <f t="shared" si="32"/>
        <v>2231080390.9400001</v>
      </c>
      <c r="G51" s="310">
        <f t="shared" si="32"/>
        <v>1515630233</v>
      </c>
      <c r="H51" s="310">
        <f t="shared" si="32"/>
        <v>178792917.94999999</v>
      </c>
      <c r="I51" s="310">
        <f t="shared" si="32"/>
        <v>0</v>
      </c>
      <c r="J51" s="310">
        <f t="shared" si="32"/>
        <v>375884074.14999998</v>
      </c>
      <c r="K51" s="310">
        <f t="shared" si="32"/>
        <v>83472662.640000001</v>
      </c>
      <c r="L51" s="310">
        <f t="shared" si="32"/>
        <v>281605900.69999999</v>
      </c>
      <c r="M51" s="310">
        <f t="shared" si="32"/>
        <v>59655330</v>
      </c>
      <c r="N51" s="310">
        <f t="shared" si="32"/>
        <v>34218360</v>
      </c>
      <c r="O51" s="310">
        <f t="shared" si="32"/>
        <v>94278173.450000003</v>
      </c>
      <c r="P51" s="310">
        <f t="shared" si="32"/>
        <v>2606964465.0900002</v>
      </c>
      <c r="Q51" s="30"/>
      <c r="R51" s="26"/>
    </row>
    <row r="52" spans="1:20" ht="72.75" customHeight="1" thickTop="1" thickBot="1" x14ac:dyDescent="0.6">
      <c r="A52" s="101" t="s">
        <v>197</v>
      </c>
      <c r="B52" s="101" t="s">
        <v>198</v>
      </c>
      <c r="C52" s="101" t="s">
        <v>200</v>
      </c>
      <c r="D52" s="101" t="s">
        <v>201</v>
      </c>
      <c r="E52" s="310">
        <f>F52</f>
        <v>635243304.41999996</v>
      </c>
      <c r="F52" s="425">
        <f>(((477977500+6866485+114420+49500000+5542513+28411368+2932706+26402917+1410722+947676+1569795+101940+445+47250)+488830.24-80000)+7689048+4631334.01+141704+349954)+16830200+2092919+200000+44000+580779+199643+10343.3+18360+58715.89+161736.98</f>
        <v>635243304.41999996</v>
      </c>
      <c r="G52" s="425">
        <f>((391784840)+6302800)+14900700</f>
        <v>412988340</v>
      </c>
      <c r="H52" s="425">
        <f>28411368+2932706+26402917+1410722+947676+1569795</f>
        <v>61675184</v>
      </c>
      <c r="I52" s="132"/>
      <c r="J52" s="310">
        <f t="shared" ref="J52:J76" si="33">L52+O52</f>
        <v>110172346</v>
      </c>
      <c r="K52" s="425">
        <f>((0)+80000+105552)+26000+500000+9375+13850+25000+43300+1492439</f>
        <v>2295516</v>
      </c>
      <c r="L52" s="425">
        <v>105579470</v>
      </c>
      <c r="M52" s="425">
        <v>18140670</v>
      </c>
      <c r="N52" s="425">
        <v>12182510</v>
      </c>
      <c r="O52" s="422">
        <f>K52+2297360</f>
        <v>4592876</v>
      </c>
      <c r="P52" s="310">
        <f t="shared" ref="P52:P64" si="34">E52+J52</f>
        <v>745415650.41999996</v>
      </c>
      <c r="Q52" s="141"/>
      <c r="R52" s="26"/>
    </row>
    <row r="53" spans="1:20" ht="69.75" customHeight="1" thickTop="1" thickBot="1" x14ac:dyDescent="0.6">
      <c r="A53" s="598" t="s">
        <v>202</v>
      </c>
      <c r="B53" s="598" t="s">
        <v>199</v>
      </c>
      <c r="C53" s="598"/>
      <c r="D53" s="598" t="s">
        <v>634</v>
      </c>
      <c r="E53" s="599">
        <f>E54+E55+E56</f>
        <v>515535172.40000004</v>
      </c>
      <c r="F53" s="599">
        <f>F54+F55+F56</f>
        <v>515535172.40000004</v>
      </c>
      <c r="G53" s="599">
        <f t="shared" ref="G53:I53" si="35">G54+G55+G56</f>
        <v>282991730</v>
      </c>
      <c r="H53" s="599">
        <f t="shared" si="35"/>
        <v>89504552</v>
      </c>
      <c r="I53" s="599">
        <f t="shared" si="35"/>
        <v>0</v>
      </c>
      <c r="J53" s="599">
        <f t="shared" ref="J53" si="36">J54+J55+J56</f>
        <v>109575873.31999999</v>
      </c>
      <c r="K53" s="599">
        <f t="shared" ref="K53" si="37">K54+K55+K56</f>
        <v>9823413.3200000003</v>
      </c>
      <c r="L53" s="599">
        <f t="shared" ref="L53" si="38">L54+L55+L56</f>
        <v>97621420</v>
      </c>
      <c r="M53" s="599">
        <f t="shared" ref="M53" si="39">M54+M55+M56</f>
        <v>32076750</v>
      </c>
      <c r="N53" s="599">
        <f t="shared" ref="N53" si="40">N54+N55+N56</f>
        <v>10128600</v>
      </c>
      <c r="O53" s="599">
        <f t="shared" ref="O53" si="41">O54+O55+O56</f>
        <v>11954453.32</v>
      </c>
      <c r="P53" s="599">
        <f>E53+J53</f>
        <v>625111045.72000003</v>
      </c>
      <c r="Q53" s="141"/>
      <c r="R53" s="37"/>
    </row>
    <row r="54" spans="1:20" ht="127.5" customHeight="1" thickTop="1" thickBot="1" x14ac:dyDescent="0.6">
      <c r="A54" s="101" t="s">
        <v>632</v>
      </c>
      <c r="B54" s="101" t="s">
        <v>633</v>
      </c>
      <c r="C54" s="101" t="s">
        <v>203</v>
      </c>
      <c r="D54" s="101" t="s">
        <v>1232</v>
      </c>
      <c r="E54" s="310">
        <f t="shared" ref="E54:E64" si="42">F54</f>
        <v>467316530.26000005</v>
      </c>
      <c r="F54" s="425">
        <f>((((318809505+15650400+700000+227022+69800000+7818953+522250+39874763+2573113+29717492+4836961+2726746+235220+21075+953088+1275+431675+44500)-6071070.28)+1885156+253329.73-45000-120000-101000)-8017+4409922.52-606302-500000+157075+29000+415000-533000+799600)-13000000-17000000+65346.12+500000+20000-24700+470268+13965+65000-65000+1009078.3+12000+91425+141431.29+199997.58+179987+9000-280000</f>
        <v>467316530.26000005</v>
      </c>
      <c r="G54" s="425">
        <f>(261319265)-7400000</f>
        <v>253919265</v>
      </c>
      <c r="H54" s="425">
        <f>(39874763+2573113+29717492+4836961+2726746)+4000000</f>
        <v>83729075</v>
      </c>
      <c r="I54" s="132"/>
      <c r="J54" s="310">
        <f t="shared" si="33"/>
        <v>109358773.31999999</v>
      </c>
      <c r="K54" s="425">
        <f>((((300000+500000+1995000)-50000+900000+23117.68+26204.96+144294.98)+45000+120000+101000)+500000+606302+500000+611116)+1704796.7+900000+500000+51581+300000</f>
        <v>9778413.3200000003</v>
      </c>
      <c r="L54" s="425">
        <f>(97414320)+35000</f>
        <v>97449320</v>
      </c>
      <c r="M54" s="425">
        <v>32076750</v>
      </c>
      <c r="N54" s="425">
        <f>(9848400)+200000</f>
        <v>10048400</v>
      </c>
      <c r="O54" s="422">
        <f>(K54+2166040)-35000</f>
        <v>11909453.32</v>
      </c>
      <c r="P54" s="310">
        <f t="shared" si="34"/>
        <v>576675303.58000004</v>
      </c>
      <c r="Q54" s="141"/>
      <c r="R54" s="26"/>
      <c r="T54" s="38"/>
    </row>
    <row r="55" spans="1:20" ht="213" customHeight="1" thickTop="1" thickBot="1" x14ac:dyDescent="0.25">
      <c r="A55" s="101" t="s">
        <v>640</v>
      </c>
      <c r="B55" s="101" t="s">
        <v>641</v>
      </c>
      <c r="C55" s="101" t="s">
        <v>206</v>
      </c>
      <c r="D55" s="101" t="s">
        <v>1584</v>
      </c>
      <c r="E55" s="310">
        <f t="shared" si="42"/>
        <v>30493040.309999999</v>
      </c>
      <c r="F55" s="425">
        <f>(26210800+345700+8100+1543600+261820+2100+1425516+31646+338301+7577+14940+44272+5500)+53293.2+199875.11</f>
        <v>30493040.309999999</v>
      </c>
      <c r="G55" s="425">
        <f>(21484265)+350000</f>
        <v>21834265</v>
      </c>
      <c r="H55" s="425">
        <f>1425516+31646+338301+7577</f>
        <v>1803040</v>
      </c>
      <c r="I55" s="132"/>
      <c r="J55" s="310">
        <f t="shared" si="33"/>
        <v>202100</v>
      </c>
      <c r="K55" s="425">
        <v>30000</v>
      </c>
      <c r="L55" s="425">
        <v>172100</v>
      </c>
      <c r="M55" s="425"/>
      <c r="N55" s="425">
        <v>80200</v>
      </c>
      <c r="O55" s="422">
        <f>K55+0</f>
        <v>30000</v>
      </c>
      <c r="P55" s="310">
        <f t="shared" si="34"/>
        <v>30695140.309999999</v>
      </c>
      <c r="Q55" s="20"/>
      <c r="R55" s="27"/>
    </row>
    <row r="56" spans="1:20" ht="117.75" customHeight="1" thickTop="1" thickBot="1" x14ac:dyDescent="0.25">
      <c r="A56" s="101" t="s">
        <v>974</v>
      </c>
      <c r="B56" s="101" t="s">
        <v>975</v>
      </c>
      <c r="C56" s="101" t="s">
        <v>206</v>
      </c>
      <c r="D56" s="101" t="s">
        <v>1233</v>
      </c>
      <c r="E56" s="310">
        <f t="shared" ref="E56" si="43">F56</f>
        <v>17725601.829999998</v>
      </c>
      <c r="F56" s="425">
        <f>(8830550+467150+14000+6371300+273559+300000+2389362+154507+1235065+13503+4200+2960+2750)+186695.83-2520000</f>
        <v>17725601.829999998</v>
      </c>
      <c r="G56" s="425">
        <v>7238200</v>
      </c>
      <c r="H56" s="425">
        <f>(2389362+154507+1235065+13503)+180000</f>
        <v>3972437</v>
      </c>
      <c r="I56" s="132"/>
      <c r="J56" s="310">
        <f t="shared" ref="J56" si="44">L56+O56</f>
        <v>15000</v>
      </c>
      <c r="K56" s="425">
        <v>15000</v>
      </c>
      <c r="L56" s="425"/>
      <c r="M56" s="425"/>
      <c r="N56" s="425"/>
      <c r="O56" s="422">
        <f>K56</f>
        <v>15000</v>
      </c>
      <c r="P56" s="310">
        <f t="shared" ref="P56" si="45">E56+J56</f>
        <v>17740601.829999998</v>
      </c>
      <c r="Q56" s="20"/>
      <c r="R56" s="27"/>
    </row>
    <row r="57" spans="1:20" ht="48" thickTop="1" thickBot="1" x14ac:dyDescent="0.25">
      <c r="A57" s="598" t="s">
        <v>493</v>
      </c>
      <c r="B57" s="598" t="s">
        <v>204</v>
      </c>
      <c r="C57" s="598"/>
      <c r="D57" s="598" t="s">
        <v>646</v>
      </c>
      <c r="E57" s="599">
        <f>SUM(E58:E59)</f>
        <v>766276280</v>
      </c>
      <c r="F57" s="599">
        <f>SUM(F58:F59)</f>
        <v>766276280</v>
      </c>
      <c r="G57" s="599">
        <f>SUM(G58:G59)</f>
        <v>621797610</v>
      </c>
      <c r="H57" s="599">
        <f>SUM(H58:H59)</f>
        <v>0</v>
      </c>
      <c r="I57" s="599">
        <f>SUM(I58:I59)</f>
        <v>0</v>
      </c>
      <c r="J57" s="599">
        <f t="shared" ref="J57:P57" si="46">SUM(J58:J59)</f>
        <v>0</v>
      </c>
      <c r="K57" s="599">
        <f t="shared" si="46"/>
        <v>0</v>
      </c>
      <c r="L57" s="599">
        <f t="shared" si="46"/>
        <v>0</v>
      </c>
      <c r="M57" s="599">
        <f t="shared" si="46"/>
        <v>0</v>
      </c>
      <c r="N57" s="599">
        <f t="shared" si="46"/>
        <v>0</v>
      </c>
      <c r="O57" s="599">
        <f t="shared" si="46"/>
        <v>0</v>
      </c>
      <c r="P57" s="599">
        <f t="shared" si="46"/>
        <v>766276280</v>
      </c>
      <c r="Q57" s="21"/>
      <c r="R57" s="37"/>
    </row>
    <row r="58" spans="1:20" ht="93" thickTop="1" thickBot="1" x14ac:dyDescent="0.25">
      <c r="A58" s="101" t="s">
        <v>647</v>
      </c>
      <c r="B58" s="101" t="s">
        <v>648</v>
      </c>
      <c r="C58" s="101" t="s">
        <v>203</v>
      </c>
      <c r="D58" s="101" t="s">
        <v>1234</v>
      </c>
      <c r="E58" s="310">
        <f t="shared" ref="E58:E59" si="47">F58</f>
        <v>756543170</v>
      </c>
      <c r="F58" s="425">
        <f>(((498996970)+5030804)+98504)+249699800+2717092</f>
        <v>756543170</v>
      </c>
      <c r="G58" s="425">
        <f>(409013910)+204672000</f>
        <v>613685910</v>
      </c>
      <c r="H58" s="425"/>
      <c r="I58" s="425"/>
      <c r="J58" s="310">
        <f t="shared" ref="J58:J59" si="48">L58+O58</f>
        <v>0</v>
      </c>
      <c r="K58" s="425"/>
      <c r="L58" s="425"/>
      <c r="M58" s="425"/>
      <c r="N58" s="425"/>
      <c r="O58" s="422">
        <f>K58</f>
        <v>0</v>
      </c>
      <c r="P58" s="310">
        <f t="shared" ref="P58:P61" si="49">E58+J58</f>
        <v>756543170</v>
      </c>
      <c r="Q58" s="21"/>
      <c r="R58" s="26"/>
    </row>
    <row r="59" spans="1:20" ht="93" thickTop="1" thickBot="1" x14ac:dyDescent="0.25">
      <c r="A59" s="101" t="s">
        <v>1092</v>
      </c>
      <c r="B59" s="318" t="s">
        <v>1093</v>
      </c>
      <c r="C59" s="101" t="s">
        <v>206</v>
      </c>
      <c r="D59" s="101" t="s">
        <v>1235</v>
      </c>
      <c r="E59" s="310">
        <f t="shared" si="47"/>
        <v>9733110</v>
      </c>
      <c r="F59" s="629">
        <f>(6738910)+2994200</f>
        <v>9733110</v>
      </c>
      <c r="G59" s="629">
        <f>(5523700)+2588000</f>
        <v>8111700</v>
      </c>
      <c r="H59" s="629"/>
      <c r="I59" s="629"/>
      <c r="J59" s="310">
        <f t="shared" si="48"/>
        <v>0</v>
      </c>
      <c r="K59" s="629"/>
      <c r="L59" s="629"/>
      <c r="M59" s="629"/>
      <c r="N59" s="629"/>
      <c r="O59" s="605"/>
      <c r="P59" s="310">
        <f t="shared" si="49"/>
        <v>9733110</v>
      </c>
      <c r="Q59" s="21"/>
      <c r="R59" s="26"/>
    </row>
    <row r="60" spans="1:20" ht="184.5" hidden="1" thickTop="1" thickBot="1" x14ac:dyDescent="0.25">
      <c r="A60" s="555" t="s">
        <v>910</v>
      </c>
      <c r="B60" s="555" t="s">
        <v>50</v>
      </c>
      <c r="C60" s="555"/>
      <c r="D60" s="628" t="s">
        <v>1585</v>
      </c>
      <c r="E60" s="556">
        <f t="shared" ref="E60:O60" si="50">E61</f>
        <v>0</v>
      </c>
      <c r="F60" s="556">
        <f>F61</f>
        <v>0</v>
      </c>
      <c r="G60" s="556">
        <f t="shared" si="50"/>
        <v>0</v>
      </c>
      <c r="H60" s="556">
        <f t="shared" si="50"/>
        <v>0</v>
      </c>
      <c r="I60" s="556">
        <f t="shared" si="50"/>
        <v>0</v>
      </c>
      <c r="J60" s="556">
        <f t="shared" si="50"/>
        <v>0</v>
      </c>
      <c r="K60" s="556">
        <f t="shared" si="50"/>
        <v>0</v>
      </c>
      <c r="L60" s="556">
        <f t="shared" si="50"/>
        <v>0</v>
      </c>
      <c r="M60" s="556">
        <f t="shared" si="50"/>
        <v>0</v>
      </c>
      <c r="N60" s="556">
        <f t="shared" si="50"/>
        <v>0</v>
      </c>
      <c r="O60" s="556">
        <f t="shared" si="50"/>
        <v>0</v>
      </c>
      <c r="P60" s="556">
        <f>E60+J60</f>
        <v>0</v>
      </c>
      <c r="Q60" s="20"/>
      <c r="R60" s="30"/>
    </row>
    <row r="61" spans="1:20" ht="230.25" hidden="1" thickTop="1" thickBot="1" x14ac:dyDescent="0.25">
      <c r="A61" s="126" t="s">
        <v>911</v>
      </c>
      <c r="B61" s="126" t="s">
        <v>912</v>
      </c>
      <c r="C61" s="126" t="s">
        <v>203</v>
      </c>
      <c r="D61" s="101" t="s">
        <v>1586</v>
      </c>
      <c r="E61" s="125">
        <f t="shared" ref="E61" si="51">F61</f>
        <v>0</v>
      </c>
      <c r="F61" s="132"/>
      <c r="G61" s="132"/>
      <c r="H61" s="132"/>
      <c r="I61" s="132"/>
      <c r="J61" s="125">
        <f t="shared" ref="J61" si="52">L61+O61</f>
        <v>0</v>
      </c>
      <c r="K61" s="132"/>
      <c r="L61" s="132"/>
      <c r="M61" s="132"/>
      <c r="N61" s="132"/>
      <c r="O61" s="130">
        <f>K61</f>
        <v>0</v>
      </c>
      <c r="P61" s="125">
        <f t="shared" si="49"/>
        <v>0</v>
      </c>
      <c r="Q61" s="20"/>
      <c r="R61" s="26"/>
    </row>
    <row r="62" spans="1:20" ht="93" thickTop="1" thickBot="1" x14ac:dyDescent="0.25">
      <c r="A62" s="101" t="s">
        <v>649</v>
      </c>
      <c r="B62" s="101" t="s">
        <v>205</v>
      </c>
      <c r="C62" s="101" t="s">
        <v>180</v>
      </c>
      <c r="D62" s="101" t="s">
        <v>494</v>
      </c>
      <c r="E62" s="310">
        <f t="shared" si="42"/>
        <v>36769537.880000003</v>
      </c>
      <c r="F62" s="425">
        <f>((31733000+663955+18300+614918+174450+2208293+87334+1130177+82818+14977+17780+37880+50)+1774036+211569.88)-2000000</f>
        <v>36769537.880000003</v>
      </c>
      <c r="G62" s="425">
        <f>((26010660)+1454130)-1639300</f>
        <v>25825490</v>
      </c>
      <c r="H62" s="425">
        <f>2208293+87334+1130177+82818+14977</f>
        <v>3523599</v>
      </c>
      <c r="I62" s="132"/>
      <c r="J62" s="310">
        <f t="shared" si="33"/>
        <v>3074558.29</v>
      </c>
      <c r="K62" s="425">
        <f>((0)+1506718.29)+99980</f>
        <v>1606698.29</v>
      </c>
      <c r="L62" s="425">
        <v>1057860</v>
      </c>
      <c r="M62" s="425">
        <v>123010</v>
      </c>
      <c r="N62" s="425">
        <v>150360</v>
      </c>
      <c r="O62" s="422">
        <f>(K62+410000)</f>
        <v>2016698.29</v>
      </c>
      <c r="P62" s="310">
        <f t="shared" si="34"/>
        <v>39844096.170000002</v>
      </c>
      <c r="Q62" s="20"/>
      <c r="R62" s="26"/>
    </row>
    <row r="63" spans="1:20" ht="93" thickTop="1" thickBot="1" x14ac:dyDescent="0.25">
      <c r="A63" s="598" t="s">
        <v>207</v>
      </c>
      <c r="B63" s="598" t="s">
        <v>190</v>
      </c>
      <c r="C63" s="598"/>
      <c r="D63" s="598" t="s">
        <v>495</v>
      </c>
      <c r="E63" s="599">
        <f>E64+E65</f>
        <v>191829475.95000002</v>
      </c>
      <c r="F63" s="599">
        <f t="shared" ref="F63:O63" si="53">F64+F65</f>
        <v>191829475.95000002</v>
      </c>
      <c r="G63" s="599">
        <f t="shared" si="53"/>
        <v>108719316</v>
      </c>
      <c r="H63" s="599">
        <f t="shared" si="53"/>
        <v>21960129.949999999</v>
      </c>
      <c r="I63" s="599">
        <f t="shared" si="53"/>
        <v>0</v>
      </c>
      <c r="J63" s="599">
        <f t="shared" si="53"/>
        <v>38392296.090000004</v>
      </c>
      <c r="K63" s="599">
        <f t="shared" si="53"/>
        <v>4072296.09</v>
      </c>
      <c r="L63" s="599">
        <f t="shared" si="53"/>
        <v>33180000</v>
      </c>
      <c r="M63" s="599">
        <f t="shared" si="53"/>
        <v>9314900</v>
      </c>
      <c r="N63" s="599">
        <f t="shared" si="53"/>
        <v>11756890</v>
      </c>
      <c r="O63" s="599">
        <f t="shared" si="53"/>
        <v>5212296.09</v>
      </c>
      <c r="P63" s="599">
        <f t="shared" si="34"/>
        <v>230221772.04000002</v>
      </c>
      <c r="Q63" s="20"/>
      <c r="R63" s="35"/>
    </row>
    <row r="64" spans="1:20" ht="93" thickTop="1" thickBot="1" x14ac:dyDescent="0.25">
      <c r="A64" s="101" t="s">
        <v>650</v>
      </c>
      <c r="B64" s="101" t="s">
        <v>651</v>
      </c>
      <c r="C64" s="101" t="s">
        <v>208</v>
      </c>
      <c r="D64" s="101" t="s">
        <v>652</v>
      </c>
      <c r="E64" s="310">
        <f t="shared" si="42"/>
        <v>167476955.95000002</v>
      </c>
      <c r="F64" s="425">
        <f>((((101715200+657500+27400+3656150+719800+14543250+1127080+6012350+30660+133650+17940+31500000+1006032)+36091.86+272034.16)+47320.5)+5232404-272034.16+300000+29727.59)+684400</f>
        <v>167476955.95000002</v>
      </c>
      <c r="G64" s="425">
        <f>((83373123)+4288855)+120980+863420</f>
        <v>88646378</v>
      </c>
      <c r="H64" s="425">
        <f>((14543250+1127080+6012350+30660+133650)+36091.86)+47320.5+29727.59</f>
        <v>21960129.949999999</v>
      </c>
      <c r="I64" s="132"/>
      <c r="J64" s="310">
        <f>L64+O64</f>
        <v>38392296.090000004</v>
      </c>
      <c r="K64" s="425">
        <f>(((180000)+1186408.68+1000000)+272034.16+224147.25+49999)+1159707</f>
        <v>4072296.09</v>
      </c>
      <c r="L64" s="425">
        <v>33180000</v>
      </c>
      <c r="M64" s="425">
        <v>9314900</v>
      </c>
      <c r="N64" s="425">
        <v>11756890</v>
      </c>
      <c r="O64" s="422">
        <f>K64+1140000</f>
        <v>5212296.09</v>
      </c>
      <c r="P64" s="310">
        <f t="shared" si="34"/>
        <v>205869252.04000002</v>
      </c>
      <c r="Q64" s="20"/>
      <c r="R64" s="26"/>
    </row>
    <row r="65" spans="1:18" ht="93" thickTop="1" thickBot="1" x14ac:dyDescent="0.25">
      <c r="A65" s="101" t="s">
        <v>654</v>
      </c>
      <c r="B65" s="101" t="s">
        <v>653</v>
      </c>
      <c r="C65" s="101" t="s">
        <v>208</v>
      </c>
      <c r="D65" s="101" t="s">
        <v>655</v>
      </c>
      <c r="E65" s="310">
        <f t="shared" ref="E65" si="54">F65</f>
        <v>24352520</v>
      </c>
      <c r="F65" s="425">
        <f>(16512520)+7840000</f>
        <v>24352520</v>
      </c>
      <c r="G65" s="425">
        <f>(13646710)+6426228</f>
        <v>20072938</v>
      </c>
      <c r="H65" s="425"/>
      <c r="I65" s="425"/>
      <c r="J65" s="310">
        <f>L65+O65</f>
        <v>0</v>
      </c>
      <c r="K65" s="425"/>
      <c r="L65" s="425"/>
      <c r="M65" s="425"/>
      <c r="N65" s="425"/>
      <c r="O65" s="422"/>
      <c r="P65" s="310">
        <f t="shared" ref="P65" si="55">E65+J65</f>
        <v>24352520</v>
      </c>
      <c r="Q65" s="20"/>
      <c r="R65" s="30"/>
    </row>
    <row r="66" spans="1:18" ht="69.75" customHeight="1" thickTop="1" thickBot="1" x14ac:dyDescent="0.25">
      <c r="A66" s="598" t="s">
        <v>657</v>
      </c>
      <c r="B66" s="598" t="s">
        <v>656</v>
      </c>
      <c r="C66" s="598"/>
      <c r="D66" s="598" t="s">
        <v>658</v>
      </c>
      <c r="E66" s="599">
        <f>E67+E68</f>
        <v>29565693.640000001</v>
      </c>
      <c r="F66" s="599">
        <f t="shared" ref="F66:O66" si="56">F67+F68</f>
        <v>29565693.640000001</v>
      </c>
      <c r="G66" s="599">
        <f t="shared" si="56"/>
        <v>19113897</v>
      </c>
      <c r="H66" s="599">
        <f t="shared" si="56"/>
        <v>1690280</v>
      </c>
      <c r="I66" s="599">
        <f t="shared" si="56"/>
        <v>0</v>
      </c>
      <c r="J66" s="599">
        <f t="shared" si="56"/>
        <v>713580</v>
      </c>
      <c r="K66" s="599">
        <f t="shared" si="56"/>
        <v>410320</v>
      </c>
      <c r="L66" s="599">
        <f t="shared" si="56"/>
        <v>222550</v>
      </c>
      <c r="M66" s="599">
        <f t="shared" si="56"/>
        <v>0</v>
      </c>
      <c r="N66" s="599">
        <f t="shared" si="56"/>
        <v>0</v>
      </c>
      <c r="O66" s="599">
        <f t="shared" si="56"/>
        <v>491030</v>
      </c>
      <c r="P66" s="599">
        <f>E66+J66</f>
        <v>30279273.640000001</v>
      </c>
      <c r="Q66" s="20"/>
      <c r="R66" s="35"/>
    </row>
    <row r="67" spans="1:18" ht="69.75" customHeight="1" thickTop="1" thickBot="1" x14ac:dyDescent="0.25">
      <c r="A67" s="101" t="s">
        <v>659</v>
      </c>
      <c r="B67" s="101" t="s">
        <v>660</v>
      </c>
      <c r="C67" s="101" t="s">
        <v>209</v>
      </c>
      <c r="D67" s="101" t="s">
        <v>496</v>
      </c>
      <c r="E67" s="310">
        <f>F67</f>
        <v>28213473.640000001</v>
      </c>
      <c r="F67" s="425">
        <f>(((21630200+785270+2250+1579810+1247010+24757+402076+16437+7600+150000)+560020-50000)+794335+8017+53176)+869000+133515.64</f>
        <v>28213473.640000001</v>
      </c>
      <c r="G67" s="425">
        <f>((17729672)+249600+422625)+712000</f>
        <v>19113897</v>
      </c>
      <c r="H67" s="425">
        <f>1247010+24757+402076+16437</f>
        <v>1690280</v>
      </c>
      <c r="I67" s="132"/>
      <c r="J67" s="310">
        <f>L67+O67</f>
        <v>353260</v>
      </c>
      <c r="K67" s="425">
        <f>(0)+50000</f>
        <v>50000</v>
      </c>
      <c r="L67" s="425">
        <v>222550</v>
      </c>
      <c r="M67" s="425"/>
      <c r="N67" s="425"/>
      <c r="O67" s="422">
        <f>K67+80710</f>
        <v>130710</v>
      </c>
      <c r="P67" s="310">
        <f>E67+J67</f>
        <v>28566733.640000001</v>
      </c>
      <c r="Q67" s="20"/>
      <c r="R67" s="30"/>
    </row>
    <row r="68" spans="1:18" ht="63.75" customHeight="1" thickTop="1" thickBot="1" x14ac:dyDescent="0.25">
      <c r="A68" s="101" t="s">
        <v>661</v>
      </c>
      <c r="B68" s="101" t="s">
        <v>662</v>
      </c>
      <c r="C68" s="101" t="s">
        <v>209</v>
      </c>
      <c r="D68" s="101" t="s">
        <v>334</v>
      </c>
      <c r="E68" s="310">
        <f>F68</f>
        <v>1352220</v>
      </c>
      <c r="F68" s="425">
        <f>(24680+779540)+533000+15000</f>
        <v>1352220</v>
      </c>
      <c r="G68" s="425"/>
      <c r="H68" s="425"/>
      <c r="I68" s="425"/>
      <c r="J68" s="310">
        <f>L68+O68</f>
        <v>360320</v>
      </c>
      <c r="K68" s="425">
        <f>(375320)-15000</f>
        <v>360320</v>
      </c>
      <c r="L68" s="425"/>
      <c r="M68" s="425"/>
      <c r="N68" s="425"/>
      <c r="O68" s="422">
        <f>K68</f>
        <v>360320</v>
      </c>
      <c r="P68" s="310">
        <f>E68+J68</f>
        <v>1712540</v>
      </c>
      <c r="Q68" s="20"/>
      <c r="R68" s="30"/>
    </row>
    <row r="69" spans="1:18" ht="66.75" customHeight="1" thickTop="1" thickBot="1" x14ac:dyDescent="0.25">
      <c r="A69" s="598" t="s">
        <v>663</v>
      </c>
      <c r="B69" s="598" t="s">
        <v>664</v>
      </c>
      <c r="C69" s="598"/>
      <c r="D69" s="598" t="s">
        <v>424</v>
      </c>
      <c r="E69" s="599">
        <f>E70+E71</f>
        <v>7001787.4199999999</v>
      </c>
      <c r="F69" s="599">
        <f>F70+F71</f>
        <v>7001787.4199999999</v>
      </c>
      <c r="G69" s="599">
        <f t="shared" ref="G69:O69" si="57">G70+G71</f>
        <v>5063820</v>
      </c>
      <c r="H69" s="599">
        <f t="shared" si="57"/>
        <v>353856</v>
      </c>
      <c r="I69" s="599">
        <f t="shared" si="57"/>
        <v>0</v>
      </c>
      <c r="J69" s="599">
        <f t="shared" si="57"/>
        <v>12560</v>
      </c>
      <c r="K69" s="599">
        <f t="shared" si="57"/>
        <v>12560</v>
      </c>
      <c r="L69" s="599">
        <f t="shared" si="57"/>
        <v>0</v>
      </c>
      <c r="M69" s="599">
        <f t="shared" si="57"/>
        <v>0</v>
      </c>
      <c r="N69" s="599">
        <f t="shared" si="57"/>
        <v>0</v>
      </c>
      <c r="O69" s="599">
        <f t="shared" si="57"/>
        <v>12560</v>
      </c>
      <c r="P69" s="599">
        <f>E69+J69</f>
        <v>7014347.4199999999</v>
      </c>
      <c r="Q69" s="20"/>
      <c r="R69" s="35"/>
    </row>
    <row r="70" spans="1:18" ht="117.75" customHeight="1" thickTop="1" thickBot="1" x14ac:dyDescent="0.25">
      <c r="A70" s="101" t="s">
        <v>665</v>
      </c>
      <c r="B70" s="101" t="s">
        <v>666</v>
      </c>
      <c r="C70" s="101" t="s">
        <v>209</v>
      </c>
      <c r="D70" s="101" t="s">
        <v>667</v>
      </c>
      <c r="E70" s="310">
        <f>F70</f>
        <v>1661387.42</v>
      </c>
      <c r="F70" s="425">
        <f>((767000+346760+3580+99622+5480+298038+7585+44033+4200+3280)+17853.42)+76516-12560</f>
        <v>1661387.42</v>
      </c>
      <c r="G70" s="425">
        <f>(628690)+7800+50000</f>
        <v>686490</v>
      </c>
      <c r="H70" s="425">
        <f>298038+7585+44033+4200</f>
        <v>353856</v>
      </c>
      <c r="I70" s="132"/>
      <c r="J70" s="310">
        <f>L70+O70</f>
        <v>12560</v>
      </c>
      <c r="K70" s="425">
        <v>12560</v>
      </c>
      <c r="L70" s="425"/>
      <c r="M70" s="425"/>
      <c r="N70" s="425"/>
      <c r="O70" s="422">
        <f>K70</f>
        <v>12560</v>
      </c>
      <c r="P70" s="310">
        <f>E70+J70</f>
        <v>1673947.42</v>
      </c>
      <c r="Q70" s="20"/>
      <c r="R70" s="26"/>
    </row>
    <row r="71" spans="1:18" ht="93" thickTop="1" thickBot="1" x14ac:dyDescent="0.25">
      <c r="A71" s="101" t="s">
        <v>668</v>
      </c>
      <c r="B71" s="101" t="s">
        <v>669</v>
      </c>
      <c r="C71" s="101" t="s">
        <v>209</v>
      </c>
      <c r="D71" s="101" t="s">
        <v>670</v>
      </c>
      <c r="E71" s="310">
        <f>F71</f>
        <v>5340400</v>
      </c>
      <c r="F71" s="425">
        <f>(3663600)+1676800</f>
        <v>5340400</v>
      </c>
      <c r="G71" s="425">
        <f>(3002900)+1374430</f>
        <v>4377330</v>
      </c>
      <c r="H71" s="425"/>
      <c r="I71" s="425"/>
      <c r="J71" s="310">
        <f t="shared" ref="J71" si="58">L71+O71</f>
        <v>0</v>
      </c>
      <c r="K71" s="425"/>
      <c r="L71" s="425"/>
      <c r="M71" s="425"/>
      <c r="N71" s="425"/>
      <c r="O71" s="422">
        <f t="shared" ref="O71" si="59">K71</f>
        <v>0</v>
      </c>
      <c r="P71" s="310">
        <f t="shared" ref="P71" si="60">E71+J71</f>
        <v>5340400</v>
      </c>
      <c r="Q71" s="20"/>
      <c r="R71" s="30"/>
    </row>
    <row r="72" spans="1:18" ht="93" thickTop="1" thickBot="1" x14ac:dyDescent="0.25">
      <c r="A72" s="101" t="s">
        <v>637</v>
      </c>
      <c r="B72" s="101" t="s">
        <v>638</v>
      </c>
      <c r="C72" s="101" t="s">
        <v>209</v>
      </c>
      <c r="D72" s="101" t="s">
        <v>639</v>
      </c>
      <c r="E72" s="310">
        <f t="shared" ref="E72" si="61">F72</f>
        <v>3467387</v>
      </c>
      <c r="F72" s="425">
        <f>(2645600+239500+59000+10970+38780+8148+37589+800)+427000</f>
        <v>3467387</v>
      </c>
      <c r="G72" s="425">
        <f>(2168525)+350000</f>
        <v>2518525</v>
      </c>
      <c r="H72" s="425">
        <f>38780+8148+37589+800</f>
        <v>85317</v>
      </c>
      <c r="I72" s="132"/>
      <c r="J72" s="310">
        <f t="shared" ref="J72" si="62">L72+O72</f>
        <v>0</v>
      </c>
      <c r="K72" s="425"/>
      <c r="L72" s="425"/>
      <c r="M72" s="425"/>
      <c r="N72" s="425"/>
      <c r="O72" s="422">
        <f t="shared" ref="O72" si="63">K72</f>
        <v>0</v>
      </c>
      <c r="P72" s="310">
        <f t="shared" ref="P72" si="64">E72+J72</f>
        <v>3467387</v>
      </c>
      <c r="Q72" s="20"/>
      <c r="R72" s="26"/>
    </row>
    <row r="73" spans="1:18" s="33" customFormat="1" ht="108.75" customHeight="1" thickTop="1" thickBot="1" x14ac:dyDescent="0.25">
      <c r="A73" s="598" t="s">
        <v>642</v>
      </c>
      <c r="B73" s="598" t="s">
        <v>643</v>
      </c>
      <c r="C73" s="598"/>
      <c r="D73" s="598" t="s">
        <v>1518</v>
      </c>
      <c r="E73" s="599">
        <f t="shared" ref="E73:E100" si="65">F73</f>
        <v>0</v>
      </c>
      <c r="F73" s="599">
        <f>SUM(F74:F77)</f>
        <v>0</v>
      </c>
      <c r="G73" s="599">
        <f>SUM(G74:G77)</f>
        <v>0</v>
      </c>
      <c r="H73" s="599">
        <f>SUM(H74:H77)</f>
        <v>0</v>
      </c>
      <c r="I73" s="599">
        <f>SUM(I74:I77)</f>
        <v>0</v>
      </c>
      <c r="J73" s="599">
        <f t="shared" si="33"/>
        <v>19051327</v>
      </c>
      <c r="K73" s="599">
        <f>SUM(K74:K77)</f>
        <v>19051327</v>
      </c>
      <c r="L73" s="599">
        <f>SUM(L74:L77)</f>
        <v>0</v>
      </c>
      <c r="M73" s="599">
        <f>SUM(M74:M77)</f>
        <v>0</v>
      </c>
      <c r="N73" s="599">
        <f>SUM(N74:N77)</f>
        <v>0</v>
      </c>
      <c r="O73" s="599">
        <f>SUM(O74:O77)</f>
        <v>19051327</v>
      </c>
      <c r="P73" s="599">
        <f t="shared" ref="P73:P76" si="66">E73+J73</f>
        <v>19051327</v>
      </c>
      <c r="Q73" s="36"/>
      <c r="R73" s="37"/>
    </row>
    <row r="74" spans="1:18" s="33" customFormat="1" ht="138.75" hidden="1" thickTop="1" thickBot="1" x14ac:dyDescent="0.25">
      <c r="A74" s="126" t="s">
        <v>644</v>
      </c>
      <c r="B74" s="126" t="s">
        <v>645</v>
      </c>
      <c r="C74" s="126" t="s">
        <v>209</v>
      </c>
      <c r="D74" s="126" t="s">
        <v>1519</v>
      </c>
      <c r="E74" s="125">
        <f t="shared" si="65"/>
        <v>0</v>
      </c>
      <c r="F74" s="132"/>
      <c r="G74" s="132"/>
      <c r="H74" s="132"/>
      <c r="I74" s="132"/>
      <c r="J74" s="125">
        <f t="shared" si="33"/>
        <v>0</v>
      </c>
      <c r="K74" s="132">
        <v>0</v>
      </c>
      <c r="L74" s="132"/>
      <c r="M74" s="132"/>
      <c r="N74" s="132"/>
      <c r="O74" s="130">
        <f t="shared" ref="O74:O76" si="67">K74</f>
        <v>0</v>
      </c>
      <c r="P74" s="125">
        <f t="shared" si="66"/>
        <v>0</v>
      </c>
      <c r="Q74" s="36"/>
      <c r="R74" s="26"/>
    </row>
    <row r="75" spans="1:18" s="33" customFormat="1" ht="138.75" hidden="1" thickTop="1" thickBot="1" x14ac:dyDescent="0.25">
      <c r="A75" s="126" t="s">
        <v>959</v>
      </c>
      <c r="B75" s="126" t="s">
        <v>960</v>
      </c>
      <c r="C75" s="126" t="s">
        <v>209</v>
      </c>
      <c r="D75" s="126" t="s">
        <v>1520</v>
      </c>
      <c r="E75" s="125">
        <f t="shared" si="65"/>
        <v>0</v>
      </c>
      <c r="F75" s="132"/>
      <c r="G75" s="132"/>
      <c r="H75" s="132"/>
      <c r="I75" s="132"/>
      <c r="J75" s="125">
        <f t="shared" si="33"/>
        <v>0</v>
      </c>
      <c r="K75" s="132">
        <v>0</v>
      </c>
      <c r="L75" s="132"/>
      <c r="M75" s="132"/>
      <c r="N75" s="132"/>
      <c r="O75" s="130">
        <f t="shared" si="67"/>
        <v>0</v>
      </c>
      <c r="P75" s="125">
        <f t="shared" si="66"/>
        <v>0</v>
      </c>
      <c r="Q75" s="36"/>
      <c r="R75" s="26"/>
    </row>
    <row r="76" spans="1:18" s="33" customFormat="1" ht="219" customHeight="1" thickTop="1" thickBot="1" x14ac:dyDescent="0.25">
      <c r="A76" s="101" t="s">
        <v>1633</v>
      </c>
      <c r="B76" s="101" t="s">
        <v>1635</v>
      </c>
      <c r="C76" s="101" t="s">
        <v>209</v>
      </c>
      <c r="D76" s="101" t="s">
        <v>1637</v>
      </c>
      <c r="E76" s="310">
        <f t="shared" ref="E76" si="68">F76</f>
        <v>0</v>
      </c>
      <c r="F76" s="425"/>
      <c r="G76" s="425"/>
      <c r="H76" s="425"/>
      <c r="I76" s="425"/>
      <c r="J76" s="310">
        <f t="shared" si="33"/>
        <v>5715427</v>
      </c>
      <c r="K76" s="425">
        <v>5715427</v>
      </c>
      <c r="L76" s="425"/>
      <c r="M76" s="425"/>
      <c r="N76" s="425"/>
      <c r="O76" s="422">
        <f t="shared" si="67"/>
        <v>5715427</v>
      </c>
      <c r="P76" s="310">
        <f t="shared" si="66"/>
        <v>5715427</v>
      </c>
      <c r="Q76" s="36"/>
      <c r="R76" s="26"/>
    </row>
    <row r="77" spans="1:18" s="33" customFormat="1" ht="209.25" customHeight="1" thickTop="1" thickBot="1" x14ac:dyDescent="0.25">
      <c r="A77" s="101" t="s">
        <v>1634</v>
      </c>
      <c r="B77" s="101" t="s">
        <v>1636</v>
      </c>
      <c r="C77" s="101" t="s">
        <v>209</v>
      </c>
      <c r="D77" s="101" t="s">
        <v>1638</v>
      </c>
      <c r="E77" s="310">
        <f t="shared" ref="E77" si="69">F77</f>
        <v>0</v>
      </c>
      <c r="F77" s="425"/>
      <c r="G77" s="425"/>
      <c r="H77" s="425"/>
      <c r="I77" s="425"/>
      <c r="J77" s="310">
        <f t="shared" ref="J77" si="70">L77+O77</f>
        <v>13335900</v>
      </c>
      <c r="K77" s="425">
        <v>13335900</v>
      </c>
      <c r="L77" s="425"/>
      <c r="M77" s="425"/>
      <c r="N77" s="425"/>
      <c r="O77" s="422">
        <f t="shared" ref="O77" si="71">K77</f>
        <v>13335900</v>
      </c>
      <c r="P77" s="310">
        <f t="shared" ref="P77" si="72">E77+J77</f>
        <v>13335900</v>
      </c>
      <c r="Q77" s="36"/>
      <c r="R77" s="26"/>
    </row>
    <row r="78" spans="1:18" s="33" customFormat="1" ht="209.25" customHeight="1" thickTop="1" thickBot="1" x14ac:dyDescent="0.25">
      <c r="A78" s="101" t="s">
        <v>635</v>
      </c>
      <c r="B78" s="101" t="s">
        <v>636</v>
      </c>
      <c r="C78" s="101" t="s">
        <v>209</v>
      </c>
      <c r="D78" s="101" t="s">
        <v>1629</v>
      </c>
      <c r="E78" s="310">
        <f t="shared" si="65"/>
        <v>5255400</v>
      </c>
      <c r="F78" s="425">
        <v>5255400</v>
      </c>
      <c r="G78" s="425">
        <v>4307705</v>
      </c>
      <c r="H78" s="425"/>
      <c r="I78" s="425"/>
      <c r="J78" s="310">
        <f t="shared" ref="J78" si="73">L78+O78</f>
        <v>0</v>
      </c>
      <c r="K78" s="425"/>
      <c r="L78" s="425"/>
      <c r="M78" s="425"/>
      <c r="N78" s="425"/>
      <c r="O78" s="422">
        <f t="shared" ref="O78" si="74">K78</f>
        <v>0</v>
      </c>
      <c r="P78" s="310">
        <f t="shared" ref="P78" si="75">E78+J78</f>
        <v>5255400</v>
      </c>
      <c r="Q78" s="36"/>
      <c r="R78" s="26"/>
    </row>
    <row r="79" spans="1:18" s="33" customFormat="1" ht="138.75" hidden="1" thickTop="1" thickBot="1" x14ac:dyDescent="0.25">
      <c r="A79" s="126" t="s">
        <v>921</v>
      </c>
      <c r="B79" s="126" t="s">
        <v>922</v>
      </c>
      <c r="C79" s="126" t="s">
        <v>209</v>
      </c>
      <c r="D79" s="126" t="s">
        <v>1380</v>
      </c>
      <c r="E79" s="125">
        <f t="shared" ref="E79" si="76">F79</f>
        <v>0</v>
      </c>
      <c r="F79" s="132"/>
      <c r="G79" s="132"/>
      <c r="H79" s="132"/>
      <c r="I79" s="132"/>
      <c r="J79" s="125">
        <f t="shared" ref="J79" si="77">L79+O79</f>
        <v>0</v>
      </c>
      <c r="K79" s="132"/>
      <c r="L79" s="132"/>
      <c r="M79" s="132"/>
      <c r="N79" s="132"/>
      <c r="O79" s="130">
        <f t="shared" ref="O79" si="78">K79</f>
        <v>0</v>
      </c>
      <c r="P79" s="125">
        <f t="shared" ref="P79" si="79">E79+J79</f>
        <v>0</v>
      </c>
      <c r="Q79" s="36"/>
      <c r="R79" s="26"/>
    </row>
    <row r="80" spans="1:18" s="33" customFormat="1" ht="93" hidden="1" thickTop="1" thickBot="1" x14ac:dyDescent="0.25">
      <c r="A80" s="138" t="s">
        <v>976</v>
      </c>
      <c r="B80" s="138" t="s">
        <v>978</v>
      </c>
      <c r="C80" s="138"/>
      <c r="D80" s="138" t="s">
        <v>1372</v>
      </c>
      <c r="E80" s="139">
        <f>F80</f>
        <v>0</v>
      </c>
      <c r="F80" s="139">
        <f>SUM(F81:F82)</f>
        <v>0</v>
      </c>
      <c r="G80" s="139">
        <f>SUM(G81:G82)</f>
        <v>0</v>
      </c>
      <c r="H80" s="139">
        <f>SUM(H81:H82)</f>
        <v>0</v>
      </c>
      <c r="I80" s="139">
        <f>SUM(I81:I82)</f>
        <v>0</v>
      </c>
      <c r="J80" s="139">
        <f>L80+O80</f>
        <v>0</v>
      </c>
      <c r="K80" s="139">
        <f>SUM(K81:K82)</f>
        <v>0</v>
      </c>
      <c r="L80" s="139">
        <f>SUM(L81:L82)</f>
        <v>0</v>
      </c>
      <c r="M80" s="139">
        <f>SUM(M81:M82)</f>
        <v>0</v>
      </c>
      <c r="N80" s="139">
        <f>SUM(N81:N82)</f>
        <v>0</v>
      </c>
      <c r="O80" s="139">
        <f>SUM(O81:O82)</f>
        <v>0</v>
      </c>
      <c r="P80" s="139">
        <f>E80+J80</f>
        <v>0</v>
      </c>
      <c r="Q80" s="36"/>
      <c r="R80" s="26"/>
    </row>
    <row r="81" spans="1:18" s="33" customFormat="1" ht="138.75" hidden="1" thickTop="1" thickBot="1" x14ac:dyDescent="0.25">
      <c r="A81" s="126" t="s">
        <v>977</v>
      </c>
      <c r="B81" s="126" t="s">
        <v>979</v>
      </c>
      <c r="C81" s="126" t="s">
        <v>209</v>
      </c>
      <c r="D81" s="126" t="s">
        <v>1209</v>
      </c>
      <c r="E81" s="125">
        <f>F81</f>
        <v>0</v>
      </c>
      <c r="F81" s="132"/>
      <c r="G81" s="132"/>
      <c r="H81" s="132"/>
      <c r="I81" s="132"/>
      <c r="J81" s="125">
        <f t="shared" ref="J81:J82" si="80">L81+O81</f>
        <v>0</v>
      </c>
      <c r="K81" s="132">
        <v>0</v>
      </c>
      <c r="L81" s="132"/>
      <c r="M81" s="132"/>
      <c r="N81" s="132"/>
      <c r="O81" s="130">
        <f t="shared" ref="O81:O82" si="81">K81</f>
        <v>0</v>
      </c>
      <c r="P81" s="125">
        <f>E81+J81</f>
        <v>0</v>
      </c>
      <c r="Q81" s="36"/>
      <c r="R81" s="26"/>
    </row>
    <row r="82" spans="1:18" s="33" customFormat="1" ht="138.75" hidden="1" thickTop="1" thickBot="1" x14ac:dyDescent="0.25">
      <c r="A82" s="126" t="s">
        <v>1016</v>
      </c>
      <c r="B82" s="126" t="s">
        <v>1017</v>
      </c>
      <c r="C82" s="126" t="s">
        <v>209</v>
      </c>
      <c r="D82" s="126" t="s">
        <v>1481</v>
      </c>
      <c r="E82" s="125">
        <f>F82</f>
        <v>0</v>
      </c>
      <c r="F82" s="132">
        <f>(553900)-553900</f>
        <v>0</v>
      </c>
      <c r="G82" s="132"/>
      <c r="H82" s="132"/>
      <c r="I82" s="132"/>
      <c r="J82" s="125">
        <f t="shared" si="80"/>
        <v>0</v>
      </c>
      <c r="K82" s="132">
        <v>0</v>
      </c>
      <c r="L82" s="132"/>
      <c r="M82" s="132"/>
      <c r="N82" s="132"/>
      <c r="O82" s="130">
        <f t="shared" si="81"/>
        <v>0</v>
      </c>
      <c r="P82" s="125">
        <f>E82+J82</f>
        <v>0</v>
      </c>
      <c r="Q82" s="36"/>
      <c r="R82" s="26"/>
    </row>
    <row r="83" spans="1:18" s="33" customFormat="1" ht="184.5" thickTop="1" thickBot="1" x14ac:dyDescent="0.25">
      <c r="A83" s="598" t="s">
        <v>1328</v>
      </c>
      <c r="B83" s="598" t="s">
        <v>1329</v>
      </c>
      <c r="C83" s="598"/>
      <c r="D83" s="598" t="s">
        <v>1615</v>
      </c>
      <c r="E83" s="599">
        <f>SUM(E84:E85)</f>
        <v>0</v>
      </c>
      <c r="F83" s="599">
        <f t="shared" ref="F83:P83" si="82">SUM(F84:F85)</f>
        <v>0</v>
      </c>
      <c r="G83" s="599">
        <f t="shared" si="82"/>
        <v>0</v>
      </c>
      <c r="H83" s="599">
        <f t="shared" si="82"/>
        <v>0</v>
      </c>
      <c r="I83" s="599">
        <f t="shared" si="82"/>
        <v>0</v>
      </c>
      <c r="J83" s="599">
        <f t="shared" si="82"/>
        <v>13613311.779999999</v>
      </c>
      <c r="K83" s="599">
        <f t="shared" si="82"/>
        <v>13613311.779999999</v>
      </c>
      <c r="L83" s="599">
        <f t="shared" si="82"/>
        <v>0</v>
      </c>
      <c r="M83" s="599">
        <f t="shared" si="82"/>
        <v>0</v>
      </c>
      <c r="N83" s="599">
        <f t="shared" si="82"/>
        <v>0</v>
      </c>
      <c r="O83" s="599">
        <f t="shared" si="82"/>
        <v>13613311.779999999</v>
      </c>
      <c r="P83" s="599">
        <f t="shared" si="82"/>
        <v>13613311.779999999</v>
      </c>
      <c r="Q83" s="36"/>
      <c r="R83" s="26"/>
    </row>
    <row r="84" spans="1:18" s="33" customFormat="1" ht="276" thickTop="1" thickBot="1" x14ac:dyDescent="0.25">
      <c r="A84" s="101" t="s">
        <v>1330</v>
      </c>
      <c r="B84" s="101" t="s">
        <v>1331</v>
      </c>
      <c r="C84" s="101" t="s">
        <v>209</v>
      </c>
      <c r="D84" s="101" t="s">
        <v>1616</v>
      </c>
      <c r="E84" s="310">
        <f>F84</f>
        <v>0</v>
      </c>
      <c r="F84" s="425"/>
      <c r="G84" s="425"/>
      <c r="H84" s="425"/>
      <c r="I84" s="425"/>
      <c r="J84" s="310">
        <f t="shared" ref="J84:J85" si="83">L84+O84</f>
        <v>13613311.779999999</v>
      </c>
      <c r="K84" s="425">
        <f>(((5000000)+7000000)+1600965.78)+12346</f>
        <v>13613311.779999999</v>
      </c>
      <c r="L84" s="425"/>
      <c r="M84" s="425"/>
      <c r="N84" s="425"/>
      <c r="O84" s="422">
        <f t="shared" ref="O84:O85" si="84">K84</f>
        <v>13613311.779999999</v>
      </c>
      <c r="P84" s="310">
        <f>E84+J84</f>
        <v>13613311.779999999</v>
      </c>
      <c r="Q84" s="36"/>
      <c r="R84" s="26"/>
    </row>
    <row r="85" spans="1:18" s="33" customFormat="1" ht="138.75" hidden="1" thickTop="1" thickBot="1" x14ac:dyDescent="0.25">
      <c r="A85" s="126" t="s">
        <v>1332</v>
      </c>
      <c r="B85" s="126" t="s">
        <v>1333</v>
      </c>
      <c r="C85" s="126" t="s">
        <v>209</v>
      </c>
      <c r="D85" s="126" t="s">
        <v>1334</v>
      </c>
      <c r="E85" s="125">
        <f>F85</f>
        <v>0</v>
      </c>
      <c r="F85" s="132"/>
      <c r="G85" s="132"/>
      <c r="H85" s="132"/>
      <c r="I85" s="132"/>
      <c r="J85" s="125">
        <f t="shared" si="83"/>
        <v>0</v>
      </c>
      <c r="K85" s="132"/>
      <c r="L85" s="132"/>
      <c r="M85" s="132"/>
      <c r="N85" s="132"/>
      <c r="O85" s="130">
        <f t="shared" si="84"/>
        <v>0</v>
      </c>
      <c r="P85" s="125">
        <f>E85+J85</f>
        <v>0</v>
      </c>
      <c r="Q85" s="36"/>
      <c r="R85" s="26"/>
    </row>
    <row r="86" spans="1:18" s="33" customFormat="1" ht="138.75" thickTop="1" thickBot="1" x14ac:dyDescent="0.25">
      <c r="A86" s="598" t="s">
        <v>1392</v>
      </c>
      <c r="B86" s="598" t="s">
        <v>1391</v>
      </c>
      <c r="C86" s="598"/>
      <c r="D86" s="598" t="s">
        <v>1393</v>
      </c>
      <c r="E86" s="599">
        <f>SUM(E87:E90)</f>
        <v>28229</v>
      </c>
      <c r="F86" s="599">
        <f t="shared" ref="F86:P86" si="85">SUM(F87:F90)</f>
        <v>28229</v>
      </c>
      <c r="G86" s="599">
        <f t="shared" si="85"/>
        <v>0</v>
      </c>
      <c r="H86" s="599">
        <f t="shared" si="85"/>
        <v>0</v>
      </c>
      <c r="I86" s="599">
        <f t="shared" si="85"/>
        <v>0</v>
      </c>
      <c r="J86" s="599">
        <f t="shared" si="85"/>
        <v>1971736</v>
      </c>
      <c r="K86" s="599">
        <f t="shared" si="85"/>
        <v>171769</v>
      </c>
      <c r="L86" s="599">
        <f t="shared" si="85"/>
        <v>254051</v>
      </c>
      <c r="M86" s="599">
        <f t="shared" si="85"/>
        <v>0</v>
      </c>
      <c r="N86" s="599">
        <f t="shared" si="85"/>
        <v>0</v>
      </c>
      <c r="O86" s="599">
        <f t="shared" si="85"/>
        <v>1717685</v>
      </c>
      <c r="P86" s="599">
        <f t="shared" si="85"/>
        <v>1999965</v>
      </c>
      <c r="Q86" s="36"/>
      <c r="R86" s="26"/>
    </row>
    <row r="87" spans="1:18" s="33" customFormat="1" ht="93" hidden="1" thickTop="1" thickBot="1" x14ac:dyDescent="0.25">
      <c r="A87" s="536" t="s">
        <v>1394</v>
      </c>
      <c r="B87" s="536" t="s">
        <v>1395</v>
      </c>
      <c r="C87" s="536" t="s">
        <v>209</v>
      </c>
      <c r="D87" s="536" t="s">
        <v>1399</v>
      </c>
      <c r="E87" s="713">
        <f t="shared" ref="E87:E88" si="86">F87</f>
        <v>0</v>
      </c>
      <c r="F87" s="714">
        <v>0</v>
      </c>
      <c r="G87" s="714"/>
      <c r="H87" s="714"/>
      <c r="I87" s="714"/>
      <c r="J87" s="713">
        <f t="shared" ref="J87:J90" si="87">L87+O87</f>
        <v>0</v>
      </c>
      <c r="K87" s="714"/>
      <c r="L87" s="714"/>
      <c r="M87" s="714"/>
      <c r="N87" s="714"/>
      <c r="O87" s="715">
        <f t="shared" ref="O87" si="88">K87</f>
        <v>0</v>
      </c>
      <c r="P87" s="713">
        <f t="shared" ref="P87:P88" si="89">E87+J87</f>
        <v>0</v>
      </c>
      <c r="Q87" s="36"/>
      <c r="R87" s="26"/>
    </row>
    <row r="88" spans="1:18" s="33" customFormat="1" ht="138.75" hidden="1" thickTop="1" thickBot="1" x14ac:dyDescent="0.25">
      <c r="A88" s="536" t="s">
        <v>1396</v>
      </c>
      <c r="B88" s="536" t="s">
        <v>1397</v>
      </c>
      <c r="C88" s="536" t="s">
        <v>209</v>
      </c>
      <c r="D88" s="536" t="s">
        <v>1398</v>
      </c>
      <c r="E88" s="713">
        <f t="shared" si="86"/>
        <v>0</v>
      </c>
      <c r="F88" s="714"/>
      <c r="G88" s="714"/>
      <c r="H88" s="714"/>
      <c r="I88" s="714"/>
      <c r="J88" s="713">
        <f t="shared" si="87"/>
        <v>0</v>
      </c>
      <c r="K88" s="714"/>
      <c r="L88" s="714"/>
      <c r="M88" s="714"/>
      <c r="N88" s="714"/>
      <c r="O88" s="715">
        <f>K88</f>
        <v>0</v>
      </c>
      <c r="P88" s="713">
        <f t="shared" si="89"/>
        <v>0</v>
      </c>
      <c r="Q88" s="36"/>
      <c r="R88" s="26"/>
    </row>
    <row r="89" spans="1:18" s="33" customFormat="1" ht="163.5" customHeight="1" thickTop="1" thickBot="1" x14ac:dyDescent="0.25">
      <c r="A89" s="101" t="s">
        <v>1702</v>
      </c>
      <c r="B89" s="101" t="s">
        <v>1697</v>
      </c>
      <c r="C89" s="101" t="s">
        <v>209</v>
      </c>
      <c r="D89" s="101" t="s">
        <v>1696</v>
      </c>
      <c r="E89" s="310">
        <f>F89</f>
        <v>28229</v>
      </c>
      <c r="F89" s="425">
        <v>28229</v>
      </c>
      <c r="G89" s="425"/>
      <c r="H89" s="425"/>
      <c r="I89" s="425"/>
      <c r="J89" s="310">
        <f t="shared" si="87"/>
        <v>171769</v>
      </c>
      <c r="K89" s="425">
        <v>171769</v>
      </c>
      <c r="L89" s="425"/>
      <c r="M89" s="425"/>
      <c r="N89" s="425"/>
      <c r="O89" s="422">
        <f t="shared" ref="O89" si="90">K89</f>
        <v>171769</v>
      </c>
      <c r="P89" s="310">
        <f>E89+J89</f>
        <v>199998</v>
      </c>
      <c r="Q89" s="36"/>
      <c r="R89" s="26"/>
    </row>
    <row r="90" spans="1:18" s="33" customFormat="1" ht="138.75" thickTop="1" thickBot="1" x14ac:dyDescent="0.25">
      <c r="A90" s="101" t="s">
        <v>1703</v>
      </c>
      <c r="B90" s="101" t="s">
        <v>1699</v>
      </c>
      <c r="C90" s="101" t="s">
        <v>209</v>
      </c>
      <c r="D90" s="101" t="s">
        <v>1698</v>
      </c>
      <c r="E90" s="310">
        <f>F90</f>
        <v>0</v>
      </c>
      <c r="F90" s="425"/>
      <c r="G90" s="425"/>
      <c r="H90" s="425"/>
      <c r="I90" s="425"/>
      <c r="J90" s="310">
        <f t="shared" si="87"/>
        <v>1799967</v>
      </c>
      <c r="K90" s="425"/>
      <c r="L90" s="425">
        <v>254051</v>
      </c>
      <c r="M90" s="425"/>
      <c r="N90" s="425"/>
      <c r="O90" s="422">
        <f>K90+1545916</f>
        <v>1545916</v>
      </c>
      <c r="P90" s="310">
        <f>E90+J90</f>
        <v>1799967</v>
      </c>
      <c r="Q90" s="36"/>
      <c r="R90" s="26"/>
    </row>
    <row r="91" spans="1:18" s="33" customFormat="1" ht="209.25" customHeight="1" thickTop="1" thickBot="1" x14ac:dyDescent="0.25">
      <c r="A91" s="598" t="s">
        <v>1458</v>
      </c>
      <c r="B91" s="598" t="s">
        <v>1460</v>
      </c>
      <c r="C91" s="101"/>
      <c r="D91" s="598" t="s">
        <v>1457</v>
      </c>
      <c r="E91" s="599">
        <f>SUM(E92:E93)</f>
        <v>697523.23</v>
      </c>
      <c r="F91" s="599">
        <f t="shared" ref="F91:O91" si="91">SUM(F92:F93)</f>
        <v>697523.23</v>
      </c>
      <c r="G91" s="599">
        <f t="shared" si="91"/>
        <v>0</v>
      </c>
      <c r="H91" s="599">
        <f t="shared" si="91"/>
        <v>0</v>
      </c>
      <c r="I91" s="599">
        <f t="shared" si="91"/>
        <v>0</v>
      </c>
      <c r="J91" s="599">
        <f t="shared" si="91"/>
        <v>6199672.8099999996</v>
      </c>
      <c r="K91" s="599">
        <f t="shared" si="91"/>
        <v>1371638.2999999998</v>
      </c>
      <c r="L91" s="599">
        <f t="shared" si="91"/>
        <v>1627549.7</v>
      </c>
      <c r="M91" s="599">
        <f t="shared" si="91"/>
        <v>0</v>
      </c>
      <c r="N91" s="599">
        <f t="shared" si="91"/>
        <v>0</v>
      </c>
      <c r="O91" s="599">
        <f t="shared" si="91"/>
        <v>4572123.1099999994</v>
      </c>
      <c r="P91" s="599">
        <f>SUM(P92:P93)</f>
        <v>6897196.0399999991</v>
      </c>
      <c r="Q91" s="36"/>
      <c r="R91" s="26"/>
    </row>
    <row r="92" spans="1:18" s="33" customFormat="1" ht="230.25" thickTop="1" thickBot="1" x14ac:dyDescent="0.25">
      <c r="A92" s="101" t="s">
        <v>1461</v>
      </c>
      <c r="B92" s="101" t="s">
        <v>1459</v>
      </c>
      <c r="C92" s="101" t="s">
        <v>209</v>
      </c>
      <c r="D92" s="101" t="s">
        <v>1462</v>
      </c>
      <c r="E92" s="310">
        <f>F92</f>
        <v>697523.23</v>
      </c>
      <c r="F92" s="425">
        <f>(0)+697523.23</f>
        <v>697523.23</v>
      </c>
      <c r="G92" s="425"/>
      <c r="H92" s="425"/>
      <c r="I92" s="425"/>
      <c r="J92" s="310">
        <f t="shared" ref="J92:J94" si="92">L92+O92</f>
        <v>1371638.2999999998</v>
      </c>
      <c r="K92" s="425">
        <f>(0)+1209663.43+161974.87</f>
        <v>1371638.2999999998</v>
      </c>
      <c r="L92" s="425"/>
      <c r="M92" s="425"/>
      <c r="N92" s="425"/>
      <c r="O92" s="422">
        <f t="shared" ref="O92" si="93">K92</f>
        <v>1371638.2999999998</v>
      </c>
      <c r="P92" s="310">
        <f>E92+J92</f>
        <v>2069161.5299999998</v>
      </c>
      <c r="Q92" s="36"/>
      <c r="R92" s="26"/>
    </row>
    <row r="93" spans="1:18" s="33" customFormat="1" ht="219" customHeight="1" thickTop="1" thickBot="1" x14ac:dyDescent="0.25">
      <c r="A93" s="101" t="s">
        <v>1463</v>
      </c>
      <c r="B93" s="101" t="s">
        <v>1464</v>
      </c>
      <c r="C93" s="101" t="s">
        <v>209</v>
      </c>
      <c r="D93" s="101" t="s">
        <v>1465</v>
      </c>
      <c r="E93" s="310">
        <f>F93</f>
        <v>0</v>
      </c>
      <c r="F93" s="425"/>
      <c r="G93" s="425"/>
      <c r="H93" s="425"/>
      <c r="I93" s="425"/>
      <c r="J93" s="310">
        <f t="shared" si="92"/>
        <v>4828034.51</v>
      </c>
      <c r="K93" s="425"/>
      <c r="L93" s="425">
        <v>1627549.7</v>
      </c>
      <c r="M93" s="425"/>
      <c r="N93" s="425"/>
      <c r="O93" s="422">
        <f>K93+2822543.49+377941.32</f>
        <v>3200484.81</v>
      </c>
      <c r="P93" s="310">
        <f>E93+J93</f>
        <v>4828034.51</v>
      </c>
      <c r="Q93" s="36"/>
      <c r="R93" s="26"/>
    </row>
    <row r="94" spans="1:18" s="33" customFormat="1" ht="91.5" customHeight="1" thickTop="1" thickBot="1" x14ac:dyDescent="0.25">
      <c r="A94" s="101" t="s">
        <v>1587</v>
      </c>
      <c r="B94" s="101" t="s">
        <v>1569</v>
      </c>
      <c r="C94" s="101" t="s">
        <v>209</v>
      </c>
      <c r="D94" s="101" t="s">
        <v>1570</v>
      </c>
      <c r="E94" s="310">
        <f>F94</f>
        <v>0</v>
      </c>
      <c r="F94" s="425"/>
      <c r="G94" s="425"/>
      <c r="H94" s="425"/>
      <c r="I94" s="425"/>
      <c r="J94" s="310">
        <f t="shared" si="92"/>
        <v>31043812.859999999</v>
      </c>
      <c r="K94" s="425">
        <f>(((2000000+3000000)+10000000)+11128251.1)+4915561.76</f>
        <v>31043812.859999999</v>
      </c>
      <c r="L94" s="425"/>
      <c r="M94" s="425"/>
      <c r="N94" s="425"/>
      <c r="O94" s="422">
        <f t="shared" ref="O94" si="94">K94</f>
        <v>31043812.859999999</v>
      </c>
      <c r="P94" s="310">
        <f>E94+J94</f>
        <v>31043812.859999999</v>
      </c>
      <c r="Q94" s="36"/>
      <c r="R94" s="26"/>
    </row>
    <row r="95" spans="1:18" s="33" customFormat="1" ht="93" thickTop="1" thickBot="1" x14ac:dyDescent="0.25">
      <c r="A95" s="598" t="s">
        <v>1523</v>
      </c>
      <c r="B95" s="598" t="s">
        <v>1526</v>
      </c>
      <c r="C95" s="101"/>
      <c r="D95" s="598" t="s">
        <v>1527</v>
      </c>
      <c r="E95" s="599">
        <f>E96</f>
        <v>0</v>
      </c>
      <c r="F95" s="599">
        <f t="shared" ref="F95:P95" si="95">F96</f>
        <v>0</v>
      </c>
      <c r="G95" s="599">
        <f t="shared" si="95"/>
        <v>0</v>
      </c>
      <c r="H95" s="599">
        <f t="shared" si="95"/>
        <v>0</v>
      </c>
      <c r="I95" s="599">
        <f t="shared" si="95"/>
        <v>0</v>
      </c>
      <c r="J95" s="599">
        <f t="shared" si="95"/>
        <v>42063000</v>
      </c>
      <c r="K95" s="599">
        <f t="shared" si="95"/>
        <v>0</v>
      </c>
      <c r="L95" s="599">
        <f t="shared" si="95"/>
        <v>42063000</v>
      </c>
      <c r="M95" s="599">
        <f t="shared" si="95"/>
        <v>0</v>
      </c>
      <c r="N95" s="599">
        <f t="shared" si="95"/>
        <v>0</v>
      </c>
      <c r="O95" s="599">
        <f t="shared" si="95"/>
        <v>0</v>
      </c>
      <c r="P95" s="599">
        <f t="shared" si="95"/>
        <v>42063000</v>
      </c>
      <c r="Q95" s="36"/>
      <c r="R95" s="26"/>
    </row>
    <row r="96" spans="1:18" s="33" customFormat="1" ht="138.75" thickTop="1" thickBot="1" x14ac:dyDescent="0.25">
      <c r="A96" s="101" t="s">
        <v>1524</v>
      </c>
      <c r="B96" s="101" t="s">
        <v>1525</v>
      </c>
      <c r="C96" s="101" t="s">
        <v>209</v>
      </c>
      <c r="D96" s="101" t="s">
        <v>1528</v>
      </c>
      <c r="E96" s="310">
        <f>F96</f>
        <v>0</v>
      </c>
      <c r="F96" s="425"/>
      <c r="G96" s="425"/>
      <c r="H96" s="425"/>
      <c r="I96" s="425"/>
      <c r="J96" s="310">
        <f t="shared" ref="J96" si="96">L96+O96</f>
        <v>42063000</v>
      </c>
      <c r="K96" s="425"/>
      <c r="L96" s="425">
        <v>42063000</v>
      </c>
      <c r="M96" s="425"/>
      <c r="N96" s="425"/>
      <c r="O96" s="422">
        <f t="shared" ref="O96" si="97">K96</f>
        <v>0</v>
      </c>
      <c r="P96" s="310">
        <f>E96+J96</f>
        <v>42063000</v>
      </c>
      <c r="Q96" s="36"/>
      <c r="R96" s="26"/>
    </row>
    <row r="97" spans="1:18" s="33" customFormat="1" ht="123" customHeight="1" thickTop="1" thickBot="1" x14ac:dyDescent="0.25">
      <c r="A97" s="101" t="s">
        <v>1630</v>
      </c>
      <c r="B97" s="101" t="s">
        <v>1631</v>
      </c>
      <c r="C97" s="101" t="s">
        <v>209</v>
      </c>
      <c r="D97" s="101" t="s">
        <v>1632</v>
      </c>
      <c r="E97" s="310">
        <f>F97</f>
        <v>39410600</v>
      </c>
      <c r="F97" s="425">
        <f>(38198300)+1212300</f>
        <v>39410600</v>
      </c>
      <c r="G97" s="425">
        <f>(31310100)+993700</f>
        <v>32303800</v>
      </c>
      <c r="H97" s="425"/>
      <c r="I97" s="425"/>
      <c r="J97" s="310">
        <f t="shared" ref="J97" si="98">L97+O97</f>
        <v>0</v>
      </c>
      <c r="K97" s="425"/>
      <c r="L97" s="425"/>
      <c r="M97" s="425"/>
      <c r="N97" s="425"/>
      <c r="O97" s="422">
        <f t="shared" ref="O97" si="99">K97</f>
        <v>0</v>
      </c>
      <c r="P97" s="310">
        <f>E97+J97</f>
        <v>39410600</v>
      </c>
      <c r="Q97" s="36"/>
      <c r="R97" s="26"/>
    </row>
    <row r="98" spans="1:18" s="33" customFormat="1" ht="47.25" thickTop="1" thickBot="1" x14ac:dyDescent="0.25">
      <c r="A98" s="298" t="s">
        <v>697</v>
      </c>
      <c r="B98" s="298" t="s">
        <v>698</v>
      </c>
      <c r="C98" s="298"/>
      <c r="D98" s="298" t="s">
        <v>699</v>
      </c>
      <c r="E98" s="310">
        <f>SUM(E99:E100)</f>
        <v>715000</v>
      </c>
      <c r="F98" s="310">
        <f t="shared" ref="F98:P98" si="100">SUM(F99:F100)</f>
        <v>715000</v>
      </c>
      <c r="G98" s="310">
        <f t="shared" si="100"/>
        <v>0</v>
      </c>
      <c r="H98" s="310">
        <f t="shared" si="100"/>
        <v>0</v>
      </c>
      <c r="I98" s="310">
        <f t="shared" si="100"/>
        <v>0</v>
      </c>
      <c r="J98" s="310">
        <f t="shared" si="100"/>
        <v>0</v>
      </c>
      <c r="K98" s="310">
        <f t="shared" si="100"/>
        <v>0</v>
      </c>
      <c r="L98" s="310">
        <f t="shared" si="100"/>
        <v>0</v>
      </c>
      <c r="M98" s="310">
        <f t="shared" si="100"/>
        <v>0</v>
      </c>
      <c r="N98" s="310">
        <f t="shared" si="100"/>
        <v>0</v>
      </c>
      <c r="O98" s="310">
        <f t="shared" si="100"/>
        <v>0</v>
      </c>
      <c r="P98" s="310">
        <f t="shared" si="100"/>
        <v>715000</v>
      </c>
      <c r="Q98" s="36"/>
      <c r="R98" s="26"/>
    </row>
    <row r="99" spans="1:18" s="33" customFormat="1" ht="167.25" customHeight="1" thickTop="1" thickBot="1" x14ac:dyDescent="0.25">
      <c r="A99" s="101" t="s">
        <v>426</v>
      </c>
      <c r="B99" s="101" t="s">
        <v>427</v>
      </c>
      <c r="C99" s="101" t="s">
        <v>184</v>
      </c>
      <c r="D99" s="101" t="s">
        <v>425</v>
      </c>
      <c r="E99" s="310">
        <f t="shared" si="65"/>
        <v>715000</v>
      </c>
      <c r="F99" s="425">
        <v>715000</v>
      </c>
      <c r="G99" s="425"/>
      <c r="H99" s="425"/>
      <c r="I99" s="425"/>
      <c r="J99" s="310">
        <f>L99+O99</f>
        <v>0</v>
      </c>
      <c r="K99" s="425"/>
      <c r="L99" s="425"/>
      <c r="M99" s="425"/>
      <c r="N99" s="425"/>
      <c r="O99" s="422">
        <f>K99</f>
        <v>0</v>
      </c>
      <c r="P99" s="310">
        <f>E99+J99</f>
        <v>715000</v>
      </c>
      <c r="Q99" s="36"/>
      <c r="R99" s="39"/>
    </row>
    <row r="100" spans="1:18" s="33" customFormat="1" ht="114.75" hidden="1" customHeight="1" thickTop="1" thickBot="1" x14ac:dyDescent="0.25">
      <c r="A100" s="126" t="s">
        <v>1192</v>
      </c>
      <c r="B100" s="126" t="s">
        <v>1159</v>
      </c>
      <c r="C100" s="126" t="s">
        <v>205</v>
      </c>
      <c r="D100" s="369" t="s">
        <v>1160</v>
      </c>
      <c r="E100" s="125">
        <f t="shared" si="65"/>
        <v>0</v>
      </c>
      <c r="F100" s="132"/>
      <c r="G100" s="132"/>
      <c r="H100" s="132"/>
      <c r="I100" s="132"/>
      <c r="J100" s="125">
        <f>L100+O100</f>
        <v>0</v>
      </c>
      <c r="K100" s="132"/>
      <c r="L100" s="132"/>
      <c r="M100" s="132"/>
      <c r="N100" s="132"/>
      <c r="O100" s="130">
        <f>K100</f>
        <v>0</v>
      </c>
      <c r="P100" s="125">
        <f>E100+J100</f>
        <v>0</v>
      </c>
      <c r="Q100" s="36"/>
      <c r="R100" s="39"/>
    </row>
    <row r="101" spans="1:18" s="33" customFormat="1" ht="47.25" thickTop="1" thickBot="1" x14ac:dyDescent="0.25">
      <c r="A101" s="298" t="s">
        <v>1053</v>
      </c>
      <c r="B101" s="298" t="s">
        <v>735</v>
      </c>
      <c r="C101" s="298"/>
      <c r="D101" s="298" t="s">
        <v>1052</v>
      </c>
      <c r="E101" s="310">
        <f>E104+E102</f>
        <v>0</v>
      </c>
      <c r="F101" s="310">
        <f t="shared" ref="F101:P101" si="101">F104+F102</f>
        <v>0</v>
      </c>
      <c r="G101" s="310">
        <f t="shared" si="101"/>
        <v>0</v>
      </c>
      <c r="H101" s="310">
        <f t="shared" si="101"/>
        <v>0</v>
      </c>
      <c r="I101" s="310">
        <f t="shared" si="101"/>
        <v>0</v>
      </c>
      <c r="J101" s="310">
        <f t="shared" si="101"/>
        <v>6653528.5099999998</v>
      </c>
      <c r="K101" s="310">
        <f t="shared" si="101"/>
        <v>6653528.5099999998</v>
      </c>
      <c r="L101" s="310">
        <f t="shared" si="101"/>
        <v>0</v>
      </c>
      <c r="M101" s="310">
        <f t="shared" si="101"/>
        <v>0</v>
      </c>
      <c r="N101" s="310">
        <f t="shared" si="101"/>
        <v>0</v>
      </c>
      <c r="O101" s="310">
        <f t="shared" si="101"/>
        <v>6653528.5099999998</v>
      </c>
      <c r="P101" s="310">
        <f t="shared" si="101"/>
        <v>6653528.5099999998</v>
      </c>
      <c r="Q101" s="36"/>
      <c r="R101" s="26"/>
    </row>
    <row r="102" spans="1:18" s="33" customFormat="1" ht="47.25" hidden="1" thickTop="1" thickBot="1" x14ac:dyDescent="0.25">
      <c r="A102" s="593" t="s">
        <v>1658</v>
      </c>
      <c r="B102" s="703" t="s">
        <v>788</v>
      </c>
      <c r="C102" s="703"/>
      <c r="D102" s="703" t="s">
        <v>1623</v>
      </c>
      <c r="E102" s="595">
        <f>E103</f>
        <v>0</v>
      </c>
      <c r="F102" s="595">
        <f t="shared" ref="F102:P104" si="102">F103</f>
        <v>0</v>
      </c>
      <c r="G102" s="595">
        <f t="shared" si="102"/>
        <v>0</v>
      </c>
      <c r="H102" s="595">
        <f t="shared" si="102"/>
        <v>0</v>
      </c>
      <c r="I102" s="595">
        <f t="shared" si="102"/>
        <v>0</v>
      </c>
      <c r="J102" s="595">
        <f t="shared" si="102"/>
        <v>0</v>
      </c>
      <c r="K102" s="595">
        <f t="shared" si="102"/>
        <v>0</v>
      </c>
      <c r="L102" s="595">
        <f t="shared" si="102"/>
        <v>0</v>
      </c>
      <c r="M102" s="595">
        <f t="shared" si="102"/>
        <v>0</v>
      </c>
      <c r="N102" s="595">
        <f t="shared" si="102"/>
        <v>0</v>
      </c>
      <c r="O102" s="595">
        <f t="shared" si="102"/>
        <v>0</v>
      </c>
      <c r="P102" s="595">
        <f t="shared" si="102"/>
        <v>0</v>
      </c>
      <c r="Q102" s="36"/>
      <c r="R102" s="26"/>
    </row>
    <row r="103" spans="1:18" s="33" customFormat="1" ht="54" hidden="1" thickTop="1" thickBot="1" x14ac:dyDescent="0.25">
      <c r="A103" s="101" t="s">
        <v>1659</v>
      </c>
      <c r="B103" s="700" t="s">
        <v>313</v>
      </c>
      <c r="C103" s="700" t="s">
        <v>302</v>
      </c>
      <c r="D103" s="700" t="s">
        <v>1572</v>
      </c>
      <c r="E103" s="310">
        <f t="shared" ref="E103" si="103">F103</f>
        <v>0</v>
      </c>
      <c r="F103" s="425"/>
      <c r="G103" s="425"/>
      <c r="H103" s="425"/>
      <c r="I103" s="425"/>
      <c r="J103" s="310">
        <f t="shared" ref="J103" si="104">L103+O103</f>
        <v>0</v>
      </c>
      <c r="K103" s="425">
        <f>1600000-1600000</f>
        <v>0</v>
      </c>
      <c r="L103" s="425"/>
      <c r="M103" s="425"/>
      <c r="N103" s="425"/>
      <c r="O103" s="422">
        <f t="shared" ref="O103" si="105">K103</f>
        <v>0</v>
      </c>
      <c r="P103" s="310">
        <f>E103+J103</f>
        <v>0</v>
      </c>
      <c r="Q103" s="36"/>
      <c r="R103" s="26"/>
    </row>
    <row r="104" spans="1:18" s="33" customFormat="1" ht="57" customHeight="1" thickTop="1" thickBot="1" x14ac:dyDescent="0.25">
      <c r="A104" s="593" t="s">
        <v>1054</v>
      </c>
      <c r="B104" s="593" t="s">
        <v>679</v>
      </c>
      <c r="C104" s="593"/>
      <c r="D104" s="593" t="s">
        <v>677</v>
      </c>
      <c r="E104" s="595">
        <f>E105</f>
        <v>0</v>
      </c>
      <c r="F104" s="595">
        <f t="shared" si="102"/>
        <v>0</v>
      </c>
      <c r="G104" s="595">
        <f t="shared" si="102"/>
        <v>0</v>
      </c>
      <c r="H104" s="595">
        <f t="shared" si="102"/>
        <v>0</v>
      </c>
      <c r="I104" s="595">
        <f t="shared" si="102"/>
        <v>0</v>
      </c>
      <c r="J104" s="595">
        <f t="shared" si="102"/>
        <v>6653528.5099999998</v>
      </c>
      <c r="K104" s="595">
        <f t="shared" si="102"/>
        <v>6653528.5099999998</v>
      </c>
      <c r="L104" s="595">
        <f t="shared" si="102"/>
        <v>0</v>
      </c>
      <c r="M104" s="595">
        <f t="shared" si="102"/>
        <v>0</v>
      </c>
      <c r="N104" s="595">
        <f t="shared" si="102"/>
        <v>0</v>
      </c>
      <c r="O104" s="595">
        <f t="shared" si="102"/>
        <v>6653528.5099999998</v>
      </c>
      <c r="P104" s="595">
        <f t="shared" si="102"/>
        <v>6653528.5099999998</v>
      </c>
      <c r="Q104" s="30"/>
      <c r="R104" s="26"/>
    </row>
    <row r="105" spans="1:18" s="33" customFormat="1" ht="98.45" customHeight="1" thickTop="1" thickBot="1" x14ac:dyDescent="0.25">
      <c r="A105" s="101" t="s">
        <v>1055</v>
      </c>
      <c r="B105" s="101" t="s">
        <v>211</v>
      </c>
      <c r="C105" s="101" t="s">
        <v>212</v>
      </c>
      <c r="D105" s="101" t="s">
        <v>41</v>
      </c>
      <c r="E105" s="310">
        <f t="shared" ref="E105" si="106">F105</f>
        <v>0</v>
      </c>
      <c r="F105" s="425"/>
      <c r="G105" s="425"/>
      <c r="H105" s="425"/>
      <c r="I105" s="425"/>
      <c r="J105" s="310">
        <f t="shared" ref="J105" si="107">L105+O105</f>
        <v>6653528.5099999998</v>
      </c>
      <c r="K105" s="425">
        <f>(((1000000)+1970975.79)+2160631)+1521921.72</f>
        <v>6653528.5099999998</v>
      </c>
      <c r="L105" s="425"/>
      <c r="M105" s="425"/>
      <c r="N105" s="425"/>
      <c r="O105" s="422">
        <f t="shared" ref="O105" si="108">K105</f>
        <v>6653528.5099999998</v>
      </c>
      <c r="P105" s="310">
        <f>E105+J105</f>
        <v>6653528.5099999998</v>
      </c>
      <c r="Q105" s="30"/>
      <c r="R105" s="26"/>
    </row>
    <row r="106" spans="1:18" s="33" customFormat="1" ht="87.75" customHeight="1" thickTop="1" thickBot="1" x14ac:dyDescent="0.25">
      <c r="A106" s="298" t="s">
        <v>1183</v>
      </c>
      <c r="B106" s="298" t="s">
        <v>684</v>
      </c>
      <c r="C106" s="298"/>
      <c r="D106" s="298" t="s">
        <v>685</v>
      </c>
      <c r="E106" s="310">
        <f>E109+E107</f>
        <v>1280000</v>
      </c>
      <c r="F106" s="310">
        <f t="shared" ref="F106:P106" si="109">F109+F107</f>
        <v>1280000</v>
      </c>
      <c r="G106" s="310">
        <f t="shared" si="109"/>
        <v>0</v>
      </c>
      <c r="H106" s="310">
        <f t="shared" si="109"/>
        <v>0</v>
      </c>
      <c r="I106" s="310">
        <f t="shared" si="109"/>
        <v>0</v>
      </c>
      <c r="J106" s="310">
        <f t="shared" si="109"/>
        <v>0</v>
      </c>
      <c r="K106" s="310">
        <f t="shared" si="109"/>
        <v>0</v>
      </c>
      <c r="L106" s="310">
        <f t="shared" si="109"/>
        <v>0</v>
      </c>
      <c r="M106" s="310">
        <f t="shared" si="109"/>
        <v>0</v>
      </c>
      <c r="N106" s="310">
        <f t="shared" si="109"/>
        <v>0</v>
      </c>
      <c r="O106" s="310">
        <f t="shared" si="109"/>
        <v>0</v>
      </c>
      <c r="P106" s="310">
        <f t="shared" si="109"/>
        <v>1280000</v>
      </c>
      <c r="Q106" s="30"/>
      <c r="R106" s="26"/>
    </row>
    <row r="107" spans="1:18" s="33" customFormat="1" ht="69" customHeight="1" thickTop="1" thickBot="1" x14ac:dyDescent="0.25">
      <c r="A107" s="593" t="s">
        <v>1738</v>
      </c>
      <c r="B107" s="593" t="s">
        <v>797</v>
      </c>
      <c r="C107" s="593"/>
      <c r="D107" s="593" t="s">
        <v>1236</v>
      </c>
      <c r="E107" s="595">
        <f>E108</f>
        <v>1280000</v>
      </c>
      <c r="F107" s="595">
        <f t="shared" ref="F107:P107" si="110">F108</f>
        <v>1280000</v>
      </c>
      <c r="G107" s="595">
        <f t="shared" si="110"/>
        <v>0</v>
      </c>
      <c r="H107" s="595">
        <f t="shared" si="110"/>
        <v>0</v>
      </c>
      <c r="I107" s="595">
        <f t="shared" si="110"/>
        <v>0</v>
      </c>
      <c r="J107" s="595">
        <f t="shared" si="110"/>
        <v>0</v>
      </c>
      <c r="K107" s="595">
        <f t="shared" si="110"/>
        <v>0</v>
      </c>
      <c r="L107" s="595">
        <f t="shared" si="110"/>
        <v>0</v>
      </c>
      <c r="M107" s="595">
        <f t="shared" si="110"/>
        <v>0</v>
      </c>
      <c r="N107" s="595">
        <f t="shared" si="110"/>
        <v>0</v>
      </c>
      <c r="O107" s="595">
        <f t="shared" si="110"/>
        <v>0</v>
      </c>
      <c r="P107" s="595">
        <f t="shared" si="110"/>
        <v>1280000</v>
      </c>
      <c r="Q107" s="30"/>
      <c r="R107" s="26"/>
    </row>
    <row r="108" spans="1:18" s="33" customFormat="1" ht="93" thickTop="1" thickBot="1" x14ac:dyDescent="0.25">
      <c r="A108" s="101" t="s">
        <v>1739</v>
      </c>
      <c r="B108" s="101" t="s">
        <v>511</v>
      </c>
      <c r="C108" s="101" t="s">
        <v>249</v>
      </c>
      <c r="D108" s="101" t="s">
        <v>512</v>
      </c>
      <c r="E108" s="310">
        <f>F108</f>
        <v>1280000</v>
      </c>
      <c r="F108" s="425">
        <v>1280000</v>
      </c>
      <c r="G108" s="425"/>
      <c r="H108" s="425"/>
      <c r="I108" s="425"/>
      <c r="J108" s="310">
        <f t="shared" ref="J108" si="111">L108+O108</f>
        <v>0</v>
      </c>
      <c r="K108" s="425"/>
      <c r="L108" s="425"/>
      <c r="M108" s="425"/>
      <c r="N108" s="425"/>
      <c r="O108" s="422">
        <f t="shared" ref="O108" si="112">K108</f>
        <v>0</v>
      </c>
      <c r="P108" s="310">
        <f>E108+J108</f>
        <v>1280000</v>
      </c>
      <c r="Q108" s="30"/>
      <c r="R108" s="26"/>
    </row>
    <row r="109" spans="1:18" s="33" customFormat="1" ht="47.25" hidden="1" thickTop="1" thickBot="1" x14ac:dyDescent="0.25">
      <c r="A109" s="134" t="s">
        <v>1184</v>
      </c>
      <c r="B109" s="134" t="s">
        <v>1145</v>
      </c>
      <c r="C109" s="134"/>
      <c r="D109" s="134" t="s">
        <v>1143</v>
      </c>
      <c r="E109" s="135">
        <f t="shared" ref="E109:P109" si="113">E110</f>
        <v>0</v>
      </c>
      <c r="F109" s="135">
        <f t="shared" si="113"/>
        <v>0</v>
      </c>
      <c r="G109" s="135">
        <f t="shared" si="113"/>
        <v>0</v>
      </c>
      <c r="H109" s="135">
        <f t="shared" si="113"/>
        <v>0</v>
      </c>
      <c r="I109" s="135">
        <f t="shared" si="113"/>
        <v>0</v>
      </c>
      <c r="J109" s="135">
        <f t="shared" si="113"/>
        <v>0</v>
      </c>
      <c r="K109" s="135">
        <f t="shared" si="113"/>
        <v>0</v>
      </c>
      <c r="L109" s="135">
        <f t="shared" si="113"/>
        <v>0</v>
      </c>
      <c r="M109" s="135">
        <f t="shared" si="113"/>
        <v>0</v>
      </c>
      <c r="N109" s="135">
        <f t="shared" si="113"/>
        <v>0</v>
      </c>
      <c r="O109" s="135">
        <f t="shared" si="113"/>
        <v>0</v>
      </c>
      <c r="P109" s="135">
        <f t="shared" si="113"/>
        <v>0</v>
      </c>
      <c r="Q109" s="30"/>
      <c r="R109" s="26"/>
    </row>
    <row r="110" spans="1:18" s="33" customFormat="1" ht="48" hidden="1" thickTop="1" thickBot="1" x14ac:dyDescent="0.25">
      <c r="A110" s="126" t="s">
        <v>1185</v>
      </c>
      <c r="B110" s="126" t="s">
        <v>1149</v>
      </c>
      <c r="C110" s="126" t="s">
        <v>1147</v>
      </c>
      <c r="D110" s="126" t="s">
        <v>1146</v>
      </c>
      <c r="E110" s="125">
        <f>F110</f>
        <v>0</v>
      </c>
      <c r="F110" s="132"/>
      <c r="G110" s="132"/>
      <c r="H110" s="132"/>
      <c r="I110" s="132"/>
      <c r="J110" s="125">
        <f>L110+O110</f>
        <v>0</v>
      </c>
      <c r="K110" s="132">
        <v>0</v>
      </c>
      <c r="L110" s="132"/>
      <c r="M110" s="132"/>
      <c r="N110" s="132"/>
      <c r="O110" s="130">
        <f>K110</f>
        <v>0</v>
      </c>
      <c r="P110" s="125">
        <f>E110+J110</f>
        <v>0</v>
      </c>
      <c r="Q110" s="30"/>
      <c r="R110" s="26"/>
    </row>
    <row r="111" spans="1:18" s="33" customFormat="1" ht="47.25" hidden="1" thickTop="1" thickBot="1" x14ac:dyDescent="0.25">
      <c r="A111" s="144" t="s">
        <v>996</v>
      </c>
      <c r="B111" s="144" t="s">
        <v>689</v>
      </c>
      <c r="C111" s="144"/>
      <c r="D111" s="144" t="s">
        <v>690</v>
      </c>
      <c r="E111" s="42">
        <f>E112</f>
        <v>0</v>
      </c>
      <c r="F111" s="42">
        <f t="shared" ref="F111:P112" si="114">F112</f>
        <v>0</v>
      </c>
      <c r="G111" s="42">
        <f t="shared" si="114"/>
        <v>0</v>
      </c>
      <c r="H111" s="42">
        <f t="shared" si="114"/>
        <v>0</v>
      </c>
      <c r="I111" s="42">
        <f t="shared" si="114"/>
        <v>0</v>
      </c>
      <c r="J111" s="42">
        <f t="shared" si="114"/>
        <v>0</v>
      </c>
      <c r="K111" s="42">
        <f t="shared" si="114"/>
        <v>0</v>
      </c>
      <c r="L111" s="42">
        <f t="shared" si="114"/>
        <v>0</v>
      </c>
      <c r="M111" s="42">
        <f t="shared" si="114"/>
        <v>0</v>
      </c>
      <c r="N111" s="42">
        <f t="shared" si="114"/>
        <v>0</v>
      </c>
      <c r="O111" s="42">
        <f t="shared" si="114"/>
        <v>0</v>
      </c>
      <c r="P111" s="42">
        <f t="shared" si="114"/>
        <v>0</v>
      </c>
      <c r="Q111" s="36"/>
      <c r="R111" s="26"/>
    </row>
    <row r="112" spans="1:18" s="33" customFormat="1" ht="91.5" hidden="1" thickTop="1" thickBot="1" x14ac:dyDescent="0.25">
      <c r="A112" s="145" t="s">
        <v>997</v>
      </c>
      <c r="B112" s="145" t="s">
        <v>692</v>
      </c>
      <c r="C112" s="145"/>
      <c r="D112" s="145" t="s">
        <v>693</v>
      </c>
      <c r="E112" s="146">
        <f>E113</f>
        <v>0</v>
      </c>
      <c r="F112" s="146">
        <f t="shared" si="114"/>
        <v>0</v>
      </c>
      <c r="G112" s="146">
        <f t="shared" si="114"/>
        <v>0</v>
      </c>
      <c r="H112" s="146">
        <f t="shared" si="114"/>
        <v>0</v>
      </c>
      <c r="I112" s="146">
        <f t="shared" si="114"/>
        <v>0</v>
      </c>
      <c r="J112" s="146">
        <f t="shared" si="114"/>
        <v>0</v>
      </c>
      <c r="K112" s="146">
        <f t="shared" si="114"/>
        <v>0</v>
      </c>
      <c r="L112" s="146">
        <f t="shared" si="114"/>
        <v>0</v>
      </c>
      <c r="M112" s="146">
        <f t="shared" si="114"/>
        <v>0</v>
      </c>
      <c r="N112" s="146">
        <f t="shared" si="114"/>
        <v>0</v>
      </c>
      <c r="O112" s="146">
        <f t="shared" si="114"/>
        <v>0</v>
      </c>
      <c r="P112" s="146">
        <f t="shared" si="114"/>
        <v>0</v>
      </c>
      <c r="Q112" s="36"/>
      <c r="R112" s="26"/>
    </row>
    <row r="113" spans="1:18" s="33" customFormat="1" ht="48" hidden="1" thickTop="1" thickBot="1" x14ac:dyDescent="0.25">
      <c r="A113" s="41" t="s">
        <v>998</v>
      </c>
      <c r="B113" s="41" t="s">
        <v>359</v>
      </c>
      <c r="C113" s="41" t="s">
        <v>43</v>
      </c>
      <c r="D113" s="41" t="s">
        <v>360</v>
      </c>
      <c r="E113" s="42">
        <f t="shared" ref="E113" si="115">F113</f>
        <v>0</v>
      </c>
      <c r="F113" s="43"/>
      <c r="G113" s="43"/>
      <c r="H113" s="43"/>
      <c r="I113" s="43"/>
      <c r="J113" s="42">
        <f>L113+O113</f>
        <v>0</v>
      </c>
      <c r="K113" s="43"/>
      <c r="L113" s="43"/>
      <c r="M113" s="43"/>
      <c r="N113" s="43"/>
      <c r="O113" s="44">
        <f>K113</f>
        <v>0</v>
      </c>
      <c r="P113" s="42">
        <f>E113+J113</f>
        <v>0</v>
      </c>
      <c r="Q113" s="36"/>
      <c r="R113" s="26"/>
    </row>
    <row r="114" spans="1:18" ht="120" customHeight="1" thickTop="1" thickBot="1" x14ac:dyDescent="0.25">
      <c r="A114" s="624" t="s">
        <v>153</v>
      </c>
      <c r="B114" s="624"/>
      <c r="C114" s="624"/>
      <c r="D114" s="625" t="s">
        <v>18</v>
      </c>
      <c r="E114" s="626">
        <f>E115</f>
        <v>130363671.34</v>
      </c>
      <c r="F114" s="627">
        <f t="shared" ref="F114:G114" si="116">F115</f>
        <v>130363671.34</v>
      </c>
      <c r="G114" s="627">
        <f t="shared" si="116"/>
        <v>6517192</v>
      </c>
      <c r="H114" s="627">
        <f>H115</f>
        <v>402300</v>
      </c>
      <c r="I114" s="627">
        <f t="shared" ref="I114" si="117">I115</f>
        <v>0</v>
      </c>
      <c r="J114" s="626">
        <f>J115</f>
        <v>56248110.489999995</v>
      </c>
      <c r="K114" s="627">
        <f>K115</f>
        <v>56248110.489999995</v>
      </c>
      <c r="L114" s="627">
        <f>L115</f>
        <v>0</v>
      </c>
      <c r="M114" s="627">
        <f t="shared" ref="M114" si="118">M115</f>
        <v>0</v>
      </c>
      <c r="N114" s="627">
        <f>N115</f>
        <v>0</v>
      </c>
      <c r="O114" s="626">
        <f>O115</f>
        <v>56248110.489999995</v>
      </c>
      <c r="P114" s="627">
        <f>P115</f>
        <v>186611781.82999998</v>
      </c>
      <c r="Q114" s="20"/>
    </row>
    <row r="115" spans="1:18" ht="120" customHeight="1" thickTop="1" thickBot="1" x14ac:dyDescent="0.25">
      <c r="A115" s="588" t="s">
        <v>154</v>
      </c>
      <c r="B115" s="588"/>
      <c r="C115" s="588"/>
      <c r="D115" s="589" t="s">
        <v>36</v>
      </c>
      <c r="E115" s="590">
        <f>E116+E119+E135+E139+E145</f>
        <v>130363671.34</v>
      </c>
      <c r="F115" s="590">
        <f t="shared" ref="F115:P115" si="119">F116+F119+F135+F139+F145</f>
        <v>130363671.34</v>
      </c>
      <c r="G115" s="590">
        <f t="shared" si="119"/>
        <v>6517192</v>
      </c>
      <c r="H115" s="590">
        <f t="shared" si="119"/>
        <v>402300</v>
      </c>
      <c r="I115" s="590">
        <f t="shared" si="119"/>
        <v>0</v>
      </c>
      <c r="J115" s="590">
        <f t="shared" si="119"/>
        <v>56248110.489999995</v>
      </c>
      <c r="K115" s="590">
        <f t="shared" si="119"/>
        <v>56248110.489999995</v>
      </c>
      <c r="L115" s="590">
        <f t="shared" si="119"/>
        <v>0</v>
      </c>
      <c r="M115" s="590">
        <f t="shared" si="119"/>
        <v>0</v>
      </c>
      <c r="N115" s="590">
        <f t="shared" si="119"/>
        <v>0</v>
      </c>
      <c r="O115" s="590">
        <f t="shared" si="119"/>
        <v>56248110.489999995</v>
      </c>
      <c r="P115" s="590">
        <f t="shared" si="119"/>
        <v>186611781.82999998</v>
      </c>
      <c r="Q115" s="474" t="b">
        <f>P115=P117+P120+P121+P122+P123+P126+P130+P131+P138+P134+P143+P137+P147</f>
        <v>1</v>
      </c>
      <c r="R115" s="26"/>
    </row>
    <row r="116" spans="1:18" ht="90.75" customHeight="1" thickTop="1" thickBot="1" x14ac:dyDescent="0.25">
      <c r="A116" s="298" t="s">
        <v>700</v>
      </c>
      <c r="B116" s="298" t="s">
        <v>672</v>
      </c>
      <c r="C116" s="298"/>
      <c r="D116" s="298" t="s">
        <v>673</v>
      </c>
      <c r="E116" s="310">
        <f>SUM(E117:E118)</f>
        <v>4389338</v>
      </c>
      <c r="F116" s="310">
        <f t="shared" ref="F116:P116" si="120">SUM(F117:F118)</f>
        <v>4389338</v>
      </c>
      <c r="G116" s="310">
        <f t="shared" si="120"/>
        <v>3247311</v>
      </c>
      <c r="H116" s="310">
        <f t="shared" si="120"/>
        <v>192320</v>
      </c>
      <c r="I116" s="310">
        <f t="shared" si="120"/>
        <v>0</v>
      </c>
      <c r="J116" s="310">
        <f t="shared" si="120"/>
        <v>0</v>
      </c>
      <c r="K116" s="310">
        <f t="shared" si="120"/>
        <v>0</v>
      </c>
      <c r="L116" s="310">
        <f t="shared" si="120"/>
        <v>0</v>
      </c>
      <c r="M116" s="310">
        <f t="shared" si="120"/>
        <v>0</v>
      </c>
      <c r="N116" s="310">
        <f t="shared" si="120"/>
        <v>0</v>
      </c>
      <c r="O116" s="310">
        <f t="shared" si="120"/>
        <v>0</v>
      </c>
      <c r="P116" s="310">
        <f t="shared" si="120"/>
        <v>4389338</v>
      </c>
      <c r="Q116" s="30"/>
      <c r="R116" s="26"/>
    </row>
    <row r="117" spans="1:18" ht="130.69999999999999" customHeight="1" thickTop="1" thickBot="1" x14ac:dyDescent="0.25">
      <c r="A117" s="101" t="s">
        <v>411</v>
      </c>
      <c r="B117" s="101" t="s">
        <v>235</v>
      </c>
      <c r="C117" s="101" t="s">
        <v>233</v>
      </c>
      <c r="D117" s="101" t="s">
        <v>234</v>
      </c>
      <c r="E117" s="310">
        <f>F117</f>
        <v>4389338</v>
      </c>
      <c r="F117" s="425">
        <f>(3876038)+513300</f>
        <v>4389338</v>
      </c>
      <c r="G117" s="425">
        <f>(2828211)+419100</f>
        <v>3247311</v>
      </c>
      <c r="H117" s="425">
        <v>192320</v>
      </c>
      <c r="I117" s="425"/>
      <c r="J117" s="310">
        <f t="shared" ref="J117:J147" si="121">L117+O117</f>
        <v>0</v>
      </c>
      <c r="K117" s="425"/>
      <c r="L117" s="425"/>
      <c r="M117" s="425"/>
      <c r="N117" s="425"/>
      <c r="O117" s="422">
        <f>K117</f>
        <v>0</v>
      </c>
      <c r="P117" s="310">
        <f t="shared" ref="P117:P147" si="122">E117+J117</f>
        <v>4389338</v>
      </c>
      <c r="Q117" s="39"/>
      <c r="R117" s="26"/>
    </row>
    <row r="118" spans="1:18" ht="93" hidden="1" thickTop="1" thickBot="1" x14ac:dyDescent="0.25">
      <c r="A118" s="126" t="s">
        <v>1215</v>
      </c>
      <c r="B118" s="126" t="s">
        <v>358</v>
      </c>
      <c r="C118" s="126" t="s">
        <v>616</v>
      </c>
      <c r="D118" s="126" t="s">
        <v>617</v>
      </c>
      <c r="E118" s="125">
        <f>F118</f>
        <v>0</v>
      </c>
      <c r="F118" s="132">
        <v>0</v>
      </c>
      <c r="G118" s="132"/>
      <c r="H118" s="132"/>
      <c r="I118" s="132"/>
      <c r="J118" s="125">
        <f t="shared" si="121"/>
        <v>0</v>
      </c>
      <c r="K118" s="132"/>
      <c r="L118" s="132"/>
      <c r="M118" s="132"/>
      <c r="N118" s="132"/>
      <c r="O118" s="130">
        <f>K118</f>
        <v>0</v>
      </c>
      <c r="P118" s="125">
        <f t="shared" si="122"/>
        <v>0</v>
      </c>
      <c r="Q118" s="39"/>
      <c r="R118" s="26"/>
    </row>
    <row r="119" spans="1:18" ht="90.75" customHeight="1" thickTop="1" thickBot="1" x14ac:dyDescent="0.25">
      <c r="A119" s="298" t="s">
        <v>701</v>
      </c>
      <c r="B119" s="298" t="s">
        <v>702</v>
      </c>
      <c r="C119" s="298"/>
      <c r="D119" s="298" t="s">
        <v>703</v>
      </c>
      <c r="E119" s="310">
        <f>SUM(E120:E134)-E125-E127-E129-E132</f>
        <v>125525333.34</v>
      </c>
      <c r="F119" s="310">
        <f t="shared" ref="F119:P119" si="123">SUM(F120:F134)-F125-F127-F129-F132</f>
        <v>125525333.34</v>
      </c>
      <c r="G119" s="310">
        <f t="shared" si="123"/>
        <v>3269881</v>
      </c>
      <c r="H119" s="310">
        <f t="shared" si="123"/>
        <v>209980</v>
      </c>
      <c r="I119" s="310">
        <f t="shared" si="123"/>
        <v>0</v>
      </c>
      <c r="J119" s="310">
        <f t="shared" si="123"/>
        <v>49229295.489999995</v>
      </c>
      <c r="K119" s="310">
        <f t="shared" si="123"/>
        <v>49229295.489999995</v>
      </c>
      <c r="L119" s="310">
        <f t="shared" si="123"/>
        <v>0</v>
      </c>
      <c r="M119" s="310">
        <f t="shared" si="123"/>
        <v>0</v>
      </c>
      <c r="N119" s="310">
        <f t="shared" si="123"/>
        <v>0</v>
      </c>
      <c r="O119" s="310">
        <f t="shared" si="123"/>
        <v>49229295.489999995</v>
      </c>
      <c r="P119" s="310">
        <f t="shared" si="123"/>
        <v>174754628.82999998</v>
      </c>
      <c r="Q119" s="39"/>
      <c r="R119" s="39"/>
    </row>
    <row r="120" spans="1:18" ht="101.25" customHeight="1" thickTop="1" thickBot="1" x14ac:dyDescent="0.25">
      <c r="A120" s="101" t="s">
        <v>213</v>
      </c>
      <c r="B120" s="101" t="s">
        <v>210</v>
      </c>
      <c r="C120" s="101" t="s">
        <v>214</v>
      </c>
      <c r="D120" s="101" t="s">
        <v>19</v>
      </c>
      <c r="E120" s="310">
        <f>F120</f>
        <v>33762931</v>
      </c>
      <c r="F120" s="425">
        <f>(((28342986)+3418200)+700000+800000)+400000+101745</f>
        <v>33762931</v>
      </c>
      <c r="G120" s="425"/>
      <c r="H120" s="425"/>
      <c r="I120" s="425"/>
      <c r="J120" s="310">
        <f t="shared" si="121"/>
        <v>31614092.509999998</v>
      </c>
      <c r="K120" s="425">
        <f>(((4413552+4000000)+2000000-4000000+3653477.51)+2000000+6080000)+9554728-400000+4043080-101745+371000</f>
        <v>31614092.509999998</v>
      </c>
      <c r="L120" s="425"/>
      <c r="M120" s="425"/>
      <c r="N120" s="425"/>
      <c r="O120" s="422">
        <f>K120</f>
        <v>31614092.509999998</v>
      </c>
      <c r="P120" s="310">
        <f t="shared" si="122"/>
        <v>65377023.509999998</v>
      </c>
      <c r="Q120" s="20"/>
      <c r="R120" s="30"/>
    </row>
    <row r="121" spans="1:18" ht="97.5" customHeight="1" thickTop="1" thickBot="1" x14ac:dyDescent="0.25">
      <c r="A121" s="101" t="s">
        <v>500</v>
      </c>
      <c r="B121" s="101" t="s">
        <v>503</v>
      </c>
      <c r="C121" s="101" t="s">
        <v>502</v>
      </c>
      <c r="D121" s="101" t="s">
        <v>501</v>
      </c>
      <c r="E121" s="310">
        <f>F121</f>
        <v>17460600</v>
      </c>
      <c r="F121" s="425">
        <f>(((8260600)+900000+1000000)+3500000+300000)+3500000</f>
        <v>17460600</v>
      </c>
      <c r="G121" s="425"/>
      <c r="H121" s="425"/>
      <c r="I121" s="425"/>
      <c r="J121" s="310">
        <f t="shared" si="121"/>
        <v>0</v>
      </c>
      <c r="K121" s="425"/>
      <c r="L121" s="425"/>
      <c r="M121" s="425"/>
      <c r="N121" s="425"/>
      <c r="O121" s="422">
        <f>K121</f>
        <v>0</v>
      </c>
      <c r="P121" s="310">
        <f t="shared" si="122"/>
        <v>17460600</v>
      </c>
      <c r="Q121" s="20"/>
      <c r="R121" s="39"/>
    </row>
    <row r="122" spans="1:18" ht="94.7" customHeight="1" thickTop="1" thickBot="1" x14ac:dyDescent="0.25">
      <c r="A122" s="101" t="s">
        <v>215</v>
      </c>
      <c r="B122" s="101" t="s">
        <v>216</v>
      </c>
      <c r="C122" s="101" t="s">
        <v>217</v>
      </c>
      <c r="D122" s="101" t="s">
        <v>218</v>
      </c>
      <c r="E122" s="310">
        <f t="shared" ref="E122:E147" si="124">F122</f>
        <v>16970895.34</v>
      </c>
      <c r="F122" s="425">
        <f>(((8489900)+424763.34)+5556232)+2500000</f>
        <v>16970895.34</v>
      </c>
      <c r="G122" s="425"/>
      <c r="H122" s="425"/>
      <c r="I122" s="425"/>
      <c r="J122" s="310">
        <f t="shared" si="121"/>
        <v>9871086.9800000004</v>
      </c>
      <c r="K122" s="425">
        <f>((6127300)+1700000+52431.28+143100.42+115813.28)+4232442-2500000</f>
        <v>9871086.9800000004</v>
      </c>
      <c r="L122" s="425"/>
      <c r="M122" s="425"/>
      <c r="N122" s="425"/>
      <c r="O122" s="422">
        <f>K122</f>
        <v>9871086.9800000004</v>
      </c>
      <c r="P122" s="310">
        <f t="shared" si="122"/>
        <v>26841982.32</v>
      </c>
      <c r="Q122" s="20"/>
      <c r="R122" s="39"/>
    </row>
    <row r="123" spans="1:18" ht="93" thickTop="1" thickBot="1" x14ac:dyDescent="0.25">
      <c r="A123" s="101" t="s">
        <v>219</v>
      </c>
      <c r="B123" s="101" t="s">
        <v>220</v>
      </c>
      <c r="C123" s="101" t="s">
        <v>221</v>
      </c>
      <c r="D123" s="101" t="s">
        <v>342</v>
      </c>
      <c r="E123" s="310">
        <f t="shared" si="124"/>
        <v>26023962</v>
      </c>
      <c r="F123" s="425">
        <f>((24013785)+2000000+127373)+200000-127373+110177-300000</f>
        <v>26023962</v>
      </c>
      <c r="G123" s="425"/>
      <c r="H123" s="425"/>
      <c r="I123" s="425"/>
      <c r="J123" s="310">
        <f t="shared" si="121"/>
        <v>4158288</v>
      </c>
      <c r="K123" s="425">
        <f>(((0)+1701120)+350000+1289168)+818000</f>
        <v>4158288</v>
      </c>
      <c r="L123" s="425"/>
      <c r="M123" s="425"/>
      <c r="N123" s="425"/>
      <c r="O123" s="422">
        <f>K123</f>
        <v>4158288</v>
      </c>
      <c r="P123" s="310">
        <f t="shared" si="122"/>
        <v>30182250</v>
      </c>
      <c r="Q123" s="20"/>
      <c r="R123" s="39"/>
    </row>
    <row r="124" spans="1:18" ht="48" hidden="1" thickTop="1" thickBot="1" x14ac:dyDescent="0.25">
      <c r="A124" s="126" t="s">
        <v>222</v>
      </c>
      <c r="B124" s="126" t="s">
        <v>223</v>
      </c>
      <c r="C124" s="126" t="s">
        <v>224</v>
      </c>
      <c r="D124" s="126" t="s">
        <v>225</v>
      </c>
      <c r="E124" s="125">
        <f t="shared" si="124"/>
        <v>0</v>
      </c>
      <c r="F124" s="132">
        <f>(7556300)-7556300</f>
        <v>0</v>
      </c>
      <c r="G124" s="132"/>
      <c r="H124" s="132"/>
      <c r="I124" s="132"/>
      <c r="J124" s="125">
        <f t="shared" si="121"/>
        <v>0</v>
      </c>
      <c r="K124" s="132">
        <f>(200000)-200000</f>
        <v>0</v>
      </c>
      <c r="L124" s="132"/>
      <c r="M124" s="132"/>
      <c r="N124" s="132"/>
      <c r="O124" s="130">
        <f>K124</f>
        <v>0</v>
      </c>
      <c r="P124" s="125">
        <f t="shared" si="122"/>
        <v>0</v>
      </c>
      <c r="Q124" s="20"/>
      <c r="R124" s="39"/>
    </row>
    <row r="125" spans="1:18" ht="72.75" customHeight="1" thickTop="1" thickBot="1" x14ac:dyDescent="0.25">
      <c r="A125" s="598" t="s">
        <v>704</v>
      </c>
      <c r="B125" s="598" t="s">
        <v>705</v>
      </c>
      <c r="C125" s="598"/>
      <c r="D125" s="598" t="s">
        <v>706</v>
      </c>
      <c r="E125" s="599">
        <f>E126</f>
        <v>21593210</v>
      </c>
      <c r="F125" s="599">
        <f t="shared" ref="F125:P125" si="125">F126</f>
        <v>21593210</v>
      </c>
      <c r="G125" s="599">
        <f t="shared" si="125"/>
        <v>0</v>
      </c>
      <c r="H125" s="599">
        <f t="shared" si="125"/>
        <v>0</v>
      </c>
      <c r="I125" s="599">
        <f t="shared" si="125"/>
        <v>0</v>
      </c>
      <c r="J125" s="599">
        <f t="shared" si="125"/>
        <v>1000000</v>
      </c>
      <c r="K125" s="599">
        <f t="shared" si="125"/>
        <v>1000000</v>
      </c>
      <c r="L125" s="599">
        <f t="shared" si="125"/>
        <v>0</v>
      </c>
      <c r="M125" s="599">
        <f t="shared" si="125"/>
        <v>0</v>
      </c>
      <c r="N125" s="599">
        <f t="shared" si="125"/>
        <v>0</v>
      </c>
      <c r="O125" s="599">
        <f t="shared" si="125"/>
        <v>1000000</v>
      </c>
      <c r="P125" s="599">
        <f t="shared" si="125"/>
        <v>22593210</v>
      </c>
      <c r="Q125" s="20"/>
      <c r="R125" s="39"/>
    </row>
    <row r="126" spans="1:18" ht="127.5" customHeight="1" thickTop="1" thickBot="1" x14ac:dyDescent="0.25">
      <c r="A126" s="101" t="s">
        <v>226</v>
      </c>
      <c r="B126" s="101" t="s">
        <v>227</v>
      </c>
      <c r="C126" s="101" t="s">
        <v>343</v>
      </c>
      <c r="D126" s="101" t="s">
        <v>228</v>
      </c>
      <c r="E126" s="310">
        <f t="shared" si="124"/>
        <v>21593210</v>
      </c>
      <c r="F126" s="425">
        <f>(20992313)+600897</f>
        <v>21593210</v>
      </c>
      <c r="G126" s="425"/>
      <c r="H126" s="425"/>
      <c r="I126" s="425"/>
      <c r="J126" s="310">
        <f t="shared" si="121"/>
        <v>1000000</v>
      </c>
      <c r="K126" s="425">
        <f>(0)+1000000</f>
        <v>1000000</v>
      </c>
      <c r="L126" s="425"/>
      <c r="M126" s="425"/>
      <c r="N126" s="425"/>
      <c r="O126" s="422">
        <f t="shared" ref="O126:O147" si="126">K126</f>
        <v>1000000</v>
      </c>
      <c r="P126" s="310">
        <f t="shared" si="122"/>
        <v>22593210</v>
      </c>
      <c r="Q126" s="20"/>
      <c r="R126" s="39"/>
    </row>
    <row r="127" spans="1:18" ht="48" hidden="1" thickTop="1" thickBot="1" x14ac:dyDescent="0.25">
      <c r="A127" s="138" t="s">
        <v>707</v>
      </c>
      <c r="B127" s="138" t="s">
        <v>708</v>
      </c>
      <c r="C127" s="138"/>
      <c r="D127" s="138" t="s">
        <v>709</v>
      </c>
      <c r="E127" s="139">
        <f>E128</f>
        <v>0</v>
      </c>
      <c r="F127" s="139">
        <f t="shared" ref="F127:P127" si="127">F128</f>
        <v>0</v>
      </c>
      <c r="G127" s="139">
        <f t="shared" si="127"/>
        <v>0</v>
      </c>
      <c r="H127" s="139">
        <f t="shared" si="127"/>
        <v>0</v>
      </c>
      <c r="I127" s="139">
        <f t="shared" si="127"/>
        <v>0</v>
      </c>
      <c r="J127" s="143">
        <f t="shared" si="127"/>
        <v>0</v>
      </c>
      <c r="K127" s="143">
        <f t="shared" si="127"/>
        <v>0</v>
      </c>
      <c r="L127" s="143">
        <f t="shared" si="127"/>
        <v>0</v>
      </c>
      <c r="M127" s="143">
        <f t="shared" si="127"/>
        <v>0</v>
      </c>
      <c r="N127" s="143">
        <f t="shared" si="127"/>
        <v>0</v>
      </c>
      <c r="O127" s="143">
        <f t="shared" si="127"/>
        <v>0</v>
      </c>
      <c r="P127" s="143">
        <f t="shared" si="127"/>
        <v>0</v>
      </c>
      <c r="Q127" s="20"/>
      <c r="R127" s="39"/>
    </row>
    <row r="128" spans="1:18" ht="48" hidden="1" thickTop="1" thickBot="1" x14ac:dyDescent="0.25">
      <c r="A128" s="126" t="s">
        <v>470</v>
      </c>
      <c r="B128" s="126" t="s">
        <v>471</v>
      </c>
      <c r="C128" s="126" t="s">
        <v>229</v>
      </c>
      <c r="D128" s="126" t="s">
        <v>472</v>
      </c>
      <c r="E128" s="125">
        <f t="shared" si="124"/>
        <v>0</v>
      </c>
      <c r="F128" s="132">
        <v>0</v>
      </c>
      <c r="G128" s="132"/>
      <c r="H128" s="132"/>
      <c r="I128" s="132"/>
      <c r="J128" s="42">
        <f t="shared" si="121"/>
        <v>0</v>
      </c>
      <c r="K128" s="43"/>
      <c r="L128" s="43"/>
      <c r="M128" s="43"/>
      <c r="N128" s="43"/>
      <c r="O128" s="44">
        <f t="shared" si="126"/>
        <v>0</v>
      </c>
      <c r="P128" s="42">
        <f t="shared" si="122"/>
        <v>0</v>
      </c>
      <c r="Q128" s="20"/>
      <c r="R128" s="39"/>
    </row>
    <row r="129" spans="1:18" ht="85.7" customHeight="1" thickTop="1" thickBot="1" x14ac:dyDescent="0.25">
      <c r="A129" s="598" t="s">
        <v>710</v>
      </c>
      <c r="B129" s="598" t="s">
        <v>711</v>
      </c>
      <c r="C129" s="598"/>
      <c r="D129" s="598" t="s">
        <v>712</v>
      </c>
      <c r="E129" s="599">
        <f>SUM(E130:E131)</f>
        <v>9713735</v>
      </c>
      <c r="F129" s="599">
        <f t="shared" ref="F129:P129" si="128">SUM(F130:F131)</f>
        <v>9713735</v>
      </c>
      <c r="G129" s="599">
        <f t="shared" si="128"/>
        <v>3269881</v>
      </c>
      <c r="H129" s="599">
        <f t="shared" si="128"/>
        <v>209980</v>
      </c>
      <c r="I129" s="599">
        <f t="shared" si="128"/>
        <v>0</v>
      </c>
      <c r="J129" s="599">
        <f t="shared" si="128"/>
        <v>0</v>
      </c>
      <c r="K129" s="599">
        <f t="shared" si="128"/>
        <v>0</v>
      </c>
      <c r="L129" s="599">
        <f t="shared" si="128"/>
        <v>0</v>
      </c>
      <c r="M129" s="599">
        <f t="shared" si="128"/>
        <v>0</v>
      </c>
      <c r="N129" s="599">
        <f t="shared" si="128"/>
        <v>0</v>
      </c>
      <c r="O129" s="599">
        <f t="shared" si="128"/>
        <v>0</v>
      </c>
      <c r="P129" s="599">
        <f t="shared" si="128"/>
        <v>9713735</v>
      </c>
      <c r="Q129" s="20"/>
      <c r="R129" s="39"/>
    </row>
    <row r="130" spans="1:18" s="33" customFormat="1" ht="79.5" customHeight="1" thickTop="1" thickBot="1" x14ac:dyDescent="0.25">
      <c r="A130" s="101" t="s">
        <v>319</v>
      </c>
      <c r="B130" s="101" t="s">
        <v>321</v>
      </c>
      <c r="C130" s="101" t="s">
        <v>229</v>
      </c>
      <c r="D130" s="600" t="s">
        <v>317</v>
      </c>
      <c r="E130" s="310">
        <f t="shared" si="124"/>
        <v>4424235</v>
      </c>
      <c r="F130" s="425">
        <v>4424235</v>
      </c>
      <c r="G130" s="425">
        <v>3269881</v>
      </c>
      <c r="H130" s="425">
        <v>209980</v>
      </c>
      <c r="I130" s="425"/>
      <c r="J130" s="310">
        <f t="shared" si="121"/>
        <v>0</v>
      </c>
      <c r="K130" s="425"/>
      <c r="L130" s="425"/>
      <c r="M130" s="425"/>
      <c r="N130" s="425"/>
      <c r="O130" s="422">
        <f t="shared" si="126"/>
        <v>0</v>
      </c>
      <c r="P130" s="310">
        <f t="shared" si="122"/>
        <v>4424235</v>
      </c>
      <c r="Q130" s="36"/>
      <c r="R130" s="26"/>
    </row>
    <row r="131" spans="1:18" s="33" customFormat="1" ht="91.5" customHeight="1" thickTop="1" thickBot="1" x14ac:dyDescent="0.25">
      <c r="A131" s="101" t="s">
        <v>320</v>
      </c>
      <c r="B131" s="101" t="s">
        <v>322</v>
      </c>
      <c r="C131" s="101" t="s">
        <v>229</v>
      </c>
      <c r="D131" s="600" t="s">
        <v>318</v>
      </c>
      <c r="E131" s="310">
        <f t="shared" si="124"/>
        <v>5289500</v>
      </c>
      <c r="F131" s="425">
        <v>5289500</v>
      </c>
      <c r="G131" s="425"/>
      <c r="H131" s="425"/>
      <c r="I131" s="425"/>
      <c r="J131" s="310">
        <f t="shared" si="121"/>
        <v>0</v>
      </c>
      <c r="K131" s="425"/>
      <c r="L131" s="425"/>
      <c r="M131" s="425"/>
      <c r="N131" s="425"/>
      <c r="O131" s="422">
        <f t="shared" si="126"/>
        <v>0</v>
      </c>
      <c r="P131" s="310">
        <f t="shared" si="122"/>
        <v>5289500</v>
      </c>
      <c r="Q131" s="36"/>
      <c r="R131" s="39"/>
    </row>
    <row r="132" spans="1:18" s="33" customFormat="1" ht="93" hidden="1" thickTop="1" thickBot="1" x14ac:dyDescent="0.25">
      <c r="A132" s="138" t="s">
        <v>1483</v>
      </c>
      <c r="B132" s="138" t="s">
        <v>1484</v>
      </c>
      <c r="C132" s="138"/>
      <c r="D132" s="138" t="s">
        <v>1482</v>
      </c>
      <c r="E132" s="139">
        <f>E133</f>
        <v>0</v>
      </c>
      <c r="F132" s="139">
        <f t="shared" ref="F132:P132" si="129">F133</f>
        <v>0</v>
      </c>
      <c r="G132" s="139">
        <f t="shared" si="129"/>
        <v>0</v>
      </c>
      <c r="H132" s="139">
        <f t="shared" si="129"/>
        <v>0</v>
      </c>
      <c r="I132" s="139">
        <f t="shared" si="129"/>
        <v>0</v>
      </c>
      <c r="J132" s="139">
        <f t="shared" si="129"/>
        <v>0</v>
      </c>
      <c r="K132" s="139">
        <f t="shared" si="129"/>
        <v>0</v>
      </c>
      <c r="L132" s="139">
        <f t="shared" si="129"/>
        <v>0</v>
      </c>
      <c r="M132" s="139">
        <f t="shared" si="129"/>
        <v>0</v>
      </c>
      <c r="N132" s="139">
        <f t="shared" si="129"/>
        <v>0</v>
      </c>
      <c r="O132" s="139">
        <f t="shared" si="129"/>
        <v>0</v>
      </c>
      <c r="P132" s="139">
        <f t="shared" si="129"/>
        <v>0</v>
      </c>
      <c r="Q132" s="36"/>
      <c r="R132" s="39"/>
    </row>
    <row r="133" spans="1:18" s="532" customFormat="1" ht="138.75" hidden="1" thickTop="1" thickBot="1" x14ac:dyDescent="0.25">
      <c r="A133" s="126" t="s">
        <v>1486</v>
      </c>
      <c r="B133" s="126" t="s">
        <v>1487</v>
      </c>
      <c r="C133" s="126" t="s">
        <v>229</v>
      </c>
      <c r="D133" s="369" t="s">
        <v>1485</v>
      </c>
      <c r="E133" s="125">
        <f t="shared" ref="E133:E134" si="130">F133</f>
        <v>0</v>
      </c>
      <c r="F133" s="132"/>
      <c r="G133" s="132"/>
      <c r="H133" s="132"/>
      <c r="I133" s="132"/>
      <c r="J133" s="125">
        <f t="shared" ref="J133:J134" si="131">L133+O133</f>
        <v>0</v>
      </c>
      <c r="K133" s="132">
        <f>(2994000)-2994000</f>
        <v>0</v>
      </c>
      <c r="L133" s="132"/>
      <c r="M133" s="132"/>
      <c r="N133" s="132"/>
      <c r="O133" s="130">
        <f t="shared" ref="O133:O134" si="132">K133</f>
        <v>0</v>
      </c>
      <c r="P133" s="125">
        <f t="shared" ref="P133:P134" si="133">E133+J133</f>
        <v>0</v>
      </c>
      <c r="Q133" s="530"/>
      <c r="R133" s="531"/>
    </row>
    <row r="134" spans="1:18" s="532" customFormat="1" ht="79.5" customHeight="1" thickTop="1" thickBot="1" x14ac:dyDescent="0.25">
      <c r="A134" s="101" t="s">
        <v>1661</v>
      </c>
      <c r="B134" s="101" t="s">
        <v>1662</v>
      </c>
      <c r="C134" s="101" t="s">
        <v>229</v>
      </c>
      <c r="D134" s="101" t="s">
        <v>1660</v>
      </c>
      <c r="E134" s="310">
        <f t="shared" si="130"/>
        <v>0</v>
      </c>
      <c r="F134" s="425"/>
      <c r="G134" s="425"/>
      <c r="H134" s="425"/>
      <c r="I134" s="425"/>
      <c r="J134" s="310">
        <f t="shared" si="131"/>
        <v>2585828</v>
      </c>
      <c r="K134" s="425">
        <f>(300000+1700000)+585828</f>
        <v>2585828</v>
      </c>
      <c r="L134" s="425"/>
      <c r="M134" s="425"/>
      <c r="N134" s="425"/>
      <c r="O134" s="422">
        <f t="shared" si="132"/>
        <v>2585828</v>
      </c>
      <c r="P134" s="310">
        <f t="shared" si="133"/>
        <v>2585828</v>
      </c>
      <c r="Q134" s="530"/>
      <c r="R134" s="531"/>
    </row>
    <row r="135" spans="1:18" s="33" customFormat="1" ht="72" customHeight="1" thickTop="1" thickBot="1" x14ac:dyDescent="0.25">
      <c r="A135" s="298" t="s">
        <v>1157</v>
      </c>
      <c r="B135" s="298" t="s">
        <v>698</v>
      </c>
      <c r="C135" s="298"/>
      <c r="D135" s="298" t="s">
        <v>699</v>
      </c>
      <c r="E135" s="310">
        <f>SUM(E136:E138)-E136</f>
        <v>449000</v>
      </c>
      <c r="F135" s="310">
        <f t="shared" ref="F135:P135" si="134">SUM(F136:F138)-F136</f>
        <v>449000</v>
      </c>
      <c r="G135" s="310">
        <f t="shared" si="134"/>
        <v>0</v>
      </c>
      <c r="H135" s="310">
        <f t="shared" si="134"/>
        <v>0</v>
      </c>
      <c r="I135" s="310">
        <f t="shared" si="134"/>
        <v>0</v>
      </c>
      <c r="J135" s="310">
        <f t="shared" si="134"/>
        <v>0</v>
      </c>
      <c r="K135" s="310">
        <f t="shared" si="134"/>
        <v>0</v>
      </c>
      <c r="L135" s="310">
        <f t="shared" si="134"/>
        <v>0</v>
      </c>
      <c r="M135" s="310">
        <f t="shared" si="134"/>
        <v>0</v>
      </c>
      <c r="N135" s="310">
        <f t="shared" si="134"/>
        <v>0</v>
      </c>
      <c r="O135" s="310">
        <f t="shared" si="134"/>
        <v>0</v>
      </c>
      <c r="P135" s="310">
        <f t="shared" si="134"/>
        <v>449000</v>
      </c>
      <c r="Q135" s="36"/>
      <c r="R135" s="39"/>
    </row>
    <row r="136" spans="1:18" s="33" customFormat="1" ht="72.75" customHeight="1" thickTop="1" thickBot="1" x14ac:dyDescent="0.25">
      <c r="A136" s="598" t="s">
        <v>1700</v>
      </c>
      <c r="B136" s="598" t="s">
        <v>723</v>
      </c>
      <c r="C136" s="598"/>
      <c r="D136" s="598" t="s">
        <v>724</v>
      </c>
      <c r="E136" s="599">
        <f>E137</f>
        <v>349000</v>
      </c>
      <c r="F136" s="599">
        <f t="shared" ref="F136:P136" si="135">F137</f>
        <v>349000</v>
      </c>
      <c r="G136" s="599">
        <f t="shared" si="135"/>
        <v>0</v>
      </c>
      <c r="H136" s="599">
        <f t="shared" si="135"/>
        <v>0</v>
      </c>
      <c r="I136" s="599">
        <f t="shared" si="135"/>
        <v>0</v>
      </c>
      <c r="J136" s="599">
        <f t="shared" si="135"/>
        <v>0</v>
      </c>
      <c r="K136" s="599">
        <f t="shared" si="135"/>
        <v>0</v>
      </c>
      <c r="L136" s="599">
        <f t="shared" si="135"/>
        <v>0</v>
      </c>
      <c r="M136" s="599">
        <f t="shared" si="135"/>
        <v>0</v>
      </c>
      <c r="N136" s="599">
        <f t="shared" si="135"/>
        <v>0</v>
      </c>
      <c r="O136" s="599">
        <f t="shared" si="135"/>
        <v>0</v>
      </c>
      <c r="P136" s="599">
        <f t="shared" si="135"/>
        <v>349000</v>
      </c>
      <c r="Q136" s="36"/>
      <c r="R136" s="39"/>
    </row>
    <row r="137" spans="1:18" s="33" customFormat="1" ht="170.45" customHeight="1" thickTop="1" thickBot="1" x14ac:dyDescent="0.25">
      <c r="A137" s="101" t="s">
        <v>1701</v>
      </c>
      <c r="B137" s="101" t="s">
        <v>1644</v>
      </c>
      <c r="C137" s="101" t="s">
        <v>204</v>
      </c>
      <c r="D137" s="600" t="s">
        <v>1645</v>
      </c>
      <c r="E137" s="310">
        <f t="shared" ref="E137" si="136">F137</f>
        <v>349000</v>
      </c>
      <c r="F137" s="425">
        <v>349000</v>
      </c>
      <c r="G137" s="308"/>
      <c r="H137" s="308"/>
      <c r="I137" s="425"/>
      <c r="J137" s="310">
        <f t="shared" ref="J137" si="137">L137+O137</f>
        <v>0</v>
      </c>
      <c r="K137" s="425"/>
      <c r="L137" s="425"/>
      <c r="M137" s="425"/>
      <c r="N137" s="425"/>
      <c r="O137" s="422"/>
      <c r="P137" s="310">
        <f t="shared" ref="P137" si="138">E137+J137</f>
        <v>349000</v>
      </c>
      <c r="Q137" s="36"/>
      <c r="R137" s="39"/>
    </row>
    <row r="138" spans="1:18" s="33" customFormat="1" ht="143.44999999999999" customHeight="1" thickTop="1" thickBot="1" x14ac:dyDescent="0.25">
      <c r="A138" s="101" t="s">
        <v>1158</v>
      </c>
      <c r="B138" s="101" t="s">
        <v>1159</v>
      </c>
      <c r="C138" s="101" t="s">
        <v>205</v>
      </c>
      <c r="D138" s="600" t="s">
        <v>1160</v>
      </c>
      <c r="E138" s="310">
        <f t="shared" ref="E138" si="139">F138</f>
        <v>100000</v>
      </c>
      <c r="F138" s="425">
        <v>100000</v>
      </c>
      <c r="G138" s="425"/>
      <c r="H138" s="425"/>
      <c r="I138" s="425"/>
      <c r="J138" s="310">
        <f t="shared" ref="J138" si="140">L138+O138</f>
        <v>0</v>
      </c>
      <c r="K138" s="425"/>
      <c r="L138" s="425"/>
      <c r="M138" s="425"/>
      <c r="N138" s="425"/>
      <c r="O138" s="422">
        <f t="shared" ref="O138" si="141">K138</f>
        <v>0</v>
      </c>
      <c r="P138" s="310">
        <f t="shared" ref="P138" si="142">E138+J138</f>
        <v>100000</v>
      </c>
      <c r="Q138" s="36"/>
      <c r="R138" s="39"/>
    </row>
    <row r="139" spans="1:18" s="33" customFormat="1" ht="100.5" customHeight="1" thickTop="1" thickBot="1" x14ac:dyDescent="0.25">
      <c r="A139" s="298" t="s">
        <v>1665</v>
      </c>
      <c r="B139" s="298" t="s">
        <v>735</v>
      </c>
      <c r="C139" s="298"/>
      <c r="D139" s="298" t="s">
        <v>780</v>
      </c>
      <c r="E139" s="310">
        <f>E142</f>
        <v>0</v>
      </c>
      <c r="F139" s="310">
        <f t="shared" ref="F139:P139" si="143">F142</f>
        <v>0</v>
      </c>
      <c r="G139" s="310">
        <f t="shared" si="143"/>
        <v>0</v>
      </c>
      <c r="H139" s="310">
        <f t="shared" si="143"/>
        <v>0</v>
      </c>
      <c r="I139" s="310">
        <f t="shared" si="143"/>
        <v>0</v>
      </c>
      <c r="J139" s="310">
        <f t="shared" si="143"/>
        <v>6518815</v>
      </c>
      <c r="K139" s="310">
        <f t="shared" si="143"/>
        <v>6518815</v>
      </c>
      <c r="L139" s="310">
        <f t="shared" si="143"/>
        <v>0</v>
      </c>
      <c r="M139" s="310">
        <f t="shared" si="143"/>
        <v>0</v>
      </c>
      <c r="N139" s="310">
        <f t="shared" si="143"/>
        <v>0</v>
      </c>
      <c r="O139" s="310">
        <f t="shared" si="143"/>
        <v>6518815</v>
      </c>
      <c r="P139" s="310">
        <f t="shared" si="143"/>
        <v>6518815</v>
      </c>
      <c r="Q139" s="36"/>
      <c r="R139" s="39"/>
    </row>
    <row r="140" spans="1:18" s="33" customFormat="1" ht="48" hidden="1" thickTop="1" thickBot="1" x14ac:dyDescent="0.25">
      <c r="A140" s="142" t="s">
        <v>1020</v>
      </c>
      <c r="B140" s="142" t="s">
        <v>1019</v>
      </c>
      <c r="C140" s="142"/>
      <c r="D140" s="142" t="s">
        <v>1018</v>
      </c>
      <c r="E140" s="143">
        <f>E141</f>
        <v>0</v>
      </c>
      <c r="F140" s="143">
        <f t="shared" ref="F140:P140" si="144">F141</f>
        <v>0</v>
      </c>
      <c r="G140" s="143">
        <f t="shared" si="144"/>
        <v>0</v>
      </c>
      <c r="H140" s="143">
        <f t="shared" si="144"/>
        <v>0</v>
      </c>
      <c r="I140" s="143">
        <f t="shared" si="144"/>
        <v>0</v>
      </c>
      <c r="J140" s="143">
        <f t="shared" si="144"/>
        <v>0</v>
      </c>
      <c r="K140" s="143">
        <f t="shared" si="144"/>
        <v>0</v>
      </c>
      <c r="L140" s="143">
        <f t="shared" si="144"/>
        <v>0</v>
      </c>
      <c r="M140" s="143">
        <f t="shared" si="144"/>
        <v>0</v>
      </c>
      <c r="N140" s="143">
        <f t="shared" si="144"/>
        <v>0</v>
      </c>
      <c r="O140" s="143">
        <f t="shared" si="144"/>
        <v>0</v>
      </c>
      <c r="P140" s="143">
        <f t="shared" si="144"/>
        <v>0</v>
      </c>
      <c r="Q140" s="36"/>
      <c r="R140" s="39"/>
    </row>
    <row r="141" spans="1:18" s="33" customFormat="1" ht="93" hidden="1" thickTop="1" thickBot="1" x14ac:dyDescent="0.25">
      <c r="A141" s="41" t="s">
        <v>1021</v>
      </c>
      <c r="B141" s="41" t="s">
        <v>1022</v>
      </c>
      <c r="C141" s="41" t="s">
        <v>169</v>
      </c>
      <c r="D141" s="41" t="s">
        <v>1023</v>
      </c>
      <c r="E141" s="42">
        <f t="shared" si="124"/>
        <v>0</v>
      </c>
      <c r="F141" s="43"/>
      <c r="G141" s="43"/>
      <c r="H141" s="43"/>
      <c r="I141" s="43"/>
      <c r="J141" s="42">
        <f t="shared" si="121"/>
        <v>0</v>
      </c>
      <c r="K141" s="43"/>
      <c r="L141" s="43"/>
      <c r="M141" s="43"/>
      <c r="N141" s="43"/>
      <c r="O141" s="44">
        <f>K141</f>
        <v>0</v>
      </c>
      <c r="P141" s="42">
        <f t="shared" si="122"/>
        <v>0</v>
      </c>
      <c r="Q141" s="36"/>
      <c r="R141" s="26"/>
    </row>
    <row r="142" spans="1:18" s="28" customFormat="1" ht="84.75" customHeight="1" thickTop="1" thickBot="1" x14ac:dyDescent="0.25">
      <c r="A142" s="593" t="s">
        <v>713</v>
      </c>
      <c r="B142" s="593" t="s">
        <v>679</v>
      </c>
      <c r="C142" s="593"/>
      <c r="D142" s="593" t="s">
        <v>677</v>
      </c>
      <c r="E142" s="595">
        <f>E143</f>
        <v>0</v>
      </c>
      <c r="F142" s="595">
        <f t="shared" ref="F142:P142" si="145">F143</f>
        <v>0</v>
      </c>
      <c r="G142" s="595">
        <f t="shared" si="145"/>
        <v>0</v>
      </c>
      <c r="H142" s="595">
        <f t="shared" si="145"/>
        <v>0</v>
      </c>
      <c r="I142" s="595">
        <f t="shared" si="145"/>
        <v>0</v>
      </c>
      <c r="J142" s="595">
        <f t="shared" si="145"/>
        <v>6518815</v>
      </c>
      <c r="K142" s="595">
        <f t="shared" si="145"/>
        <v>6518815</v>
      </c>
      <c r="L142" s="595">
        <f t="shared" si="145"/>
        <v>0</v>
      </c>
      <c r="M142" s="595">
        <f t="shared" si="145"/>
        <v>0</v>
      </c>
      <c r="N142" s="595">
        <f t="shared" si="145"/>
        <v>0</v>
      </c>
      <c r="O142" s="595">
        <f t="shared" si="145"/>
        <v>6518815</v>
      </c>
      <c r="P142" s="595">
        <f t="shared" si="145"/>
        <v>6518815</v>
      </c>
      <c r="Q142" s="147"/>
      <c r="R142" s="40"/>
    </row>
    <row r="143" spans="1:18" s="28" customFormat="1" ht="48" thickTop="1" thickBot="1" x14ac:dyDescent="0.25">
      <c r="A143" s="101" t="s">
        <v>1213</v>
      </c>
      <c r="B143" s="101" t="s">
        <v>211</v>
      </c>
      <c r="C143" s="101" t="s">
        <v>212</v>
      </c>
      <c r="D143" s="101" t="s">
        <v>41</v>
      </c>
      <c r="E143" s="310">
        <f t="shared" si="124"/>
        <v>0</v>
      </c>
      <c r="F143" s="425"/>
      <c r="G143" s="425"/>
      <c r="H143" s="425"/>
      <c r="I143" s="425"/>
      <c r="J143" s="310">
        <f t="shared" ref="J143" si="146">L143+O143</f>
        <v>6518815</v>
      </c>
      <c r="K143" s="425">
        <f>((0)+4000000)+2518815</f>
        <v>6518815</v>
      </c>
      <c r="L143" s="425"/>
      <c r="M143" s="425"/>
      <c r="N143" s="425"/>
      <c r="O143" s="422">
        <f t="shared" ref="O143" si="147">K143</f>
        <v>6518815</v>
      </c>
      <c r="P143" s="310">
        <f t="shared" si="122"/>
        <v>6518815</v>
      </c>
      <c r="Q143" s="147"/>
      <c r="R143" s="40"/>
    </row>
    <row r="144" spans="1:18" s="33" customFormat="1" ht="48" hidden="1" thickTop="1" thickBot="1" x14ac:dyDescent="0.25">
      <c r="A144" s="41" t="s">
        <v>430</v>
      </c>
      <c r="B144" s="41" t="s">
        <v>196</v>
      </c>
      <c r="C144" s="41" t="s">
        <v>169</v>
      </c>
      <c r="D144" s="41" t="s">
        <v>34</v>
      </c>
      <c r="E144" s="42">
        <f t="shared" si="124"/>
        <v>0</v>
      </c>
      <c r="F144" s="43"/>
      <c r="G144" s="43"/>
      <c r="H144" s="43"/>
      <c r="I144" s="43"/>
      <c r="J144" s="42">
        <f t="shared" si="121"/>
        <v>0</v>
      </c>
      <c r="K144" s="43"/>
      <c r="L144" s="43"/>
      <c r="M144" s="43"/>
      <c r="N144" s="43"/>
      <c r="O144" s="44">
        <f t="shared" si="126"/>
        <v>0</v>
      </c>
      <c r="P144" s="42">
        <f t="shared" si="122"/>
        <v>0</v>
      </c>
      <c r="Q144" s="36"/>
      <c r="R144" s="26"/>
    </row>
    <row r="145" spans="1:20" s="33" customFormat="1" ht="90.75" customHeight="1" thickTop="1" thickBot="1" x14ac:dyDescent="0.25">
      <c r="A145" s="298" t="s">
        <v>1740</v>
      </c>
      <c r="B145" s="298" t="s">
        <v>689</v>
      </c>
      <c r="C145" s="298"/>
      <c r="D145" s="298" t="s">
        <v>690</v>
      </c>
      <c r="E145" s="310">
        <f>E146</f>
        <v>0</v>
      </c>
      <c r="F145" s="310">
        <f t="shared" ref="F145:P146" si="148">F146</f>
        <v>0</v>
      </c>
      <c r="G145" s="310">
        <f t="shared" si="148"/>
        <v>0</v>
      </c>
      <c r="H145" s="310">
        <f t="shared" si="148"/>
        <v>0</v>
      </c>
      <c r="I145" s="310">
        <f t="shared" si="148"/>
        <v>0</v>
      </c>
      <c r="J145" s="310">
        <f t="shared" si="148"/>
        <v>500000</v>
      </c>
      <c r="K145" s="310">
        <f t="shared" si="148"/>
        <v>500000</v>
      </c>
      <c r="L145" s="310">
        <f t="shared" si="148"/>
        <v>0</v>
      </c>
      <c r="M145" s="310">
        <f t="shared" si="148"/>
        <v>0</v>
      </c>
      <c r="N145" s="310">
        <f t="shared" si="148"/>
        <v>0</v>
      </c>
      <c r="O145" s="310">
        <f t="shared" si="148"/>
        <v>500000</v>
      </c>
      <c r="P145" s="310">
        <f t="shared" si="148"/>
        <v>500000</v>
      </c>
      <c r="Q145" s="36"/>
      <c r="R145" s="26"/>
    </row>
    <row r="146" spans="1:20" s="33" customFormat="1" ht="107.45" customHeight="1" thickTop="1" thickBot="1" x14ac:dyDescent="0.25">
      <c r="A146" s="593" t="s">
        <v>1741</v>
      </c>
      <c r="B146" s="593" t="s">
        <v>692</v>
      </c>
      <c r="C146" s="593"/>
      <c r="D146" s="593" t="s">
        <v>693</v>
      </c>
      <c r="E146" s="595">
        <f>E147</f>
        <v>0</v>
      </c>
      <c r="F146" s="595">
        <f t="shared" si="148"/>
        <v>0</v>
      </c>
      <c r="G146" s="595">
        <f t="shared" si="148"/>
        <v>0</v>
      </c>
      <c r="H146" s="595">
        <f t="shared" si="148"/>
        <v>0</v>
      </c>
      <c r="I146" s="595">
        <f t="shared" si="148"/>
        <v>0</v>
      </c>
      <c r="J146" s="595">
        <f t="shared" si="148"/>
        <v>500000</v>
      </c>
      <c r="K146" s="595">
        <f t="shared" si="148"/>
        <v>500000</v>
      </c>
      <c r="L146" s="595">
        <f t="shared" si="148"/>
        <v>0</v>
      </c>
      <c r="M146" s="595">
        <f t="shared" si="148"/>
        <v>0</v>
      </c>
      <c r="N146" s="595">
        <f t="shared" si="148"/>
        <v>0</v>
      </c>
      <c r="O146" s="595">
        <f t="shared" si="148"/>
        <v>500000</v>
      </c>
      <c r="P146" s="595">
        <f t="shared" si="148"/>
        <v>500000</v>
      </c>
      <c r="Q146" s="36"/>
      <c r="R146" s="26"/>
    </row>
    <row r="147" spans="1:20" s="33" customFormat="1" ht="98.45" customHeight="1" thickTop="1" thickBot="1" x14ac:dyDescent="0.25">
      <c r="A147" s="101" t="s">
        <v>504</v>
      </c>
      <c r="B147" s="101" t="s">
        <v>359</v>
      </c>
      <c r="C147" s="101" t="s">
        <v>43</v>
      </c>
      <c r="D147" s="101" t="s">
        <v>360</v>
      </c>
      <c r="E147" s="310">
        <f t="shared" si="124"/>
        <v>0</v>
      </c>
      <c r="F147" s="425"/>
      <c r="G147" s="425"/>
      <c r="H147" s="425"/>
      <c r="I147" s="425"/>
      <c r="J147" s="310">
        <f t="shared" si="121"/>
        <v>500000</v>
      </c>
      <c r="K147" s="425">
        <v>500000</v>
      </c>
      <c r="L147" s="425"/>
      <c r="M147" s="425"/>
      <c r="N147" s="425"/>
      <c r="O147" s="422">
        <f t="shared" si="126"/>
        <v>500000</v>
      </c>
      <c r="P147" s="310">
        <f t="shared" si="122"/>
        <v>500000</v>
      </c>
      <c r="Q147" s="36"/>
      <c r="R147" s="30"/>
    </row>
    <row r="148" spans="1:20" ht="91.5" thickTop="1" thickBot="1" x14ac:dyDescent="0.25">
      <c r="A148" s="624" t="s">
        <v>155</v>
      </c>
      <c r="B148" s="624"/>
      <c r="C148" s="624"/>
      <c r="D148" s="625" t="s">
        <v>37</v>
      </c>
      <c r="E148" s="626">
        <f>E149</f>
        <v>492610043.79999989</v>
      </c>
      <c r="F148" s="627">
        <f t="shared" ref="F148:G148" si="149">F149</f>
        <v>492610043.79999989</v>
      </c>
      <c r="G148" s="627">
        <f t="shared" si="149"/>
        <v>108325675</v>
      </c>
      <c r="H148" s="627">
        <f>H149</f>
        <v>6569000.2300000004</v>
      </c>
      <c r="I148" s="627">
        <f t="shared" ref="I148" si="150">I149</f>
        <v>0</v>
      </c>
      <c r="J148" s="626">
        <f>J149</f>
        <v>177650521.09999999</v>
      </c>
      <c r="K148" s="627">
        <f>K149</f>
        <v>166868273.09999999</v>
      </c>
      <c r="L148" s="627">
        <f>L149</f>
        <v>10762248</v>
      </c>
      <c r="M148" s="627">
        <f t="shared" ref="M148" si="151">M149</f>
        <v>4705151</v>
      </c>
      <c r="N148" s="627">
        <f>N149</f>
        <v>774200</v>
      </c>
      <c r="O148" s="626">
        <f>O149</f>
        <v>166888273.09999999</v>
      </c>
      <c r="P148" s="627">
        <f>P149</f>
        <v>670260564.89999986</v>
      </c>
      <c r="Q148" s="20"/>
    </row>
    <row r="149" spans="1:20" ht="120" customHeight="1" thickTop="1" thickBot="1" x14ac:dyDescent="0.25">
      <c r="A149" s="588" t="s">
        <v>156</v>
      </c>
      <c r="B149" s="588"/>
      <c r="C149" s="588"/>
      <c r="D149" s="589" t="s">
        <v>38</v>
      </c>
      <c r="E149" s="590">
        <f>E150+E154+E200+E204</f>
        <v>492610043.79999989</v>
      </c>
      <c r="F149" s="590">
        <f>F150+F154+F200+F204</f>
        <v>492610043.79999989</v>
      </c>
      <c r="G149" s="590">
        <f>G150+G154+G200+G204</f>
        <v>108325675</v>
      </c>
      <c r="H149" s="590">
        <f>H150+H154+H200+H204</f>
        <v>6569000.2300000004</v>
      </c>
      <c r="I149" s="590">
        <f>I150+I154+I200+I204</f>
        <v>0</v>
      </c>
      <c r="J149" s="590">
        <f t="shared" ref="J149:J178" si="152">L149+O149</f>
        <v>177650521.09999999</v>
      </c>
      <c r="K149" s="590">
        <f>K150+K154+K200+K204</f>
        <v>166868273.09999999</v>
      </c>
      <c r="L149" s="590">
        <f>L150+L154+L200+L204</f>
        <v>10762248</v>
      </c>
      <c r="M149" s="590">
        <f>M150+M154+M200+M204</f>
        <v>4705151</v>
      </c>
      <c r="N149" s="590">
        <f>N150+N154+N200+N204</f>
        <v>774200</v>
      </c>
      <c r="O149" s="590">
        <f>O150+O154+O200+O204</f>
        <v>166888273.09999999</v>
      </c>
      <c r="P149" s="590">
        <f>E149+J149</f>
        <v>670260564.89999986</v>
      </c>
      <c r="Q149" s="452" t="b">
        <f>P149=P151+P153+P156+P157+P158+P159+P160+P161+P162+P163+P165+P166+P170+P171+P172+P174+P175+P177+P178+P194+P196+P197+P199+P202+P168+P192+P198</f>
        <v>1</v>
      </c>
      <c r="R149" s="46"/>
      <c r="S149" s="46"/>
      <c r="T149" s="45"/>
    </row>
    <row r="150" spans="1:20" ht="47.25" thickTop="1" thickBot="1" x14ac:dyDescent="0.25">
      <c r="A150" s="298" t="s">
        <v>714</v>
      </c>
      <c r="B150" s="298" t="s">
        <v>672</v>
      </c>
      <c r="C150" s="298"/>
      <c r="D150" s="298" t="s">
        <v>673</v>
      </c>
      <c r="E150" s="310">
        <f t="shared" ref="E150:P150" si="153">SUM(E151:E153)</f>
        <v>61556428</v>
      </c>
      <c r="F150" s="310">
        <f t="shared" si="153"/>
        <v>61556428</v>
      </c>
      <c r="G150" s="310">
        <f t="shared" si="153"/>
        <v>46533596</v>
      </c>
      <c r="H150" s="310">
        <f t="shared" si="153"/>
        <v>2034640</v>
      </c>
      <c r="I150" s="310">
        <f t="shared" si="153"/>
        <v>0</v>
      </c>
      <c r="J150" s="310">
        <f t="shared" si="153"/>
        <v>23400</v>
      </c>
      <c r="K150" s="310">
        <f t="shared" si="153"/>
        <v>23400</v>
      </c>
      <c r="L150" s="310">
        <f t="shared" si="153"/>
        <v>0</v>
      </c>
      <c r="M150" s="310">
        <f t="shared" si="153"/>
        <v>0</v>
      </c>
      <c r="N150" s="310">
        <f t="shared" si="153"/>
        <v>0</v>
      </c>
      <c r="O150" s="310">
        <f t="shared" si="153"/>
        <v>23400</v>
      </c>
      <c r="P150" s="310">
        <f t="shared" si="153"/>
        <v>61579828</v>
      </c>
      <c r="Q150" s="47"/>
      <c r="R150" s="46"/>
      <c r="T150" s="45"/>
    </row>
    <row r="151" spans="1:20" ht="93" thickTop="1" thickBot="1" x14ac:dyDescent="0.25">
      <c r="A151" s="101" t="s">
        <v>410</v>
      </c>
      <c r="B151" s="101" t="s">
        <v>235</v>
      </c>
      <c r="C151" s="101" t="s">
        <v>233</v>
      </c>
      <c r="D151" s="101" t="s">
        <v>234</v>
      </c>
      <c r="E151" s="310">
        <f t="shared" ref="E151" si="154">F151</f>
        <v>61526428</v>
      </c>
      <c r="F151" s="425">
        <f>((57971713)+3554715)</f>
        <v>61526428</v>
      </c>
      <c r="G151" s="425">
        <f>((43619896)+2913700)</f>
        <v>46533596</v>
      </c>
      <c r="H151" s="425">
        <v>2034640</v>
      </c>
      <c r="I151" s="425"/>
      <c r="J151" s="310">
        <f t="shared" si="152"/>
        <v>23400</v>
      </c>
      <c r="K151" s="425">
        <f>(0)+23400</f>
        <v>23400</v>
      </c>
      <c r="L151" s="425"/>
      <c r="M151" s="425"/>
      <c r="N151" s="425"/>
      <c r="O151" s="422">
        <f>K151</f>
        <v>23400</v>
      </c>
      <c r="P151" s="310">
        <f t="shared" ref="P151:P166" si="155">E151+J151</f>
        <v>61549828</v>
      </c>
      <c r="Q151" s="47"/>
      <c r="R151" s="46"/>
      <c r="T151" s="45"/>
    </row>
    <row r="152" spans="1:20" ht="93" hidden="1" thickTop="1" thickBot="1" x14ac:dyDescent="0.25">
      <c r="A152" s="126" t="s">
        <v>619</v>
      </c>
      <c r="B152" s="126" t="s">
        <v>358</v>
      </c>
      <c r="C152" s="126" t="s">
        <v>616</v>
      </c>
      <c r="D152" s="126" t="s">
        <v>617</v>
      </c>
      <c r="E152" s="125">
        <f t="shared" ref="E152:E153" si="156">F152</f>
        <v>0</v>
      </c>
      <c r="F152" s="132">
        <v>0</v>
      </c>
      <c r="G152" s="132"/>
      <c r="H152" s="132"/>
      <c r="I152" s="132"/>
      <c r="J152" s="125">
        <f t="shared" ref="J152:J153" si="157">L152+O152</f>
        <v>0</v>
      </c>
      <c r="K152" s="132"/>
      <c r="L152" s="132"/>
      <c r="M152" s="132"/>
      <c r="N152" s="132"/>
      <c r="O152" s="130">
        <f>K152</f>
        <v>0</v>
      </c>
      <c r="P152" s="125">
        <f t="shared" ref="P152:P153" si="158">E152+J152</f>
        <v>0</v>
      </c>
      <c r="Q152" s="47"/>
      <c r="R152" s="46"/>
      <c r="T152" s="45"/>
    </row>
    <row r="153" spans="1:20" ht="48" thickTop="1" thickBot="1" x14ac:dyDescent="0.25">
      <c r="A153" s="101" t="s">
        <v>901</v>
      </c>
      <c r="B153" s="101" t="s">
        <v>43</v>
      </c>
      <c r="C153" s="101" t="s">
        <v>42</v>
      </c>
      <c r="D153" s="101" t="s">
        <v>246</v>
      </c>
      <c r="E153" s="310">
        <f t="shared" si="156"/>
        <v>30000</v>
      </c>
      <c r="F153" s="425">
        <v>30000</v>
      </c>
      <c r="G153" s="425"/>
      <c r="H153" s="425"/>
      <c r="I153" s="425"/>
      <c r="J153" s="310">
        <f t="shared" si="157"/>
        <v>0</v>
      </c>
      <c r="K153" s="425"/>
      <c r="L153" s="425"/>
      <c r="M153" s="425"/>
      <c r="N153" s="425"/>
      <c r="O153" s="422"/>
      <c r="P153" s="310">
        <f t="shared" si="158"/>
        <v>30000</v>
      </c>
      <c r="Q153" s="47"/>
      <c r="R153" s="46"/>
      <c r="T153" s="45"/>
    </row>
    <row r="154" spans="1:20" ht="47.25" thickTop="1" thickBot="1" x14ac:dyDescent="0.25">
      <c r="A154" s="298" t="s">
        <v>715</v>
      </c>
      <c r="B154" s="298" t="s">
        <v>698</v>
      </c>
      <c r="C154" s="298"/>
      <c r="D154" s="298" t="s">
        <v>699</v>
      </c>
      <c r="E154" s="310">
        <f>SUM(E155:E199)-E155-E164-E176-E179-E195-E173-E169-E167</f>
        <v>431053615.79999989</v>
      </c>
      <c r="F154" s="310">
        <f t="shared" ref="F154:P154" si="159">SUM(F155:F199)-F155-F164-F176-F179-F195-F173-F169-F167</f>
        <v>431053615.79999989</v>
      </c>
      <c r="G154" s="310">
        <f t="shared" si="159"/>
        <v>61792079</v>
      </c>
      <c r="H154" s="310">
        <f t="shared" si="159"/>
        <v>4534360.2300000004</v>
      </c>
      <c r="I154" s="310">
        <f t="shared" si="159"/>
        <v>0</v>
      </c>
      <c r="J154" s="310">
        <f t="shared" si="159"/>
        <v>131857121.09999999</v>
      </c>
      <c r="K154" s="310">
        <f t="shared" si="159"/>
        <v>121074873.09999999</v>
      </c>
      <c r="L154" s="310">
        <f t="shared" si="159"/>
        <v>10762248</v>
      </c>
      <c r="M154" s="310">
        <f t="shared" si="159"/>
        <v>4705151</v>
      </c>
      <c r="N154" s="310">
        <f t="shared" si="159"/>
        <v>774200</v>
      </c>
      <c r="O154" s="310">
        <f t="shared" si="159"/>
        <v>121094873.09999999</v>
      </c>
      <c r="P154" s="310">
        <f t="shared" si="159"/>
        <v>562910736.89999986</v>
      </c>
      <c r="Q154" s="47"/>
      <c r="R154" s="46"/>
      <c r="T154" s="45"/>
    </row>
    <row r="155" spans="1:20" ht="138.75" thickTop="1" thickBot="1" x14ac:dyDescent="0.25">
      <c r="A155" s="598" t="s">
        <v>716</v>
      </c>
      <c r="B155" s="598" t="s">
        <v>717</v>
      </c>
      <c r="C155" s="598"/>
      <c r="D155" s="598" t="s">
        <v>718</v>
      </c>
      <c r="E155" s="599">
        <f>SUM(E156:E160)</f>
        <v>108784300</v>
      </c>
      <c r="F155" s="599">
        <f t="shared" ref="F155:P155" si="160">SUM(F156:F160)</f>
        <v>108784300</v>
      </c>
      <c r="G155" s="599">
        <f t="shared" si="160"/>
        <v>0</v>
      </c>
      <c r="H155" s="599">
        <f t="shared" si="160"/>
        <v>0</v>
      </c>
      <c r="I155" s="599">
        <f t="shared" si="160"/>
        <v>0</v>
      </c>
      <c r="J155" s="599">
        <f t="shared" si="160"/>
        <v>50000</v>
      </c>
      <c r="K155" s="599">
        <f t="shared" si="160"/>
        <v>50000</v>
      </c>
      <c r="L155" s="599">
        <f t="shared" si="160"/>
        <v>0</v>
      </c>
      <c r="M155" s="599">
        <f t="shared" si="160"/>
        <v>0</v>
      </c>
      <c r="N155" s="599">
        <f t="shared" si="160"/>
        <v>0</v>
      </c>
      <c r="O155" s="599">
        <f t="shared" si="160"/>
        <v>50000</v>
      </c>
      <c r="P155" s="599">
        <f t="shared" si="160"/>
        <v>108834300</v>
      </c>
      <c r="Q155" s="148"/>
      <c r="R155" s="48"/>
      <c r="T155" s="49"/>
    </row>
    <row r="156" spans="1:20" s="33" customFormat="1" ht="93" thickTop="1" thickBot="1" x14ac:dyDescent="0.25">
      <c r="A156" s="101" t="s">
        <v>267</v>
      </c>
      <c r="B156" s="101" t="s">
        <v>268</v>
      </c>
      <c r="C156" s="101" t="s">
        <v>204</v>
      </c>
      <c r="D156" s="311" t="s">
        <v>269</v>
      </c>
      <c r="E156" s="310">
        <f>F156</f>
        <v>858000</v>
      </c>
      <c r="F156" s="425">
        <f>(835000)+23000</f>
        <v>858000</v>
      </c>
      <c r="G156" s="425"/>
      <c r="H156" s="425"/>
      <c r="I156" s="425"/>
      <c r="J156" s="310">
        <f t="shared" si="152"/>
        <v>50000</v>
      </c>
      <c r="K156" s="425">
        <v>50000</v>
      </c>
      <c r="L156" s="425"/>
      <c r="M156" s="425"/>
      <c r="N156" s="425"/>
      <c r="O156" s="422">
        <f t="shared" ref="O156:O178" si="161">K156</f>
        <v>50000</v>
      </c>
      <c r="P156" s="310">
        <f t="shared" si="155"/>
        <v>908000</v>
      </c>
      <c r="Q156" s="36"/>
      <c r="R156" s="46"/>
    </row>
    <row r="157" spans="1:20" s="33" customFormat="1" ht="48" thickTop="1" thickBot="1" x14ac:dyDescent="0.25">
      <c r="A157" s="101" t="s">
        <v>270</v>
      </c>
      <c r="B157" s="101" t="s">
        <v>271</v>
      </c>
      <c r="C157" s="101" t="s">
        <v>205</v>
      </c>
      <c r="D157" s="101" t="s">
        <v>6</v>
      </c>
      <c r="E157" s="310">
        <f t="shared" ref="E157:E208" si="162">F157</f>
        <v>650000</v>
      </c>
      <c r="F157" s="425">
        <v>650000</v>
      </c>
      <c r="G157" s="425"/>
      <c r="H157" s="425"/>
      <c r="I157" s="425"/>
      <c r="J157" s="310">
        <f t="shared" si="152"/>
        <v>0</v>
      </c>
      <c r="K157" s="425"/>
      <c r="L157" s="425"/>
      <c r="M157" s="425"/>
      <c r="N157" s="425"/>
      <c r="O157" s="422">
        <f t="shared" si="161"/>
        <v>0</v>
      </c>
      <c r="P157" s="310">
        <f t="shared" si="155"/>
        <v>650000</v>
      </c>
      <c r="Q157" s="36"/>
      <c r="R157" s="50"/>
    </row>
    <row r="158" spans="1:20" s="33" customFormat="1" ht="93" thickTop="1" thickBot="1" x14ac:dyDescent="0.25">
      <c r="A158" s="101" t="s">
        <v>273</v>
      </c>
      <c r="B158" s="101" t="s">
        <v>274</v>
      </c>
      <c r="C158" s="101" t="s">
        <v>205</v>
      </c>
      <c r="D158" s="101" t="s">
        <v>7</v>
      </c>
      <c r="E158" s="310">
        <f t="shared" si="162"/>
        <v>40000000</v>
      </c>
      <c r="F158" s="425">
        <v>40000000</v>
      </c>
      <c r="G158" s="425"/>
      <c r="H158" s="425"/>
      <c r="I158" s="425"/>
      <c r="J158" s="310">
        <f t="shared" si="152"/>
        <v>0</v>
      </c>
      <c r="K158" s="425"/>
      <c r="L158" s="425"/>
      <c r="M158" s="425"/>
      <c r="N158" s="425"/>
      <c r="O158" s="422">
        <f t="shared" si="161"/>
        <v>0</v>
      </c>
      <c r="P158" s="310">
        <f t="shared" si="155"/>
        <v>40000000</v>
      </c>
      <c r="Q158" s="36"/>
      <c r="R158" s="50"/>
    </row>
    <row r="159" spans="1:20" s="33" customFormat="1" ht="93" thickTop="1" thickBot="1" x14ac:dyDescent="0.25">
      <c r="A159" s="101" t="s">
        <v>275</v>
      </c>
      <c r="B159" s="101" t="s">
        <v>272</v>
      </c>
      <c r="C159" s="101" t="s">
        <v>205</v>
      </c>
      <c r="D159" s="101" t="s">
        <v>8</v>
      </c>
      <c r="E159" s="310">
        <f t="shared" si="162"/>
        <v>800000</v>
      </c>
      <c r="F159" s="425">
        <v>800000</v>
      </c>
      <c r="G159" s="425"/>
      <c r="H159" s="425"/>
      <c r="I159" s="425"/>
      <c r="J159" s="310">
        <f t="shared" si="152"/>
        <v>0</v>
      </c>
      <c r="K159" s="425"/>
      <c r="L159" s="425"/>
      <c r="M159" s="425"/>
      <c r="N159" s="425"/>
      <c r="O159" s="422">
        <f t="shared" si="161"/>
        <v>0</v>
      </c>
      <c r="P159" s="310">
        <f t="shared" si="155"/>
        <v>800000</v>
      </c>
      <c r="Q159" s="36"/>
      <c r="R159" s="50"/>
    </row>
    <row r="160" spans="1:20" s="33" customFormat="1" ht="93" thickTop="1" thickBot="1" x14ac:dyDescent="0.25">
      <c r="A160" s="101" t="s">
        <v>276</v>
      </c>
      <c r="B160" s="101" t="s">
        <v>277</v>
      </c>
      <c r="C160" s="101" t="s">
        <v>205</v>
      </c>
      <c r="D160" s="101" t="s">
        <v>9</v>
      </c>
      <c r="E160" s="310">
        <f t="shared" si="162"/>
        <v>66476300</v>
      </c>
      <c r="F160" s="425">
        <f>((58000000-3000000)-5000000)+16476300</f>
        <v>66476300</v>
      </c>
      <c r="G160" s="425"/>
      <c r="H160" s="425"/>
      <c r="I160" s="425"/>
      <c r="J160" s="310">
        <f t="shared" si="152"/>
        <v>0</v>
      </c>
      <c r="K160" s="425"/>
      <c r="L160" s="425"/>
      <c r="M160" s="425"/>
      <c r="N160" s="425"/>
      <c r="O160" s="422">
        <f t="shared" si="161"/>
        <v>0</v>
      </c>
      <c r="P160" s="310">
        <f t="shared" si="155"/>
        <v>66476300</v>
      </c>
      <c r="Q160" s="36"/>
      <c r="R160" s="50"/>
    </row>
    <row r="161" spans="1:18" s="33" customFormat="1" ht="93" thickTop="1" thickBot="1" x14ac:dyDescent="0.25">
      <c r="A161" s="101" t="s">
        <v>473</v>
      </c>
      <c r="B161" s="101" t="s">
        <v>474</v>
      </c>
      <c r="C161" s="101" t="s">
        <v>205</v>
      </c>
      <c r="D161" s="101" t="s">
        <v>475</v>
      </c>
      <c r="E161" s="310">
        <f t="shared" si="162"/>
        <v>381295</v>
      </c>
      <c r="F161" s="425">
        <v>381295</v>
      </c>
      <c r="G161" s="425"/>
      <c r="H161" s="425"/>
      <c r="I161" s="425"/>
      <c r="J161" s="310">
        <f t="shared" si="152"/>
        <v>0</v>
      </c>
      <c r="K161" s="425"/>
      <c r="L161" s="425"/>
      <c r="M161" s="425"/>
      <c r="N161" s="425"/>
      <c r="O161" s="422">
        <f t="shared" si="161"/>
        <v>0</v>
      </c>
      <c r="P161" s="310">
        <f t="shared" si="155"/>
        <v>381295</v>
      </c>
      <c r="Q161" s="36"/>
      <c r="R161" s="50"/>
    </row>
    <row r="162" spans="1:18" s="33" customFormat="1" ht="93" thickTop="1" thickBot="1" x14ac:dyDescent="0.25">
      <c r="A162" s="101" t="s">
        <v>902</v>
      </c>
      <c r="B162" s="101" t="s">
        <v>903</v>
      </c>
      <c r="C162" s="101" t="s">
        <v>205</v>
      </c>
      <c r="D162" s="101" t="s">
        <v>904</v>
      </c>
      <c r="E162" s="310">
        <f t="shared" ref="E162" si="163">F162</f>
        <v>2000000</v>
      </c>
      <c r="F162" s="425">
        <v>2000000</v>
      </c>
      <c r="G162" s="425"/>
      <c r="H162" s="425"/>
      <c r="I162" s="425"/>
      <c r="J162" s="310">
        <f t="shared" ref="J162" si="164">L162+O162</f>
        <v>0</v>
      </c>
      <c r="K162" s="425"/>
      <c r="L162" s="425"/>
      <c r="M162" s="425"/>
      <c r="N162" s="425"/>
      <c r="O162" s="422">
        <f t="shared" ref="O162" si="165">K162</f>
        <v>0</v>
      </c>
      <c r="P162" s="310">
        <f t="shared" ref="P162" si="166">E162+J162</f>
        <v>2000000</v>
      </c>
      <c r="Q162" s="36"/>
      <c r="R162" s="50"/>
    </row>
    <row r="163" spans="1:18" ht="93" thickTop="1" thickBot="1" x14ac:dyDescent="0.25">
      <c r="A163" s="101" t="s">
        <v>476</v>
      </c>
      <c r="B163" s="101" t="s">
        <v>477</v>
      </c>
      <c r="C163" s="101" t="s">
        <v>204</v>
      </c>
      <c r="D163" s="101" t="s">
        <v>478</v>
      </c>
      <c r="E163" s="310">
        <f t="shared" si="162"/>
        <v>900640</v>
      </c>
      <c r="F163" s="425">
        <f>(629581)+271059</f>
        <v>900640</v>
      </c>
      <c r="G163" s="425"/>
      <c r="H163" s="425"/>
      <c r="I163" s="425"/>
      <c r="J163" s="310">
        <f t="shared" si="152"/>
        <v>0</v>
      </c>
      <c r="K163" s="425"/>
      <c r="L163" s="425"/>
      <c r="M163" s="425"/>
      <c r="N163" s="425"/>
      <c r="O163" s="422">
        <f>K163</f>
        <v>0</v>
      </c>
      <c r="P163" s="310">
        <f t="shared" si="155"/>
        <v>900640</v>
      </c>
      <c r="Q163" s="20"/>
      <c r="R163" s="50"/>
    </row>
    <row r="164" spans="1:18" s="33" customFormat="1" ht="138.75" thickTop="1" thickBot="1" x14ac:dyDescent="0.25">
      <c r="A164" s="598" t="s">
        <v>719</v>
      </c>
      <c r="B164" s="598" t="s">
        <v>720</v>
      </c>
      <c r="C164" s="598"/>
      <c r="D164" s="598" t="s">
        <v>721</v>
      </c>
      <c r="E164" s="599">
        <f>SUM(E165:E166)</f>
        <v>69911500.260000005</v>
      </c>
      <c r="F164" s="599">
        <f t="shared" ref="F164:P164" si="167">SUM(F165:F166)</f>
        <v>69911500.260000005</v>
      </c>
      <c r="G164" s="599">
        <f t="shared" si="167"/>
        <v>37410489</v>
      </c>
      <c r="H164" s="599">
        <f t="shared" si="167"/>
        <v>1299069</v>
      </c>
      <c r="I164" s="599">
        <f t="shared" si="167"/>
        <v>0</v>
      </c>
      <c r="J164" s="599">
        <f t="shared" si="167"/>
        <v>2353800</v>
      </c>
      <c r="K164" s="599">
        <f t="shared" si="167"/>
        <v>553800</v>
      </c>
      <c r="L164" s="599">
        <f t="shared" si="167"/>
        <v>1800000</v>
      </c>
      <c r="M164" s="599">
        <f t="shared" si="167"/>
        <v>1000000</v>
      </c>
      <c r="N164" s="599">
        <f t="shared" si="167"/>
        <v>320000</v>
      </c>
      <c r="O164" s="599">
        <f t="shared" si="167"/>
        <v>553800</v>
      </c>
      <c r="P164" s="599">
        <f t="shared" si="167"/>
        <v>72265300.260000005</v>
      </c>
      <c r="Q164" s="36"/>
      <c r="R164" s="51"/>
    </row>
    <row r="165" spans="1:18" ht="138.75" thickTop="1" thickBot="1" x14ac:dyDescent="0.25">
      <c r="A165" s="101" t="s">
        <v>265</v>
      </c>
      <c r="B165" s="101" t="s">
        <v>263</v>
      </c>
      <c r="C165" s="101" t="s">
        <v>199</v>
      </c>
      <c r="D165" s="101" t="s">
        <v>17</v>
      </c>
      <c r="E165" s="310">
        <f t="shared" si="162"/>
        <v>55638931</v>
      </c>
      <c r="F165" s="425">
        <f>(((48003535-150000)+2168100)+4379400+349696)+888200</f>
        <v>55638931</v>
      </c>
      <c r="G165" s="425">
        <f>(26737646)+728000</f>
        <v>27465646</v>
      </c>
      <c r="H165" s="425">
        <f>374515+20707+169000+10800</f>
        <v>575022</v>
      </c>
      <c r="I165" s="425"/>
      <c r="J165" s="310">
        <f t="shared" si="152"/>
        <v>1950000</v>
      </c>
      <c r="K165" s="425">
        <v>150000</v>
      </c>
      <c r="L165" s="425">
        <v>1800000</v>
      </c>
      <c r="M165" s="425">
        <v>1000000</v>
      </c>
      <c r="N165" s="425">
        <f>200000+20000+100000</f>
        <v>320000</v>
      </c>
      <c r="O165" s="422">
        <f>K165+0</f>
        <v>150000</v>
      </c>
      <c r="P165" s="310">
        <f t="shared" si="155"/>
        <v>57588931</v>
      </c>
      <c r="Q165" s="20"/>
      <c r="R165" s="46"/>
    </row>
    <row r="166" spans="1:18" ht="93" thickTop="1" thickBot="1" x14ac:dyDescent="0.25">
      <c r="A166" s="101" t="s">
        <v>266</v>
      </c>
      <c r="B166" s="101" t="s">
        <v>264</v>
      </c>
      <c r="C166" s="101" t="s">
        <v>198</v>
      </c>
      <c r="D166" s="101" t="s">
        <v>450</v>
      </c>
      <c r="E166" s="310">
        <f t="shared" si="162"/>
        <v>14272569.26</v>
      </c>
      <c r="F166" s="425">
        <f>(((13869902)+50067.26)+18000+50000-16700)+301300</f>
        <v>14272569.26</v>
      </c>
      <c r="G166" s="425">
        <f>(6448188+3249655)+176800+70200</f>
        <v>9944843</v>
      </c>
      <c r="H166" s="425">
        <f>305211+9225+75000+833+271602+8695+53172+309</f>
        <v>724047</v>
      </c>
      <c r="I166" s="425"/>
      <c r="J166" s="310">
        <f t="shared" si="152"/>
        <v>403800</v>
      </c>
      <c r="K166" s="425">
        <f>(0)+385000+18800</f>
        <v>403800</v>
      </c>
      <c r="L166" s="425"/>
      <c r="M166" s="425"/>
      <c r="N166" s="425"/>
      <c r="O166" s="422">
        <f t="shared" si="161"/>
        <v>403800</v>
      </c>
      <c r="P166" s="310">
        <f t="shared" si="155"/>
        <v>14676369.26</v>
      </c>
      <c r="Q166" s="20"/>
      <c r="R166" s="46"/>
    </row>
    <row r="167" spans="1:18" ht="48" thickTop="1" thickBot="1" x14ac:dyDescent="0.25">
      <c r="A167" s="598" t="s">
        <v>1666</v>
      </c>
      <c r="B167" s="598" t="s">
        <v>1667</v>
      </c>
      <c r="C167" s="598"/>
      <c r="D167" s="598" t="s">
        <v>1668</v>
      </c>
      <c r="E167" s="599">
        <f>E168</f>
        <v>44745</v>
      </c>
      <c r="F167" s="599">
        <f t="shared" ref="F167:P167" si="168">F168</f>
        <v>44745</v>
      </c>
      <c r="G167" s="599">
        <f t="shared" si="168"/>
        <v>0</v>
      </c>
      <c r="H167" s="599">
        <f t="shared" si="168"/>
        <v>0</v>
      </c>
      <c r="I167" s="599">
        <f t="shared" si="168"/>
        <v>0</v>
      </c>
      <c r="J167" s="599">
        <f t="shared" si="168"/>
        <v>0</v>
      </c>
      <c r="K167" s="599">
        <f t="shared" si="168"/>
        <v>0</v>
      </c>
      <c r="L167" s="599">
        <f t="shared" si="168"/>
        <v>0</v>
      </c>
      <c r="M167" s="599">
        <f t="shared" si="168"/>
        <v>0</v>
      </c>
      <c r="N167" s="599">
        <f t="shared" si="168"/>
        <v>0</v>
      </c>
      <c r="O167" s="599">
        <f t="shared" si="168"/>
        <v>0</v>
      </c>
      <c r="P167" s="599">
        <f t="shared" si="168"/>
        <v>44745</v>
      </c>
      <c r="Q167" s="20"/>
      <c r="R167" s="46"/>
    </row>
    <row r="168" spans="1:18" ht="138.75" thickTop="1" thickBot="1" x14ac:dyDescent="0.25">
      <c r="A168" s="101" t="s">
        <v>1670</v>
      </c>
      <c r="B168" s="101" t="s">
        <v>1671</v>
      </c>
      <c r="C168" s="101" t="s">
        <v>184</v>
      </c>
      <c r="D168" s="101" t="s">
        <v>1669</v>
      </c>
      <c r="E168" s="299">
        <f t="shared" ref="E168" si="169">F168</f>
        <v>44745</v>
      </c>
      <c r="F168" s="308">
        <v>44745</v>
      </c>
      <c r="G168" s="308"/>
      <c r="H168" s="308"/>
      <c r="I168" s="308"/>
      <c r="J168" s="310">
        <f t="shared" ref="J168" si="170">L168+O168</f>
        <v>0</v>
      </c>
      <c r="K168" s="308"/>
      <c r="L168" s="421"/>
      <c r="M168" s="421"/>
      <c r="N168" s="421"/>
      <c r="O168" s="422">
        <f>K168+0</f>
        <v>0</v>
      </c>
      <c r="P168" s="310">
        <f>+J168+E168</f>
        <v>44745</v>
      </c>
      <c r="Q168" s="20"/>
      <c r="R168" s="46"/>
    </row>
    <row r="169" spans="1:18" ht="48" thickTop="1" thickBot="1" x14ac:dyDescent="0.25">
      <c r="A169" s="598" t="s">
        <v>989</v>
      </c>
      <c r="B169" s="598" t="s">
        <v>751</v>
      </c>
      <c r="C169" s="598"/>
      <c r="D169" s="598" t="s">
        <v>752</v>
      </c>
      <c r="E169" s="599">
        <f t="shared" ref="E169:P169" si="171">SUM(E170:E171)</f>
        <v>13584055</v>
      </c>
      <c r="F169" s="599">
        <f t="shared" si="171"/>
        <v>13584055</v>
      </c>
      <c r="G169" s="599">
        <f t="shared" si="171"/>
        <v>6485749</v>
      </c>
      <c r="H169" s="599">
        <f t="shared" si="171"/>
        <v>158766</v>
      </c>
      <c r="I169" s="599">
        <f t="shared" si="171"/>
        <v>0</v>
      </c>
      <c r="J169" s="599">
        <f t="shared" si="171"/>
        <v>141600</v>
      </c>
      <c r="K169" s="599">
        <f t="shared" si="171"/>
        <v>90000</v>
      </c>
      <c r="L169" s="599">
        <f t="shared" si="171"/>
        <v>51600</v>
      </c>
      <c r="M169" s="599">
        <f t="shared" si="171"/>
        <v>0</v>
      </c>
      <c r="N169" s="599">
        <f t="shared" si="171"/>
        <v>0</v>
      </c>
      <c r="O169" s="599">
        <f t="shared" si="171"/>
        <v>90000</v>
      </c>
      <c r="P169" s="599">
        <f t="shared" si="171"/>
        <v>13725655</v>
      </c>
      <c r="Q169" s="20"/>
      <c r="R169" s="46"/>
    </row>
    <row r="170" spans="1:18" ht="184.5" thickTop="1" thickBot="1" x14ac:dyDescent="0.25">
      <c r="A170" s="101" t="s">
        <v>1174</v>
      </c>
      <c r="B170" s="101" t="s">
        <v>183</v>
      </c>
      <c r="C170" s="101" t="s">
        <v>184</v>
      </c>
      <c r="D170" s="101" t="s">
        <v>1617</v>
      </c>
      <c r="E170" s="299">
        <f t="shared" ref="E170" si="172">F170</f>
        <v>9136023</v>
      </c>
      <c r="F170" s="308">
        <f>((8619292)+2906+62000+198000)+253825</f>
        <v>9136023</v>
      </c>
      <c r="G170" s="308">
        <f>(6345349)+140400</f>
        <v>6485749</v>
      </c>
      <c r="H170" s="308">
        <f>87620+6430+58705+6011</f>
        <v>158766</v>
      </c>
      <c r="I170" s="308"/>
      <c r="J170" s="310">
        <f t="shared" ref="J170" si="173">L170+O170</f>
        <v>141600</v>
      </c>
      <c r="K170" s="308">
        <f>(0)+90000</f>
        <v>90000</v>
      </c>
      <c r="L170" s="421">
        <v>51600</v>
      </c>
      <c r="M170" s="421"/>
      <c r="N170" s="421"/>
      <c r="O170" s="422">
        <f>K170+0</f>
        <v>90000</v>
      </c>
      <c r="P170" s="310">
        <f>+J170+E170</f>
        <v>9277623</v>
      </c>
      <c r="Q170" s="20"/>
      <c r="R170" s="46"/>
    </row>
    <row r="171" spans="1:18" ht="93" thickTop="1" thickBot="1" x14ac:dyDescent="0.25">
      <c r="A171" s="101" t="s">
        <v>990</v>
      </c>
      <c r="B171" s="101" t="s">
        <v>991</v>
      </c>
      <c r="C171" s="101" t="s">
        <v>184</v>
      </c>
      <c r="D171" s="101" t="s">
        <v>1618</v>
      </c>
      <c r="E171" s="299">
        <f t="shared" ref="E171" si="174">F171</f>
        <v>4448032</v>
      </c>
      <c r="F171" s="308">
        <f>((4225673)+55440)+166919</f>
        <v>4448032</v>
      </c>
      <c r="G171" s="308"/>
      <c r="H171" s="308"/>
      <c r="I171" s="308"/>
      <c r="J171" s="310">
        <f t="shared" ref="J171" si="175">L171+O171</f>
        <v>0</v>
      </c>
      <c r="K171" s="308"/>
      <c r="L171" s="421"/>
      <c r="M171" s="421"/>
      <c r="N171" s="421"/>
      <c r="O171" s="422">
        <f t="shared" ref="O171" si="176">K171</f>
        <v>0</v>
      </c>
      <c r="P171" s="310">
        <f>+J171+E171</f>
        <v>4448032</v>
      </c>
      <c r="Q171" s="20"/>
      <c r="R171" s="46"/>
    </row>
    <row r="172" spans="1:18" ht="184.5" thickTop="1" thickBot="1" x14ac:dyDescent="0.25">
      <c r="A172" s="101" t="s">
        <v>261</v>
      </c>
      <c r="B172" s="101" t="s">
        <v>262</v>
      </c>
      <c r="C172" s="101" t="s">
        <v>198</v>
      </c>
      <c r="D172" s="101" t="s">
        <v>448</v>
      </c>
      <c r="E172" s="310">
        <f t="shared" si="162"/>
        <v>9547200</v>
      </c>
      <c r="F172" s="425">
        <v>9547200</v>
      </c>
      <c r="G172" s="425"/>
      <c r="H172" s="425"/>
      <c r="I172" s="425"/>
      <c r="J172" s="310">
        <f t="shared" si="152"/>
        <v>0</v>
      </c>
      <c r="K172" s="310"/>
      <c r="L172" s="425"/>
      <c r="M172" s="425"/>
      <c r="N172" s="425"/>
      <c r="O172" s="422">
        <f t="shared" si="161"/>
        <v>0</v>
      </c>
      <c r="P172" s="310">
        <f>+J172+E172</f>
        <v>9547200</v>
      </c>
      <c r="Q172" s="20"/>
      <c r="R172" s="50"/>
    </row>
    <row r="173" spans="1:18" ht="48" thickTop="1" thickBot="1" x14ac:dyDescent="0.25">
      <c r="A173" s="598" t="s">
        <v>863</v>
      </c>
      <c r="B173" s="598" t="s">
        <v>864</v>
      </c>
      <c r="C173" s="598"/>
      <c r="D173" s="598" t="s">
        <v>865</v>
      </c>
      <c r="E173" s="599">
        <f t="shared" si="162"/>
        <v>160170</v>
      </c>
      <c r="F173" s="599">
        <f>F174</f>
        <v>160170</v>
      </c>
      <c r="G173" s="599">
        <f t="shared" ref="G173:I173" si="177">G174</f>
        <v>0</v>
      </c>
      <c r="H173" s="599">
        <f t="shared" si="177"/>
        <v>0</v>
      </c>
      <c r="I173" s="599">
        <f t="shared" si="177"/>
        <v>0</v>
      </c>
      <c r="J173" s="599">
        <f t="shared" si="152"/>
        <v>0</v>
      </c>
      <c r="K173" s="599">
        <f t="shared" ref="K173:N173" si="178">K174</f>
        <v>0</v>
      </c>
      <c r="L173" s="599">
        <f t="shared" si="178"/>
        <v>0</v>
      </c>
      <c r="M173" s="599">
        <f t="shared" si="178"/>
        <v>0</v>
      </c>
      <c r="N173" s="599">
        <f t="shared" si="178"/>
        <v>0</v>
      </c>
      <c r="O173" s="599">
        <f t="shared" si="161"/>
        <v>0</v>
      </c>
      <c r="P173" s="599">
        <f>+J173+E173</f>
        <v>160170</v>
      </c>
      <c r="Q173" s="20"/>
      <c r="R173" s="50"/>
    </row>
    <row r="174" spans="1:18" ht="93" thickTop="1" thickBot="1" x14ac:dyDescent="0.25">
      <c r="A174" s="101" t="s">
        <v>479</v>
      </c>
      <c r="B174" s="101" t="s">
        <v>480</v>
      </c>
      <c r="C174" s="101" t="s">
        <v>198</v>
      </c>
      <c r="D174" s="101" t="s">
        <v>481</v>
      </c>
      <c r="E174" s="310">
        <f t="shared" si="162"/>
        <v>160170</v>
      </c>
      <c r="F174" s="425">
        <v>160170</v>
      </c>
      <c r="G174" s="425"/>
      <c r="H174" s="425"/>
      <c r="I174" s="425"/>
      <c r="J174" s="310">
        <f t="shared" si="152"/>
        <v>0</v>
      </c>
      <c r="K174" s="310"/>
      <c r="L174" s="425"/>
      <c r="M174" s="425"/>
      <c r="N174" s="425"/>
      <c r="O174" s="422">
        <f t="shared" si="161"/>
        <v>0</v>
      </c>
      <c r="P174" s="310">
        <f>+J174+E174</f>
        <v>160170</v>
      </c>
      <c r="Q174" s="20"/>
      <c r="R174" s="50"/>
    </row>
    <row r="175" spans="1:18" ht="138.75" thickTop="1" thickBot="1" x14ac:dyDescent="0.25">
      <c r="A175" s="101" t="s">
        <v>345</v>
      </c>
      <c r="B175" s="101" t="s">
        <v>344</v>
      </c>
      <c r="C175" s="101" t="s">
        <v>50</v>
      </c>
      <c r="D175" s="101" t="s">
        <v>449</v>
      </c>
      <c r="E175" s="310">
        <f t="shared" si="162"/>
        <v>5175144</v>
      </c>
      <c r="F175" s="425">
        <v>5175144</v>
      </c>
      <c r="G175" s="425"/>
      <c r="H175" s="425"/>
      <c r="I175" s="425"/>
      <c r="J175" s="310">
        <f t="shared" si="152"/>
        <v>0</v>
      </c>
      <c r="K175" s="310"/>
      <c r="L175" s="425"/>
      <c r="M175" s="425"/>
      <c r="N175" s="425"/>
      <c r="O175" s="422">
        <f t="shared" si="161"/>
        <v>0</v>
      </c>
      <c r="P175" s="310">
        <f>E175+J175</f>
        <v>5175144</v>
      </c>
      <c r="Q175" s="20"/>
      <c r="R175" s="50"/>
    </row>
    <row r="176" spans="1:18" s="33" customFormat="1" ht="48" thickTop="1" thickBot="1" x14ac:dyDescent="0.25">
      <c r="A176" s="598" t="s">
        <v>722</v>
      </c>
      <c r="B176" s="598" t="s">
        <v>723</v>
      </c>
      <c r="C176" s="598"/>
      <c r="D176" s="598" t="s">
        <v>724</v>
      </c>
      <c r="E176" s="599">
        <f>E177</f>
        <v>1810550</v>
      </c>
      <c r="F176" s="599">
        <f t="shared" ref="F176:P176" si="179">F177</f>
        <v>1810550</v>
      </c>
      <c r="G176" s="599">
        <f t="shared" si="179"/>
        <v>0</v>
      </c>
      <c r="H176" s="599">
        <f t="shared" si="179"/>
        <v>0</v>
      </c>
      <c r="I176" s="599">
        <f t="shared" si="179"/>
        <v>0</v>
      </c>
      <c r="J176" s="599">
        <f t="shared" si="179"/>
        <v>0</v>
      </c>
      <c r="K176" s="599">
        <f t="shared" si="179"/>
        <v>0</v>
      </c>
      <c r="L176" s="599">
        <f t="shared" si="179"/>
        <v>0</v>
      </c>
      <c r="M176" s="599">
        <f t="shared" si="179"/>
        <v>0</v>
      </c>
      <c r="N176" s="599">
        <f t="shared" si="179"/>
        <v>0</v>
      </c>
      <c r="O176" s="599">
        <f t="shared" si="179"/>
        <v>0</v>
      </c>
      <c r="P176" s="599">
        <f t="shared" si="179"/>
        <v>1810550</v>
      </c>
      <c r="Q176" s="36"/>
      <c r="R176" s="51"/>
    </row>
    <row r="177" spans="1:18" ht="93" thickTop="1" thickBot="1" x14ac:dyDescent="0.25">
      <c r="A177" s="101" t="s">
        <v>323</v>
      </c>
      <c r="B177" s="101" t="s">
        <v>324</v>
      </c>
      <c r="C177" s="101" t="s">
        <v>204</v>
      </c>
      <c r="D177" s="101" t="s">
        <v>626</v>
      </c>
      <c r="E177" s="310">
        <f t="shared" si="162"/>
        <v>1810550</v>
      </c>
      <c r="F177" s="425">
        <f>(((500000)+600000)+300000)+410550</f>
        <v>1810550</v>
      </c>
      <c r="G177" s="425"/>
      <c r="H177" s="425"/>
      <c r="I177" s="425"/>
      <c r="J177" s="310">
        <f t="shared" si="152"/>
        <v>0</v>
      </c>
      <c r="K177" s="425"/>
      <c r="L177" s="425"/>
      <c r="M177" s="425"/>
      <c r="N177" s="425"/>
      <c r="O177" s="422">
        <f t="shared" si="161"/>
        <v>0</v>
      </c>
      <c r="P177" s="310">
        <f>E177+J177</f>
        <v>1810550</v>
      </c>
      <c r="Q177" s="20"/>
      <c r="R177" s="50"/>
    </row>
    <row r="178" spans="1:18" ht="48" thickTop="1" thickBot="1" x14ac:dyDescent="0.25">
      <c r="A178" s="101" t="s">
        <v>423</v>
      </c>
      <c r="B178" s="101" t="s">
        <v>368</v>
      </c>
      <c r="C178" s="101" t="s">
        <v>369</v>
      </c>
      <c r="D178" s="101" t="s">
        <v>367</v>
      </c>
      <c r="E178" s="636">
        <f t="shared" si="162"/>
        <v>117000</v>
      </c>
      <c r="F178" s="425">
        <v>117000</v>
      </c>
      <c r="G178" s="425">
        <v>90000</v>
      </c>
      <c r="H178" s="425"/>
      <c r="I178" s="425"/>
      <c r="J178" s="310">
        <f t="shared" si="152"/>
        <v>0</v>
      </c>
      <c r="K178" s="425"/>
      <c r="L178" s="425"/>
      <c r="M178" s="425"/>
      <c r="N178" s="425"/>
      <c r="O178" s="422">
        <f t="shared" si="161"/>
        <v>0</v>
      </c>
      <c r="P178" s="310">
        <f>E178+J178</f>
        <v>117000</v>
      </c>
      <c r="Q178" s="20"/>
      <c r="R178" s="50"/>
    </row>
    <row r="179" spans="1:18" ht="130.69999999999999" customHeight="1" thickTop="1" thickBot="1" x14ac:dyDescent="0.25">
      <c r="A179" s="598" t="s">
        <v>1025</v>
      </c>
      <c r="B179" s="598" t="s">
        <v>1026</v>
      </c>
      <c r="C179" s="598"/>
      <c r="D179" s="598" t="s">
        <v>1024</v>
      </c>
      <c r="E179" s="599">
        <f>E180+E184+E186+E189+E192</f>
        <v>0</v>
      </c>
      <c r="F179" s="599">
        <f t="shared" ref="F179:O179" si="180">F180+F184+F186+F189+F192</f>
        <v>0</v>
      </c>
      <c r="G179" s="599">
        <f t="shared" si="180"/>
        <v>0</v>
      </c>
      <c r="H179" s="599">
        <f t="shared" si="180"/>
        <v>0</v>
      </c>
      <c r="I179" s="599">
        <f t="shared" si="180"/>
        <v>0</v>
      </c>
      <c r="J179" s="599">
        <f t="shared" si="180"/>
        <v>44763277.100000001</v>
      </c>
      <c r="K179" s="599">
        <f t="shared" si="180"/>
        <v>44763277.100000001</v>
      </c>
      <c r="L179" s="599">
        <f t="shared" si="180"/>
        <v>0</v>
      </c>
      <c r="M179" s="599">
        <f t="shared" si="180"/>
        <v>0</v>
      </c>
      <c r="N179" s="599">
        <f t="shared" si="180"/>
        <v>0</v>
      </c>
      <c r="O179" s="599">
        <f t="shared" si="180"/>
        <v>44763277.100000001</v>
      </c>
      <c r="P179" s="599">
        <f>P180+P184+P186+P189+P192</f>
        <v>44763277.100000001</v>
      </c>
      <c r="Q179" s="20"/>
      <c r="R179" s="50"/>
    </row>
    <row r="180" spans="1:18" ht="183.75" hidden="1" thickTop="1" x14ac:dyDescent="0.65">
      <c r="A180" s="767" t="s">
        <v>1027</v>
      </c>
      <c r="B180" s="767" t="s">
        <v>1028</v>
      </c>
      <c r="C180" s="767" t="s">
        <v>50</v>
      </c>
      <c r="D180" s="557" t="s">
        <v>1366</v>
      </c>
      <c r="E180" s="775">
        <f t="shared" ref="E180:E184" si="181">F180</f>
        <v>0</v>
      </c>
      <c r="F180" s="775"/>
      <c r="G180" s="775"/>
      <c r="H180" s="775"/>
      <c r="I180" s="775"/>
      <c r="J180" s="775">
        <f t="shared" ref="J180:J184" si="182">L180+O180</f>
        <v>0</v>
      </c>
      <c r="K180" s="806"/>
      <c r="L180" s="775"/>
      <c r="M180" s="775"/>
      <c r="N180" s="775"/>
      <c r="O180" s="806">
        <f t="shared" ref="O180:O184" si="183">K180</f>
        <v>0</v>
      </c>
      <c r="P180" s="775">
        <f t="shared" ref="P180:P184" si="184">E180+J180</f>
        <v>0</v>
      </c>
      <c r="Q180" s="816"/>
      <c r="R180" s="813"/>
    </row>
    <row r="181" spans="1:18" ht="183" hidden="1" x14ac:dyDescent="0.2">
      <c r="A181" s="768"/>
      <c r="B181" s="768"/>
      <c r="C181" s="768"/>
      <c r="D181" s="558" t="s">
        <v>1367</v>
      </c>
      <c r="E181" s="768"/>
      <c r="F181" s="768"/>
      <c r="G181" s="768"/>
      <c r="H181" s="768"/>
      <c r="I181" s="768"/>
      <c r="J181" s="768"/>
      <c r="K181" s="768"/>
      <c r="L181" s="768"/>
      <c r="M181" s="768"/>
      <c r="N181" s="768"/>
      <c r="O181" s="768"/>
      <c r="P181" s="768"/>
      <c r="Q181" s="816"/>
      <c r="R181" s="814"/>
    </row>
    <row r="182" spans="1:18" ht="183" hidden="1" x14ac:dyDescent="0.2">
      <c r="A182" s="768"/>
      <c r="B182" s="768"/>
      <c r="C182" s="768"/>
      <c r="D182" s="558" t="s">
        <v>1368</v>
      </c>
      <c r="E182" s="768"/>
      <c r="F182" s="768"/>
      <c r="G182" s="768"/>
      <c r="H182" s="768"/>
      <c r="I182" s="768"/>
      <c r="J182" s="768"/>
      <c r="K182" s="768"/>
      <c r="L182" s="768"/>
      <c r="M182" s="768"/>
      <c r="N182" s="768"/>
      <c r="O182" s="768"/>
      <c r="P182" s="768"/>
      <c r="Q182" s="816"/>
      <c r="R182" s="814"/>
    </row>
    <row r="183" spans="1:18" ht="92.25" hidden="1" thickBot="1" x14ac:dyDescent="0.25">
      <c r="A183" s="769"/>
      <c r="B183" s="769"/>
      <c r="C183" s="769"/>
      <c r="D183" s="559" t="s">
        <v>1369</v>
      </c>
      <c r="E183" s="769"/>
      <c r="F183" s="769"/>
      <c r="G183" s="769"/>
      <c r="H183" s="769"/>
      <c r="I183" s="769"/>
      <c r="J183" s="769"/>
      <c r="K183" s="769"/>
      <c r="L183" s="769"/>
      <c r="M183" s="769"/>
      <c r="N183" s="769"/>
      <c r="O183" s="769"/>
      <c r="P183" s="769"/>
      <c r="Q183" s="816"/>
      <c r="R183" s="814"/>
    </row>
    <row r="184" spans="1:18" ht="409.6" hidden="1" thickTop="1" x14ac:dyDescent="0.65">
      <c r="A184" s="767" t="s">
        <v>1029</v>
      </c>
      <c r="B184" s="767" t="s">
        <v>1030</v>
      </c>
      <c r="C184" s="767" t="s">
        <v>50</v>
      </c>
      <c r="D184" s="557" t="s">
        <v>1589</v>
      </c>
      <c r="E184" s="775">
        <f t="shared" si="181"/>
        <v>0</v>
      </c>
      <c r="F184" s="775"/>
      <c r="G184" s="775"/>
      <c r="H184" s="775"/>
      <c r="I184" s="775"/>
      <c r="J184" s="775">
        <f t="shared" si="182"/>
        <v>0</v>
      </c>
      <c r="K184" s="806"/>
      <c r="L184" s="775"/>
      <c r="M184" s="775"/>
      <c r="N184" s="775"/>
      <c r="O184" s="775">
        <f t="shared" si="183"/>
        <v>0</v>
      </c>
      <c r="P184" s="775">
        <f t="shared" si="184"/>
        <v>0</v>
      </c>
      <c r="Q184" s="20"/>
      <c r="R184" s="813"/>
    </row>
    <row r="185" spans="1:18" ht="183.75" hidden="1" thickBot="1" x14ac:dyDescent="0.25">
      <c r="A185" s="768"/>
      <c r="B185" s="768"/>
      <c r="C185" s="768"/>
      <c r="D185" s="558" t="s">
        <v>1590</v>
      </c>
      <c r="E185" s="768"/>
      <c r="F185" s="768"/>
      <c r="G185" s="768"/>
      <c r="H185" s="768"/>
      <c r="I185" s="768"/>
      <c r="J185" s="768"/>
      <c r="K185" s="768"/>
      <c r="L185" s="768"/>
      <c r="M185" s="768"/>
      <c r="N185" s="768"/>
      <c r="O185" s="768"/>
      <c r="P185" s="768"/>
      <c r="Q185" s="20"/>
      <c r="R185" s="815"/>
    </row>
    <row r="186" spans="1:18" ht="183.75" hidden="1" thickTop="1" x14ac:dyDescent="0.65">
      <c r="A186" s="767" t="s">
        <v>1031</v>
      </c>
      <c r="B186" s="767" t="s">
        <v>1032</v>
      </c>
      <c r="C186" s="767" t="s">
        <v>50</v>
      </c>
      <c r="D186" s="557" t="s">
        <v>1370</v>
      </c>
      <c r="E186" s="775">
        <f t="shared" ref="E186" si="185">F186</f>
        <v>0</v>
      </c>
      <c r="F186" s="775"/>
      <c r="G186" s="775"/>
      <c r="H186" s="775"/>
      <c r="I186" s="775"/>
      <c r="J186" s="775">
        <f t="shared" ref="J186" si="186">L186+O186</f>
        <v>0</v>
      </c>
      <c r="K186" s="806"/>
      <c r="L186" s="775"/>
      <c r="M186" s="775"/>
      <c r="N186" s="775"/>
      <c r="O186" s="806">
        <f t="shared" ref="O186" si="187">K186</f>
        <v>0</v>
      </c>
      <c r="P186" s="775">
        <f t="shared" ref="P186" si="188">E186+J186</f>
        <v>0</v>
      </c>
      <c r="Q186" s="20"/>
      <c r="R186" s="813"/>
    </row>
    <row r="187" spans="1:18" ht="183" hidden="1" x14ac:dyDescent="0.2">
      <c r="A187" s="768"/>
      <c r="B187" s="768"/>
      <c r="C187" s="768"/>
      <c r="D187" s="558" t="s">
        <v>1371</v>
      </c>
      <c r="E187" s="768"/>
      <c r="F187" s="768"/>
      <c r="G187" s="768"/>
      <c r="H187" s="768"/>
      <c r="I187" s="768"/>
      <c r="J187" s="768"/>
      <c r="K187" s="768"/>
      <c r="L187" s="768"/>
      <c r="M187" s="768"/>
      <c r="N187" s="768"/>
      <c r="O187" s="768"/>
      <c r="P187" s="768"/>
      <c r="Q187" s="20"/>
      <c r="R187" s="814"/>
    </row>
    <row r="188" spans="1:18" ht="92.25" hidden="1" thickBot="1" x14ac:dyDescent="0.25">
      <c r="A188" s="769"/>
      <c r="B188" s="769"/>
      <c r="C188" s="769"/>
      <c r="D188" s="559" t="s">
        <v>1033</v>
      </c>
      <c r="E188" s="769"/>
      <c r="F188" s="769"/>
      <c r="G188" s="769"/>
      <c r="H188" s="769"/>
      <c r="I188" s="769"/>
      <c r="J188" s="769"/>
      <c r="K188" s="769"/>
      <c r="L188" s="769"/>
      <c r="M188" s="769"/>
      <c r="N188" s="769"/>
      <c r="O188" s="769"/>
      <c r="P188" s="769"/>
      <c r="Q188" s="20"/>
      <c r="R188" s="814"/>
    </row>
    <row r="189" spans="1:18" ht="183.75" hidden="1" thickTop="1" x14ac:dyDescent="0.65">
      <c r="A189" s="772" t="s">
        <v>1037</v>
      </c>
      <c r="B189" s="772" t="s">
        <v>1038</v>
      </c>
      <c r="C189" s="772" t="s">
        <v>50</v>
      </c>
      <c r="D189" s="370" t="s">
        <v>1034</v>
      </c>
      <c r="E189" s="775">
        <f t="shared" ref="E189" si="189">F189</f>
        <v>0</v>
      </c>
      <c r="F189" s="775"/>
      <c r="G189" s="775"/>
      <c r="H189" s="775"/>
      <c r="I189" s="775"/>
      <c r="J189" s="775">
        <f t="shared" ref="J189" si="190">L189+O189</f>
        <v>0</v>
      </c>
      <c r="K189" s="804">
        <v>0</v>
      </c>
      <c r="L189" s="803"/>
      <c r="M189" s="803"/>
      <c r="N189" s="803"/>
      <c r="O189" s="804">
        <f t="shared" ref="O189" si="191">K189</f>
        <v>0</v>
      </c>
      <c r="P189" s="803">
        <f t="shared" ref="P189" si="192">E189+J189</f>
        <v>0</v>
      </c>
      <c r="Q189" s="20"/>
      <c r="R189" s="813"/>
    </row>
    <row r="190" spans="1:18" ht="183" hidden="1" x14ac:dyDescent="0.2">
      <c r="A190" s="773"/>
      <c r="B190" s="773"/>
      <c r="C190" s="773"/>
      <c r="D190" s="124" t="s">
        <v>1035</v>
      </c>
      <c r="E190" s="768"/>
      <c r="F190" s="768"/>
      <c r="G190" s="768"/>
      <c r="H190" s="768"/>
      <c r="I190" s="768"/>
      <c r="J190" s="768"/>
      <c r="K190" s="773"/>
      <c r="L190" s="773"/>
      <c r="M190" s="773"/>
      <c r="N190" s="773"/>
      <c r="O190" s="773"/>
      <c r="P190" s="773"/>
      <c r="Q190" s="20"/>
      <c r="R190" s="814"/>
    </row>
    <row r="191" spans="1:18" ht="46.5" hidden="1" thickBot="1" x14ac:dyDescent="0.25">
      <c r="A191" s="774"/>
      <c r="B191" s="774"/>
      <c r="C191" s="774"/>
      <c r="D191" s="371" t="s">
        <v>1036</v>
      </c>
      <c r="E191" s="769"/>
      <c r="F191" s="769"/>
      <c r="G191" s="769"/>
      <c r="H191" s="769"/>
      <c r="I191" s="769"/>
      <c r="J191" s="769"/>
      <c r="K191" s="774"/>
      <c r="L191" s="774"/>
      <c r="M191" s="774"/>
      <c r="N191" s="774"/>
      <c r="O191" s="774"/>
      <c r="P191" s="774"/>
      <c r="Q191" s="20"/>
      <c r="R191" s="814"/>
    </row>
    <row r="192" spans="1:18" ht="378" customHeight="1" thickTop="1" x14ac:dyDescent="0.2">
      <c r="A192" s="761" t="s">
        <v>1704</v>
      </c>
      <c r="B192" s="761" t="s">
        <v>1705</v>
      </c>
      <c r="C192" s="761" t="s">
        <v>50</v>
      </c>
      <c r="D192" s="761" t="s">
        <v>1706</v>
      </c>
      <c r="E192" s="759">
        <f t="shared" ref="E192" si="193">F192</f>
        <v>0</v>
      </c>
      <c r="F192" s="763"/>
      <c r="G192" s="763"/>
      <c r="H192" s="763"/>
      <c r="I192" s="763"/>
      <c r="J192" s="759">
        <f t="shared" ref="J192" si="194">L192+O192</f>
        <v>44763277.100000001</v>
      </c>
      <c r="K192" s="763">
        <v>44763277.100000001</v>
      </c>
      <c r="L192" s="763"/>
      <c r="M192" s="763"/>
      <c r="N192" s="763"/>
      <c r="O192" s="757">
        <f t="shared" ref="O192" si="195">K192</f>
        <v>44763277.100000001</v>
      </c>
      <c r="P192" s="759">
        <f t="shared" ref="P192" si="196">E192+J192</f>
        <v>44763277.100000001</v>
      </c>
      <c r="Q192" s="20"/>
      <c r="R192" s="21"/>
    </row>
    <row r="193" spans="1:18" ht="315.75" customHeight="1" thickBot="1" x14ac:dyDescent="0.25">
      <c r="A193" s="762"/>
      <c r="B193" s="762"/>
      <c r="C193" s="762"/>
      <c r="D193" s="762"/>
      <c r="E193" s="760"/>
      <c r="F193" s="764"/>
      <c r="G193" s="764"/>
      <c r="H193" s="764"/>
      <c r="I193" s="764"/>
      <c r="J193" s="760"/>
      <c r="K193" s="764"/>
      <c r="L193" s="764"/>
      <c r="M193" s="764"/>
      <c r="N193" s="764"/>
      <c r="O193" s="758"/>
      <c r="P193" s="760"/>
      <c r="Q193" s="20"/>
      <c r="R193" s="21"/>
    </row>
    <row r="194" spans="1:18" ht="121.7" customHeight="1" thickTop="1" thickBot="1" x14ac:dyDescent="0.25">
      <c r="A194" s="101" t="s">
        <v>1162</v>
      </c>
      <c r="B194" s="101" t="s">
        <v>1159</v>
      </c>
      <c r="C194" s="101" t="s">
        <v>205</v>
      </c>
      <c r="D194" s="600" t="s">
        <v>1160</v>
      </c>
      <c r="E194" s="636">
        <f t="shared" ref="E194" si="197">F194</f>
        <v>5176195</v>
      </c>
      <c r="F194" s="425">
        <v>5176195</v>
      </c>
      <c r="G194" s="425"/>
      <c r="H194" s="425"/>
      <c r="I194" s="425"/>
      <c r="J194" s="310">
        <f t="shared" ref="J194" si="198">L194+O194</f>
        <v>8102695</v>
      </c>
      <c r="K194" s="425">
        <f>(((4560281)+2478414)+984000)+80000</f>
        <v>8102695</v>
      </c>
      <c r="L194" s="425"/>
      <c r="M194" s="425"/>
      <c r="N194" s="425"/>
      <c r="O194" s="422">
        <f t="shared" ref="O194" si="199">K194</f>
        <v>8102695</v>
      </c>
      <c r="P194" s="310">
        <f>E194+J194</f>
        <v>13278890</v>
      </c>
      <c r="Q194" s="20"/>
      <c r="R194" s="21"/>
    </row>
    <row r="195" spans="1:18" s="33" customFormat="1" ht="48" thickTop="1" thickBot="1" x14ac:dyDescent="0.25">
      <c r="A195" s="598" t="s">
        <v>725</v>
      </c>
      <c r="B195" s="598" t="s">
        <v>726</v>
      </c>
      <c r="C195" s="598"/>
      <c r="D195" s="598" t="s">
        <v>727</v>
      </c>
      <c r="E195" s="599">
        <f>SUM(E196:E198)</f>
        <v>213460821.54000002</v>
      </c>
      <c r="F195" s="599">
        <f t="shared" ref="F195:P195" si="200">SUM(F196:F198)</f>
        <v>213460821.54000002</v>
      </c>
      <c r="G195" s="599">
        <f t="shared" si="200"/>
        <v>17805841</v>
      </c>
      <c r="H195" s="599">
        <f t="shared" si="200"/>
        <v>3076525.2300000004</v>
      </c>
      <c r="I195" s="599">
        <f t="shared" si="200"/>
        <v>0</v>
      </c>
      <c r="J195" s="599">
        <f t="shared" si="200"/>
        <v>69045749</v>
      </c>
      <c r="K195" s="599">
        <f t="shared" si="200"/>
        <v>60115101</v>
      </c>
      <c r="L195" s="599">
        <f t="shared" si="200"/>
        <v>8910648</v>
      </c>
      <c r="M195" s="599">
        <f t="shared" si="200"/>
        <v>3705151</v>
      </c>
      <c r="N195" s="599">
        <f t="shared" si="200"/>
        <v>454200</v>
      </c>
      <c r="O195" s="599">
        <f t="shared" si="200"/>
        <v>60135101</v>
      </c>
      <c r="P195" s="599">
        <f t="shared" si="200"/>
        <v>282506570.54000002</v>
      </c>
      <c r="Q195" s="36"/>
      <c r="R195" s="51"/>
    </row>
    <row r="196" spans="1:18" ht="93" thickTop="1" thickBot="1" x14ac:dyDescent="0.25">
      <c r="A196" s="101" t="s">
        <v>325</v>
      </c>
      <c r="B196" s="101" t="s">
        <v>327</v>
      </c>
      <c r="C196" s="101" t="s">
        <v>190</v>
      </c>
      <c r="D196" s="600" t="s">
        <v>1621</v>
      </c>
      <c r="E196" s="310">
        <f t="shared" si="162"/>
        <v>37535450.540000007</v>
      </c>
      <c r="F196" s="425">
        <f>(((35730795-296500-3000000)+135000+36485.22+2465219.2-1772263+398722.88-199218.77)+45348.93+85000+7200+82298+200000+150000+99816+92400+19500+35420+260400+16700+38709.08)+2508976-65000-(-460442)</f>
        <v>37535450.540000007</v>
      </c>
      <c r="G196" s="308">
        <f>(5328862+7922303+4221876)+195000+137800</f>
        <v>17805841</v>
      </c>
      <c r="H196" s="308">
        <f>(((103200+360000+275270+20306+305000+175725+995030+348275)+36485.22+13300+1400+20000)+45348.93+38709.08)+332086+6390</f>
        <v>3076525.2300000004</v>
      </c>
      <c r="I196" s="425"/>
      <c r="J196" s="310">
        <f t="shared" ref="J196:J208" si="201">L196+O196</f>
        <v>10813619</v>
      </c>
      <c r="K196" s="425">
        <f>(((296500)+1772263)+12000+197650)+65000-460442</f>
        <v>1882971</v>
      </c>
      <c r="L196" s="425">
        <f>(8178950)+731698</f>
        <v>8910648</v>
      </c>
      <c r="M196" s="425">
        <f>(3670511)+34640</f>
        <v>3705151</v>
      </c>
      <c r="N196" s="425">
        <f>387200+67000</f>
        <v>454200</v>
      </c>
      <c r="O196" s="422">
        <f>K196+20000</f>
        <v>1902971</v>
      </c>
      <c r="P196" s="310">
        <f t="shared" ref="P196:P208" si="202">E196+J196</f>
        <v>48349069.540000007</v>
      </c>
      <c r="Q196" s="20"/>
      <c r="R196" s="46"/>
    </row>
    <row r="197" spans="1:18" ht="66.75" customHeight="1" thickTop="1" thickBot="1" x14ac:dyDescent="0.25">
      <c r="A197" s="101" t="s">
        <v>326</v>
      </c>
      <c r="B197" s="101" t="s">
        <v>328</v>
      </c>
      <c r="C197" s="101" t="s">
        <v>190</v>
      </c>
      <c r="D197" s="600" t="s">
        <v>329</v>
      </c>
      <c r="E197" s="310">
        <f t="shared" si="162"/>
        <v>175925371</v>
      </c>
      <c r="F197" s="425">
        <f>(((103281081-34000000-150000)+20000000+5000000)+45865000-50000-8175000)+41154290+3000000</f>
        <v>175925371</v>
      </c>
      <c r="G197" s="425"/>
      <c r="H197" s="425"/>
      <c r="I197" s="425"/>
      <c r="J197" s="310">
        <f t="shared" si="201"/>
        <v>42375000</v>
      </c>
      <c r="K197" s="425">
        <f>(34000000+150000)+50000+8175000</f>
        <v>42375000</v>
      </c>
      <c r="L197" s="425"/>
      <c r="M197" s="425"/>
      <c r="N197" s="425"/>
      <c r="O197" s="422">
        <f t="shared" ref="O197:O208" si="203">K197</f>
        <v>42375000</v>
      </c>
      <c r="P197" s="310">
        <f t="shared" si="202"/>
        <v>218300371</v>
      </c>
      <c r="Q197" s="20"/>
      <c r="R197" s="46"/>
    </row>
    <row r="198" spans="1:18" ht="138.75" thickTop="1" thickBot="1" x14ac:dyDescent="0.25">
      <c r="A198" s="101" t="s">
        <v>1720</v>
      </c>
      <c r="B198" s="101" t="s">
        <v>1719</v>
      </c>
      <c r="C198" s="101" t="s">
        <v>184</v>
      </c>
      <c r="D198" s="600" t="s">
        <v>1718</v>
      </c>
      <c r="E198" s="310">
        <f t="shared" si="162"/>
        <v>0</v>
      </c>
      <c r="F198" s="425"/>
      <c r="G198" s="425"/>
      <c r="H198" s="425"/>
      <c r="I198" s="425"/>
      <c r="J198" s="310">
        <f t="shared" si="201"/>
        <v>15857130</v>
      </c>
      <c r="K198" s="425">
        <f>(7780090)+8077040</f>
        <v>15857130</v>
      </c>
      <c r="L198" s="425"/>
      <c r="M198" s="425"/>
      <c r="N198" s="425"/>
      <c r="O198" s="422">
        <f t="shared" si="203"/>
        <v>15857130</v>
      </c>
      <c r="P198" s="310">
        <f t="shared" si="202"/>
        <v>15857130</v>
      </c>
      <c r="Q198" s="20"/>
      <c r="R198" s="46"/>
    </row>
    <row r="199" spans="1:18" ht="66.75" customHeight="1" thickTop="1" thickBot="1" x14ac:dyDescent="0.25">
      <c r="A199" s="101" t="s">
        <v>1592</v>
      </c>
      <c r="B199" s="101" t="s">
        <v>1593</v>
      </c>
      <c r="C199" s="101" t="s">
        <v>190</v>
      </c>
      <c r="D199" s="101" t="s">
        <v>1594</v>
      </c>
      <c r="E199" s="310">
        <f t="shared" si="162"/>
        <v>0</v>
      </c>
      <c r="F199" s="425"/>
      <c r="G199" s="425"/>
      <c r="H199" s="425"/>
      <c r="I199" s="425"/>
      <c r="J199" s="310">
        <f>L199+O199</f>
        <v>7400000</v>
      </c>
      <c r="K199" s="425">
        <f>((((10000000+3000000)-1500000)+1400000)-3500000)-2000000</f>
        <v>7400000</v>
      </c>
      <c r="L199" s="425"/>
      <c r="M199" s="425"/>
      <c r="N199" s="425"/>
      <c r="O199" s="422">
        <f>K199</f>
        <v>7400000</v>
      </c>
      <c r="P199" s="310">
        <f>E199+J199</f>
        <v>7400000</v>
      </c>
      <c r="Q199" s="20"/>
      <c r="R199" s="46"/>
    </row>
    <row r="200" spans="1:18" ht="47.25" thickTop="1" thickBot="1" x14ac:dyDescent="0.25">
      <c r="A200" s="298" t="s">
        <v>728</v>
      </c>
      <c r="B200" s="298" t="s">
        <v>729</v>
      </c>
      <c r="C200" s="298"/>
      <c r="D200" s="597" t="s">
        <v>730</v>
      </c>
      <c r="E200" s="310">
        <f>SUM(E201)</f>
        <v>0</v>
      </c>
      <c r="F200" s="310">
        <f t="shared" ref="F200:P200" si="204">SUM(F201)</f>
        <v>0</v>
      </c>
      <c r="G200" s="310">
        <f t="shared" si="204"/>
        <v>0</v>
      </c>
      <c r="H200" s="310">
        <f t="shared" si="204"/>
        <v>0</v>
      </c>
      <c r="I200" s="310">
        <f t="shared" si="204"/>
        <v>0</v>
      </c>
      <c r="J200" s="310">
        <f>SUM(J201)</f>
        <v>45770000</v>
      </c>
      <c r="K200" s="310">
        <f t="shared" si="204"/>
        <v>45770000</v>
      </c>
      <c r="L200" s="310">
        <f t="shared" si="204"/>
        <v>0</v>
      </c>
      <c r="M200" s="310">
        <f t="shared" si="204"/>
        <v>0</v>
      </c>
      <c r="N200" s="310">
        <f t="shared" si="204"/>
        <v>0</v>
      </c>
      <c r="O200" s="310">
        <f t="shared" si="204"/>
        <v>45770000</v>
      </c>
      <c r="P200" s="310">
        <f t="shared" si="204"/>
        <v>45770000</v>
      </c>
      <c r="Q200" s="20"/>
      <c r="R200" s="46"/>
    </row>
    <row r="201" spans="1:18" s="33" customFormat="1" ht="48" thickTop="1" thickBot="1" x14ac:dyDescent="0.25">
      <c r="A201" s="598" t="s">
        <v>731</v>
      </c>
      <c r="B201" s="598" t="s">
        <v>732</v>
      </c>
      <c r="C201" s="598"/>
      <c r="D201" s="638" t="s">
        <v>733</v>
      </c>
      <c r="E201" s="599">
        <f>SUM(E202:E203)</f>
        <v>0</v>
      </c>
      <c r="F201" s="599">
        <f>SUM(F202:F203)</f>
        <v>0</v>
      </c>
      <c r="G201" s="599">
        <f>SUM(G202:G203)</f>
        <v>0</v>
      </c>
      <c r="H201" s="599">
        <f>SUM(H202:H203)</f>
        <v>0</v>
      </c>
      <c r="I201" s="599">
        <f>SUM(I202:I203)</f>
        <v>0</v>
      </c>
      <c r="J201" s="599">
        <f t="shared" ref="J201:O201" si="205">SUM(J202:J203)</f>
        <v>45770000</v>
      </c>
      <c r="K201" s="599">
        <f t="shared" si="205"/>
        <v>45770000</v>
      </c>
      <c r="L201" s="599">
        <f t="shared" si="205"/>
        <v>0</v>
      </c>
      <c r="M201" s="599">
        <f t="shared" si="205"/>
        <v>0</v>
      </c>
      <c r="N201" s="599">
        <f t="shared" si="205"/>
        <v>0</v>
      </c>
      <c r="O201" s="599">
        <f t="shared" si="205"/>
        <v>45770000</v>
      </c>
      <c r="P201" s="599">
        <f>SUM(P202:P203)</f>
        <v>45770000</v>
      </c>
      <c r="Q201" s="36"/>
      <c r="R201" s="52"/>
    </row>
    <row r="202" spans="1:18" ht="93" thickTop="1" thickBot="1" x14ac:dyDescent="0.25">
      <c r="A202" s="101" t="s">
        <v>363</v>
      </c>
      <c r="B202" s="101" t="s">
        <v>361</v>
      </c>
      <c r="C202" s="101" t="s">
        <v>337</v>
      </c>
      <c r="D202" s="600" t="s">
        <v>362</v>
      </c>
      <c r="E202" s="310">
        <f t="shared" si="162"/>
        <v>0</v>
      </c>
      <c r="F202" s="425"/>
      <c r="G202" s="425"/>
      <c r="H202" s="425"/>
      <c r="I202" s="425"/>
      <c r="J202" s="310">
        <f t="shared" si="201"/>
        <v>45770000</v>
      </c>
      <c r="K202" s="425">
        <f>(25000000)+20770000</f>
        <v>45770000</v>
      </c>
      <c r="L202" s="425"/>
      <c r="M202" s="425"/>
      <c r="N202" s="425"/>
      <c r="O202" s="422">
        <f t="shared" si="203"/>
        <v>45770000</v>
      </c>
      <c r="P202" s="310">
        <f t="shared" si="202"/>
        <v>45770000</v>
      </c>
      <c r="Q202" s="20"/>
      <c r="R202" s="46"/>
    </row>
    <row r="203" spans="1:18" ht="197.45" hidden="1" customHeight="1" thickTop="1" thickBot="1" x14ac:dyDescent="0.25">
      <c r="A203" s="126" t="s">
        <v>1039</v>
      </c>
      <c r="B203" s="126" t="s">
        <v>1040</v>
      </c>
      <c r="C203" s="126" t="s">
        <v>337</v>
      </c>
      <c r="D203" s="369" t="s">
        <v>1041</v>
      </c>
      <c r="E203" s="125">
        <f t="shared" si="162"/>
        <v>0</v>
      </c>
      <c r="F203" s="132"/>
      <c r="G203" s="132"/>
      <c r="H203" s="132"/>
      <c r="I203" s="132"/>
      <c r="J203" s="125">
        <f t="shared" si="201"/>
        <v>0</v>
      </c>
      <c r="K203" s="132"/>
      <c r="L203" s="132"/>
      <c r="M203" s="132"/>
      <c r="N203" s="132"/>
      <c r="O203" s="130">
        <f t="shared" si="203"/>
        <v>0</v>
      </c>
      <c r="P203" s="125">
        <f t="shared" si="202"/>
        <v>0</v>
      </c>
      <c r="Q203" s="20"/>
      <c r="R203" s="46"/>
    </row>
    <row r="204" spans="1:18" ht="47.25" hidden="1" thickTop="1" thickBot="1" x14ac:dyDescent="0.25">
      <c r="A204" s="123" t="s">
        <v>737</v>
      </c>
      <c r="B204" s="123" t="s">
        <v>735</v>
      </c>
      <c r="C204" s="123"/>
      <c r="D204" s="123" t="s">
        <v>736</v>
      </c>
      <c r="E204" s="125">
        <f>E205</f>
        <v>0</v>
      </c>
      <c r="F204" s="125">
        <f t="shared" ref="F204:P204" si="206">F205</f>
        <v>0</v>
      </c>
      <c r="G204" s="125">
        <f t="shared" si="206"/>
        <v>0</v>
      </c>
      <c r="H204" s="125">
        <f t="shared" si="206"/>
        <v>0</v>
      </c>
      <c r="I204" s="125">
        <f t="shared" si="206"/>
        <v>0</v>
      </c>
      <c r="J204" s="125">
        <f t="shared" si="206"/>
        <v>0</v>
      </c>
      <c r="K204" s="125">
        <f t="shared" si="206"/>
        <v>0</v>
      </c>
      <c r="L204" s="125">
        <f t="shared" si="206"/>
        <v>0</v>
      </c>
      <c r="M204" s="125">
        <f t="shared" si="206"/>
        <v>0</v>
      </c>
      <c r="N204" s="125">
        <f t="shared" si="206"/>
        <v>0</v>
      </c>
      <c r="O204" s="125">
        <f t="shared" si="206"/>
        <v>0</v>
      </c>
      <c r="P204" s="125">
        <f t="shared" si="206"/>
        <v>0</v>
      </c>
      <c r="Q204" s="20"/>
      <c r="R204" s="46"/>
    </row>
    <row r="205" spans="1:18" ht="47.25" hidden="1" thickTop="1" thickBot="1" x14ac:dyDescent="0.25">
      <c r="A205" s="134" t="s">
        <v>739</v>
      </c>
      <c r="B205" s="134" t="s">
        <v>679</v>
      </c>
      <c r="C205" s="134"/>
      <c r="D205" s="134" t="s">
        <v>677</v>
      </c>
      <c r="E205" s="135">
        <f>E207+E206</f>
        <v>0</v>
      </c>
      <c r="F205" s="135">
        <f t="shared" ref="F205:I205" si="207">F207+F206</f>
        <v>0</v>
      </c>
      <c r="G205" s="135">
        <f t="shared" si="207"/>
        <v>0</v>
      </c>
      <c r="H205" s="135">
        <f t="shared" si="207"/>
        <v>0</v>
      </c>
      <c r="I205" s="135">
        <f t="shared" si="207"/>
        <v>0</v>
      </c>
      <c r="J205" s="135">
        <f>J207+J206</f>
        <v>0</v>
      </c>
      <c r="K205" s="135">
        <f t="shared" ref="K205" si="208">K207+K206</f>
        <v>0</v>
      </c>
      <c r="L205" s="135">
        <f t="shared" ref="L205" si="209">L207+L206</f>
        <v>0</v>
      </c>
      <c r="M205" s="135">
        <f t="shared" ref="M205" si="210">M207+M206</f>
        <v>0</v>
      </c>
      <c r="N205" s="135">
        <f t="shared" ref="N205" si="211">N207+N206</f>
        <v>0</v>
      </c>
      <c r="O205" s="135">
        <f t="shared" ref="O205" si="212">O207+O206</f>
        <v>0</v>
      </c>
      <c r="P205" s="135">
        <f>P207+P206</f>
        <v>0</v>
      </c>
      <c r="Q205" s="20"/>
      <c r="R205" s="46"/>
    </row>
    <row r="206" spans="1:18" ht="48" hidden="1" thickTop="1" thickBot="1" x14ac:dyDescent="0.25">
      <c r="A206" s="126" t="s">
        <v>1260</v>
      </c>
      <c r="B206" s="126" t="s">
        <v>211</v>
      </c>
      <c r="C206" s="126" t="s">
        <v>212</v>
      </c>
      <c r="D206" s="126" t="s">
        <v>41</v>
      </c>
      <c r="E206" s="125">
        <f t="shared" ref="E206" si="213">F206</f>
        <v>0</v>
      </c>
      <c r="F206" s="132">
        <v>0</v>
      </c>
      <c r="G206" s="132"/>
      <c r="H206" s="132"/>
      <c r="I206" s="132"/>
      <c r="J206" s="125">
        <f t="shared" ref="J206" si="214">L206+O206</f>
        <v>0</v>
      </c>
      <c r="K206" s="132"/>
      <c r="L206" s="132"/>
      <c r="M206" s="132"/>
      <c r="N206" s="132"/>
      <c r="O206" s="130">
        <f t="shared" ref="O206" si="215">K206</f>
        <v>0</v>
      </c>
      <c r="P206" s="125">
        <f t="shared" ref="P206" si="216">E206+J206</f>
        <v>0</v>
      </c>
      <c r="Q206" s="20"/>
      <c r="R206" s="46"/>
    </row>
    <row r="207" spans="1:18" ht="48" hidden="1" thickTop="1" thickBot="1" x14ac:dyDescent="0.25">
      <c r="A207" s="138" t="s">
        <v>738</v>
      </c>
      <c r="B207" s="138" t="s">
        <v>682</v>
      </c>
      <c r="C207" s="138"/>
      <c r="D207" s="151" t="s">
        <v>680</v>
      </c>
      <c r="E207" s="139">
        <f>E208</f>
        <v>0</v>
      </c>
      <c r="F207" s="139">
        <f t="shared" ref="F207:P207" si="217">F208</f>
        <v>0</v>
      </c>
      <c r="G207" s="139">
        <f t="shared" si="217"/>
        <v>0</v>
      </c>
      <c r="H207" s="139">
        <f t="shared" si="217"/>
        <v>0</v>
      </c>
      <c r="I207" s="139">
        <f t="shared" si="217"/>
        <v>0</v>
      </c>
      <c r="J207" s="139">
        <f t="shared" si="217"/>
        <v>0</v>
      </c>
      <c r="K207" s="139">
        <f t="shared" si="217"/>
        <v>0</v>
      </c>
      <c r="L207" s="139">
        <f t="shared" si="217"/>
        <v>0</v>
      </c>
      <c r="M207" s="139">
        <f t="shared" si="217"/>
        <v>0</v>
      </c>
      <c r="N207" s="139">
        <f t="shared" si="217"/>
        <v>0</v>
      </c>
      <c r="O207" s="139">
        <f t="shared" si="217"/>
        <v>0</v>
      </c>
      <c r="P207" s="139">
        <f t="shared" si="217"/>
        <v>0</v>
      </c>
      <c r="Q207" s="20"/>
      <c r="R207" s="46"/>
    </row>
    <row r="208" spans="1:18" ht="184.5" hidden="1" thickTop="1" thickBot="1" x14ac:dyDescent="0.7">
      <c r="A208" s="770" t="s">
        <v>418</v>
      </c>
      <c r="B208" s="770" t="s">
        <v>335</v>
      </c>
      <c r="C208" s="770" t="s">
        <v>169</v>
      </c>
      <c r="D208" s="152" t="s">
        <v>435</v>
      </c>
      <c r="E208" s="765">
        <f t="shared" si="162"/>
        <v>0</v>
      </c>
      <c r="F208" s="755"/>
      <c r="G208" s="755"/>
      <c r="H208" s="755"/>
      <c r="I208" s="755"/>
      <c r="J208" s="765">
        <f t="shared" si="201"/>
        <v>0</v>
      </c>
      <c r="K208" s="755"/>
      <c r="L208" s="755"/>
      <c r="M208" s="755"/>
      <c r="N208" s="755"/>
      <c r="O208" s="807">
        <f t="shared" si="203"/>
        <v>0</v>
      </c>
      <c r="P208" s="805">
        <f t="shared" si="202"/>
        <v>0</v>
      </c>
      <c r="Q208" s="20"/>
      <c r="R208" s="50"/>
    </row>
    <row r="209" spans="1:18" ht="93" hidden="1" thickTop="1" thickBot="1" x14ac:dyDescent="0.25">
      <c r="A209" s="766"/>
      <c r="B209" s="771"/>
      <c r="C209" s="766"/>
      <c r="D209" s="153" t="s">
        <v>436</v>
      </c>
      <c r="E209" s="766"/>
      <c r="F209" s="756"/>
      <c r="G209" s="756"/>
      <c r="H209" s="756"/>
      <c r="I209" s="756"/>
      <c r="J209" s="766"/>
      <c r="K209" s="766"/>
      <c r="L209" s="756"/>
      <c r="M209" s="756"/>
      <c r="N209" s="756"/>
      <c r="O209" s="808"/>
      <c r="P209" s="809"/>
      <c r="Q209" s="20"/>
      <c r="R209" s="50"/>
    </row>
    <row r="210" spans="1:18" ht="120" customHeight="1" thickTop="1" thickBot="1" x14ac:dyDescent="0.25">
      <c r="A210" s="624">
        <v>1000000</v>
      </c>
      <c r="B210" s="624"/>
      <c r="C210" s="624"/>
      <c r="D210" s="625" t="s">
        <v>24</v>
      </c>
      <c r="E210" s="626">
        <f>E211</f>
        <v>180209134</v>
      </c>
      <c r="F210" s="627">
        <f t="shared" ref="F210:G210" si="218">F211</f>
        <v>180209134</v>
      </c>
      <c r="G210" s="627">
        <f t="shared" si="218"/>
        <v>130255727</v>
      </c>
      <c r="H210" s="627">
        <f>H211</f>
        <v>8706450</v>
      </c>
      <c r="I210" s="627">
        <f>I211</f>
        <v>0</v>
      </c>
      <c r="J210" s="626">
        <f>J211</f>
        <v>13267876</v>
      </c>
      <c r="K210" s="627">
        <f>K211</f>
        <v>916076</v>
      </c>
      <c r="L210" s="627">
        <f>L211</f>
        <v>11983500</v>
      </c>
      <c r="M210" s="627">
        <f t="shared" ref="M210" si="219">M211</f>
        <v>8781040</v>
      </c>
      <c r="N210" s="627">
        <f>N211</f>
        <v>330880</v>
      </c>
      <c r="O210" s="626">
        <f>O211</f>
        <v>1284376</v>
      </c>
      <c r="P210" s="627">
        <f t="shared" ref="P210" si="220">P211</f>
        <v>193477010</v>
      </c>
      <c r="Q210" s="20"/>
    </row>
    <row r="211" spans="1:18" ht="120" customHeight="1" thickTop="1" thickBot="1" x14ac:dyDescent="0.25">
      <c r="A211" s="588">
        <v>1010000</v>
      </c>
      <c r="B211" s="588"/>
      <c r="C211" s="588"/>
      <c r="D211" s="589" t="s">
        <v>39</v>
      </c>
      <c r="E211" s="590">
        <f>E212+E214+E228+E222</f>
        <v>180209134</v>
      </c>
      <c r="F211" s="590">
        <f>F212+F214+F228+F222</f>
        <v>180209134</v>
      </c>
      <c r="G211" s="590">
        <f>G212+G214+G228+G222</f>
        <v>130255727</v>
      </c>
      <c r="H211" s="590">
        <f>H212+H214+H228+H222</f>
        <v>8706450</v>
      </c>
      <c r="I211" s="590">
        <f>I212+I214+I228+I222</f>
        <v>0</v>
      </c>
      <c r="J211" s="590">
        <f t="shared" ref="J211:J221" si="221">L211+O211</f>
        <v>13267876</v>
      </c>
      <c r="K211" s="590">
        <f>K212+K214+K228+K222</f>
        <v>916076</v>
      </c>
      <c r="L211" s="590">
        <f>L212+L214+L228+L222</f>
        <v>11983500</v>
      </c>
      <c r="M211" s="590">
        <f>M212+M214+M228+M222</f>
        <v>8781040</v>
      </c>
      <c r="N211" s="590">
        <f>N212+N214+N228+N222</f>
        <v>330880</v>
      </c>
      <c r="O211" s="590">
        <f>O212+O214+O228+O222</f>
        <v>1284376</v>
      </c>
      <c r="P211" s="590">
        <f t="shared" ref="P211:P221" si="222">E211+J211</f>
        <v>193477010</v>
      </c>
      <c r="Q211" s="452" t="b">
        <f>P211=P213+P215+P216+P217+P220+P221+P225</f>
        <v>1</v>
      </c>
      <c r="R211" s="46"/>
    </row>
    <row r="212" spans="1:18" ht="63" customHeight="1" thickTop="1" thickBot="1" x14ac:dyDescent="0.25">
      <c r="A212" s="298" t="s">
        <v>740</v>
      </c>
      <c r="B212" s="298" t="s">
        <v>695</v>
      </c>
      <c r="C212" s="298"/>
      <c r="D212" s="298" t="s">
        <v>696</v>
      </c>
      <c r="E212" s="310">
        <f>E213</f>
        <v>98466979</v>
      </c>
      <c r="F212" s="310">
        <f t="shared" ref="F212:P212" si="223">F213</f>
        <v>98466979</v>
      </c>
      <c r="G212" s="310">
        <f t="shared" si="223"/>
        <v>75738798</v>
      </c>
      <c r="H212" s="310">
        <f t="shared" si="223"/>
        <v>4813455</v>
      </c>
      <c r="I212" s="310">
        <f t="shared" si="223"/>
        <v>0</v>
      </c>
      <c r="J212" s="310">
        <f t="shared" si="223"/>
        <v>11189135</v>
      </c>
      <c r="K212" s="310">
        <f t="shared" si="223"/>
        <v>80175</v>
      </c>
      <c r="L212" s="310">
        <f t="shared" si="223"/>
        <v>10949260</v>
      </c>
      <c r="M212" s="310">
        <f t="shared" si="223"/>
        <v>8313040</v>
      </c>
      <c r="N212" s="310">
        <f t="shared" si="223"/>
        <v>261910</v>
      </c>
      <c r="O212" s="310">
        <f t="shared" si="223"/>
        <v>239875</v>
      </c>
      <c r="P212" s="310">
        <f t="shared" si="223"/>
        <v>109656114</v>
      </c>
      <c r="Q212" s="47"/>
      <c r="R212" s="46"/>
    </row>
    <row r="213" spans="1:18" ht="66.75" customHeight="1" thickTop="1" thickBot="1" x14ac:dyDescent="0.25">
      <c r="A213" s="101" t="s">
        <v>627</v>
      </c>
      <c r="B213" s="101" t="s">
        <v>628</v>
      </c>
      <c r="C213" s="101" t="s">
        <v>180</v>
      </c>
      <c r="D213" s="101" t="s">
        <v>1083</v>
      </c>
      <c r="E213" s="310">
        <f>F213</f>
        <v>98466979</v>
      </c>
      <c r="F213" s="425">
        <f>(((93548990)+59500)+557259-80175)+4381405</f>
        <v>98466979</v>
      </c>
      <c r="G213" s="425">
        <f>((71756430)+391050)+3591318</f>
        <v>75738798</v>
      </c>
      <c r="H213" s="425">
        <f>3957440+51430+621275+130700+52610</f>
        <v>4813455</v>
      </c>
      <c r="I213" s="425"/>
      <c r="J213" s="310">
        <f t="shared" si="221"/>
        <v>11189135</v>
      </c>
      <c r="K213" s="425">
        <f>(0)+80175</f>
        <v>80175</v>
      </c>
      <c r="L213" s="425">
        <v>10949260</v>
      </c>
      <c r="M213" s="425">
        <v>8313040</v>
      </c>
      <c r="N213" s="425">
        <v>261910</v>
      </c>
      <c r="O213" s="422">
        <f>(K213+159700)</f>
        <v>239875</v>
      </c>
      <c r="P213" s="310">
        <f t="shared" si="222"/>
        <v>109656114</v>
      </c>
      <c r="Q213" s="20"/>
      <c r="R213" s="46"/>
    </row>
    <row r="214" spans="1:18" s="24" customFormat="1" ht="63" customHeight="1" thickTop="1" thickBot="1" x14ac:dyDescent="0.25">
      <c r="A214" s="298" t="s">
        <v>741</v>
      </c>
      <c r="B214" s="298" t="s">
        <v>742</v>
      </c>
      <c r="C214" s="298"/>
      <c r="D214" s="298" t="s">
        <v>743</v>
      </c>
      <c r="E214" s="310">
        <f t="shared" ref="E214:P214" si="224">SUM(E215:E221)-E219</f>
        <v>80365480</v>
      </c>
      <c r="F214" s="310">
        <f t="shared" si="224"/>
        <v>80365480</v>
      </c>
      <c r="G214" s="310">
        <f t="shared" si="224"/>
        <v>54516929</v>
      </c>
      <c r="H214" s="310">
        <f t="shared" si="224"/>
        <v>3892995</v>
      </c>
      <c r="I214" s="310">
        <f t="shared" si="224"/>
        <v>0</v>
      </c>
      <c r="J214" s="310">
        <f t="shared" si="224"/>
        <v>2078741</v>
      </c>
      <c r="K214" s="310">
        <f t="shared" si="224"/>
        <v>835901</v>
      </c>
      <c r="L214" s="310">
        <f t="shared" si="224"/>
        <v>1034240</v>
      </c>
      <c r="M214" s="310">
        <f t="shared" si="224"/>
        <v>468000</v>
      </c>
      <c r="N214" s="310">
        <f t="shared" si="224"/>
        <v>68970</v>
      </c>
      <c r="O214" s="310">
        <f t="shared" si="224"/>
        <v>1044501</v>
      </c>
      <c r="P214" s="310">
        <f t="shared" si="224"/>
        <v>82444221</v>
      </c>
      <c r="Q214" s="25"/>
      <c r="R214" s="50"/>
    </row>
    <row r="215" spans="1:18" ht="66.75" customHeight="1" thickTop="1" thickBot="1" x14ac:dyDescent="0.25">
      <c r="A215" s="101" t="s">
        <v>171</v>
      </c>
      <c r="B215" s="101" t="s">
        <v>172</v>
      </c>
      <c r="C215" s="101" t="s">
        <v>173</v>
      </c>
      <c r="D215" s="101" t="s">
        <v>174</v>
      </c>
      <c r="E215" s="310">
        <f t="shared" ref="E215:E217" si="225">F215</f>
        <v>19613886</v>
      </c>
      <c r="F215" s="425">
        <f>((18367742)+40000)+957944+248200</f>
        <v>19613886</v>
      </c>
      <c r="G215" s="425">
        <f>(13222210)+785200</f>
        <v>14007410</v>
      </c>
      <c r="H215" s="425">
        <f>936420+15590+217910+30390+23720</f>
        <v>1224030</v>
      </c>
      <c r="I215" s="425"/>
      <c r="J215" s="310">
        <f t="shared" si="221"/>
        <v>811800</v>
      </c>
      <c r="K215" s="425">
        <f>(0)+500000+101800</f>
        <v>601800</v>
      </c>
      <c r="L215" s="425">
        <v>165000</v>
      </c>
      <c r="M215" s="425">
        <v>40000</v>
      </c>
      <c r="N215" s="425">
        <v>23300</v>
      </c>
      <c r="O215" s="422">
        <f>K215+45000</f>
        <v>646800</v>
      </c>
      <c r="P215" s="310">
        <f t="shared" si="222"/>
        <v>20425686</v>
      </c>
      <c r="Q215" s="20"/>
      <c r="R215" s="46"/>
    </row>
    <row r="216" spans="1:18" ht="66.75" customHeight="1" thickTop="1" thickBot="1" x14ac:dyDescent="0.25">
      <c r="A216" s="101" t="s">
        <v>175</v>
      </c>
      <c r="B216" s="101" t="s">
        <v>176</v>
      </c>
      <c r="C216" s="101" t="s">
        <v>173</v>
      </c>
      <c r="D216" s="101" t="s">
        <v>458</v>
      </c>
      <c r="E216" s="310">
        <f t="shared" si="225"/>
        <v>2965362</v>
      </c>
      <c r="F216" s="425">
        <f>(2851170)+114192</f>
        <v>2965362</v>
      </c>
      <c r="G216" s="425">
        <f>(1844800)+93600</f>
        <v>1938400</v>
      </c>
      <c r="H216" s="425">
        <f>350640+7600+160900+3990</f>
        <v>523130</v>
      </c>
      <c r="I216" s="425"/>
      <c r="J216" s="310">
        <f t="shared" si="221"/>
        <v>125600</v>
      </c>
      <c r="K216" s="425"/>
      <c r="L216" s="425">
        <v>125600</v>
      </c>
      <c r="M216" s="425">
        <v>22100</v>
      </c>
      <c r="N216" s="425">
        <v>5700</v>
      </c>
      <c r="O216" s="422">
        <f t="shared" ref="O216:O221" si="226">K216</f>
        <v>0</v>
      </c>
      <c r="P216" s="310">
        <f t="shared" si="222"/>
        <v>3090962</v>
      </c>
      <c r="Q216" s="20"/>
      <c r="R216" s="46"/>
    </row>
    <row r="217" spans="1:18" ht="118.5" customHeight="1" thickTop="1" thickBot="1" x14ac:dyDescent="0.25">
      <c r="A217" s="101" t="s">
        <v>177</v>
      </c>
      <c r="B217" s="101" t="s">
        <v>170</v>
      </c>
      <c r="C217" s="101" t="s">
        <v>178</v>
      </c>
      <c r="D217" s="101" t="s">
        <v>179</v>
      </c>
      <c r="E217" s="310">
        <f t="shared" si="225"/>
        <v>23084415</v>
      </c>
      <c r="F217" s="425">
        <f>((21605273)+390480)+1088662</f>
        <v>23084415</v>
      </c>
      <c r="G217" s="425">
        <f>(15142100)+691600</f>
        <v>15833700</v>
      </c>
      <c r="H217" s="425">
        <f>1001090+17600+901975+92400+45410</f>
        <v>2058475</v>
      </c>
      <c r="I217" s="425"/>
      <c r="J217" s="310">
        <f t="shared" si="221"/>
        <v>771950</v>
      </c>
      <c r="K217" s="425">
        <v>48710</v>
      </c>
      <c r="L217" s="425">
        <v>643640</v>
      </c>
      <c r="M217" s="425">
        <v>395000</v>
      </c>
      <c r="N217" s="425">
        <v>39970</v>
      </c>
      <c r="O217" s="422">
        <f>(K217+79600)</f>
        <v>128310</v>
      </c>
      <c r="P217" s="310">
        <f t="shared" si="222"/>
        <v>23856365</v>
      </c>
      <c r="Q217" s="20"/>
      <c r="R217" s="46"/>
    </row>
    <row r="218" spans="1:18" ht="48" hidden="1" thickTop="1" thickBot="1" x14ac:dyDescent="0.25">
      <c r="A218" s="126" t="s">
        <v>1153</v>
      </c>
      <c r="B218" s="126" t="s">
        <v>1154</v>
      </c>
      <c r="C218" s="126" t="s">
        <v>1156</v>
      </c>
      <c r="D218" s="126" t="s">
        <v>1155</v>
      </c>
      <c r="E218" s="125">
        <f t="shared" ref="E218" si="227">F218</f>
        <v>0</v>
      </c>
      <c r="F218" s="132"/>
      <c r="G218" s="132"/>
      <c r="H218" s="132"/>
      <c r="I218" s="132"/>
      <c r="J218" s="125">
        <f t="shared" ref="J218" si="228">L218+O218</f>
        <v>0</v>
      </c>
      <c r="K218" s="132"/>
      <c r="L218" s="132"/>
      <c r="M218" s="132"/>
      <c r="N218" s="132"/>
      <c r="O218" s="130">
        <f>(K218)</f>
        <v>0</v>
      </c>
      <c r="P218" s="125">
        <f t="shared" ref="P218" si="229">E218+J218</f>
        <v>0</v>
      </c>
      <c r="Q218" s="20"/>
      <c r="R218" s="46"/>
    </row>
    <row r="219" spans="1:18" ht="63.75" customHeight="1" thickTop="1" thickBot="1" x14ac:dyDescent="0.25">
      <c r="A219" s="598" t="s">
        <v>744</v>
      </c>
      <c r="B219" s="598" t="s">
        <v>745</v>
      </c>
      <c r="C219" s="598"/>
      <c r="D219" s="598" t="s">
        <v>746</v>
      </c>
      <c r="E219" s="599">
        <f>SUM(E220:E221)</f>
        <v>34701817</v>
      </c>
      <c r="F219" s="599">
        <f t="shared" ref="F219:P219" si="230">SUM(F220:F221)</f>
        <v>34701817</v>
      </c>
      <c r="G219" s="599">
        <f t="shared" si="230"/>
        <v>22737419</v>
      </c>
      <c r="H219" s="599">
        <f t="shared" si="230"/>
        <v>87360</v>
      </c>
      <c r="I219" s="599">
        <f t="shared" si="230"/>
        <v>0</v>
      </c>
      <c r="J219" s="599">
        <f t="shared" si="230"/>
        <v>369391</v>
      </c>
      <c r="K219" s="599">
        <f t="shared" si="230"/>
        <v>185391</v>
      </c>
      <c r="L219" s="599">
        <f t="shared" si="230"/>
        <v>100000</v>
      </c>
      <c r="M219" s="599">
        <f t="shared" si="230"/>
        <v>10900</v>
      </c>
      <c r="N219" s="599">
        <f t="shared" si="230"/>
        <v>0</v>
      </c>
      <c r="O219" s="599">
        <f t="shared" si="230"/>
        <v>269391</v>
      </c>
      <c r="P219" s="599">
        <f t="shared" si="230"/>
        <v>35071208</v>
      </c>
      <c r="Q219" s="20"/>
      <c r="R219" s="46"/>
    </row>
    <row r="220" spans="1:18" ht="66.75" customHeight="1" thickTop="1" thickBot="1" x14ac:dyDescent="0.25">
      <c r="A220" s="101" t="s">
        <v>330</v>
      </c>
      <c r="B220" s="101" t="s">
        <v>331</v>
      </c>
      <c r="C220" s="101" t="s">
        <v>181</v>
      </c>
      <c r="D220" s="101" t="s">
        <v>459</v>
      </c>
      <c r="E220" s="310">
        <f>F220</f>
        <v>29929817</v>
      </c>
      <c r="F220" s="425">
        <f>(28822789)+1107028</f>
        <v>29929817</v>
      </c>
      <c r="G220" s="425">
        <f>(21830019)+907400</f>
        <v>22737419</v>
      </c>
      <c r="H220" s="425">
        <f>78870+8250+240</f>
        <v>87360</v>
      </c>
      <c r="I220" s="425"/>
      <c r="J220" s="310">
        <f t="shared" si="221"/>
        <v>184000</v>
      </c>
      <c r="K220" s="425"/>
      <c r="L220" s="425">
        <v>100000</v>
      </c>
      <c r="M220" s="425">
        <v>10900</v>
      </c>
      <c r="N220" s="425"/>
      <c r="O220" s="422">
        <f>(K220+84000)</f>
        <v>84000</v>
      </c>
      <c r="P220" s="310">
        <f t="shared" si="222"/>
        <v>30113817</v>
      </c>
      <c r="Q220" s="20"/>
      <c r="R220" s="46"/>
    </row>
    <row r="221" spans="1:18" ht="72.75" customHeight="1" thickTop="1" thickBot="1" x14ac:dyDescent="0.25">
      <c r="A221" s="101" t="s">
        <v>332</v>
      </c>
      <c r="B221" s="101" t="s">
        <v>333</v>
      </c>
      <c r="C221" s="101" t="s">
        <v>181</v>
      </c>
      <c r="D221" s="101" t="s">
        <v>460</v>
      </c>
      <c r="E221" s="310">
        <f>F221</f>
        <v>4772000</v>
      </c>
      <c r="F221" s="425">
        <f>4903591-131591</f>
        <v>4772000</v>
      </c>
      <c r="G221" s="425"/>
      <c r="H221" s="425"/>
      <c r="I221" s="425"/>
      <c r="J221" s="310">
        <f t="shared" si="221"/>
        <v>185391</v>
      </c>
      <c r="K221" s="425">
        <f>(131591)+53800</f>
        <v>185391</v>
      </c>
      <c r="L221" s="425"/>
      <c r="M221" s="425"/>
      <c r="N221" s="425"/>
      <c r="O221" s="422">
        <f t="shared" si="226"/>
        <v>185391</v>
      </c>
      <c r="P221" s="310">
        <f t="shared" si="222"/>
        <v>4957391</v>
      </c>
      <c r="Q221" s="20"/>
      <c r="R221" s="50"/>
    </row>
    <row r="222" spans="1:18" ht="69" customHeight="1" thickTop="1" thickBot="1" x14ac:dyDescent="0.25">
      <c r="A222" s="298" t="s">
        <v>897</v>
      </c>
      <c r="B222" s="298" t="s">
        <v>735</v>
      </c>
      <c r="C222" s="298"/>
      <c r="D222" s="298" t="s">
        <v>736</v>
      </c>
      <c r="E222" s="310">
        <f>SUM(E223)</f>
        <v>1376675</v>
      </c>
      <c r="F222" s="310">
        <f t="shared" ref="F222:P222" si="231">SUM(F223)</f>
        <v>1376675</v>
      </c>
      <c r="G222" s="310">
        <f t="shared" si="231"/>
        <v>0</v>
      </c>
      <c r="H222" s="310">
        <f t="shared" si="231"/>
        <v>0</v>
      </c>
      <c r="I222" s="310">
        <f t="shared" si="231"/>
        <v>0</v>
      </c>
      <c r="J222" s="310">
        <f t="shared" si="231"/>
        <v>0</v>
      </c>
      <c r="K222" s="310">
        <f t="shared" si="231"/>
        <v>0</v>
      </c>
      <c r="L222" s="310">
        <f t="shared" si="231"/>
        <v>0</v>
      </c>
      <c r="M222" s="310">
        <f t="shared" si="231"/>
        <v>0</v>
      </c>
      <c r="N222" s="310">
        <f t="shared" si="231"/>
        <v>0</v>
      </c>
      <c r="O222" s="310">
        <f t="shared" si="231"/>
        <v>0</v>
      </c>
      <c r="P222" s="310">
        <f t="shared" si="231"/>
        <v>1376675</v>
      </c>
      <c r="Q222" s="20"/>
      <c r="R222" s="50"/>
    </row>
    <row r="223" spans="1:18" ht="69" customHeight="1" thickTop="1" thickBot="1" x14ac:dyDescent="0.25">
      <c r="A223" s="593" t="s">
        <v>898</v>
      </c>
      <c r="B223" s="593" t="s">
        <v>679</v>
      </c>
      <c r="C223" s="593"/>
      <c r="D223" s="593" t="s">
        <v>677</v>
      </c>
      <c r="E223" s="595">
        <f>E224+E227+E226</f>
        <v>1376675</v>
      </c>
      <c r="F223" s="595">
        <f t="shared" ref="F223:P223" si="232">F224+F227+F226</f>
        <v>1376675</v>
      </c>
      <c r="G223" s="595">
        <f t="shared" si="232"/>
        <v>0</v>
      </c>
      <c r="H223" s="595">
        <f t="shared" si="232"/>
        <v>0</v>
      </c>
      <c r="I223" s="595">
        <f t="shared" si="232"/>
        <v>0</v>
      </c>
      <c r="J223" s="595">
        <f t="shared" si="232"/>
        <v>0</v>
      </c>
      <c r="K223" s="595">
        <f t="shared" si="232"/>
        <v>0</v>
      </c>
      <c r="L223" s="595">
        <f t="shared" si="232"/>
        <v>0</v>
      </c>
      <c r="M223" s="595">
        <f t="shared" si="232"/>
        <v>0</v>
      </c>
      <c r="N223" s="595">
        <f t="shared" si="232"/>
        <v>0</v>
      </c>
      <c r="O223" s="595">
        <f t="shared" si="232"/>
        <v>0</v>
      </c>
      <c r="P223" s="595">
        <f t="shared" si="232"/>
        <v>1376675</v>
      </c>
      <c r="Q223" s="20"/>
      <c r="R223" s="50"/>
    </row>
    <row r="224" spans="1:18" ht="66.75" customHeight="1" thickTop="1" thickBot="1" x14ac:dyDescent="0.25">
      <c r="A224" s="598" t="s">
        <v>1000</v>
      </c>
      <c r="B224" s="598" t="s">
        <v>1001</v>
      </c>
      <c r="C224" s="598"/>
      <c r="D224" s="598" t="s">
        <v>999</v>
      </c>
      <c r="E224" s="599">
        <f>E225</f>
        <v>1376675</v>
      </c>
      <c r="F224" s="599">
        <f t="shared" ref="F224:P224" si="233">F225</f>
        <v>1376675</v>
      </c>
      <c r="G224" s="599">
        <f t="shared" si="233"/>
        <v>0</v>
      </c>
      <c r="H224" s="599">
        <f t="shared" si="233"/>
        <v>0</v>
      </c>
      <c r="I224" s="599">
        <f t="shared" si="233"/>
        <v>0</v>
      </c>
      <c r="J224" s="599">
        <f t="shared" si="233"/>
        <v>0</v>
      </c>
      <c r="K224" s="599">
        <f t="shared" si="233"/>
        <v>0</v>
      </c>
      <c r="L224" s="599">
        <f t="shared" si="233"/>
        <v>0</v>
      </c>
      <c r="M224" s="599">
        <f t="shared" si="233"/>
        <v>0</v>
      </c>
      <c r="N224" s="599">
        <f t="shared" si="233"/>
        <v>0</v>
      </c>
      <c r="O224" s="599">
        <f t="shared" si="233"/>
        <v>0</v>
      </c>
      <c r="P224" s="599">
        <f t="shared" si="233"/>
        <v>1376675</v>
      </c>
      <c r="Q224" s="20"/>
      <c r="R224" s="50"/>
    </row>
    <row r="225" spans="1:18" ht="76.7" customHeight="1" thickTop="1" thickBot="1" x14ac:dyDescent="0.25">
      <c r="A225" s="101" t="s">
        <v>1003</v>
      </c>
      <c r="B225" s="101" t="s">
        <v>1004</v>
      </c>
      <c r="C225" s="101" t="s">
        <v>212</v>
      </c>
      <c r="D225" s="101" t="s">
        <v>1002</v>
      </c>
      <c r="E225" s="310">
        <f>F225</f>
        <v>1376675</v>
      </c>
      <c r="F225" s="425">
        <f>((1026850)+286940)+62885</f>
        <v>1376675</v>
      </c>
      <c r="G225" s="425"/>
      <c r="H225" s="425"/>
      <c r="I225" s="425"/>
      <c r="J225" s="310">
        <f>L225+O225</f>
        <v>0</v>
      </c>
      <c r="K225" s="425"/>
      <c r="L225" s="425"/>
      <c r="M225" s="425"/>
      <c r="N225" s="425"/>
      <c r="O225" s="422">
        <f>K225</f>
        <v>0</v>
      </c>
      <c r="P225" s="310">
        <f>E225+J225</f>
        <v>1376675</v>
      </c>
      <c r="Q225" s="20"/>
      <c r="R225" s="50"/>
    </row>
    <row r="226" spans="1:18" ht="48" hidden="1" thickTop="1" thickBot="1" x14ac:dyDescent="0.25">
      <c r="A226" s="126" t="s">
        <v>1222</v>
      </c>
      <c r="B226" s="126" t="s">
        <v>211</v>
      </c>
      <c r="C226" s="126" t="s">
        <v>212</v>
      </c>
      <c r="D226" s="126" t="s">
        <v>41</v>
      </c>
      <c r="E226" s="125">
        <f t="shared" ref="E226" si="234">F226</f>
        <v>0</v>
      </c>
      <c r="F226" s="132"/>
      <c r="G226" s="132"/>
      <c r="H226" s="132"/>
      <c r="I226" s="132"/>
      <c r="J226" s="125">
        <f>L226+O226</f>
        <v>0</v>
      </c>
      <c r="K226" s="132"/>
      <c r="L226" s="132"/>
      <c r="M226" s="132"/>
      <c r="N226" s="132"/>
      <c r="O226" s="130">
        <f>K226</f>
        <v>0</v>
      </c>
      <c r="P226" s="125">
        <f>E226+J226</f>
        <v>0</v>
      </c>
      <c r="Q226" s="20"/>
      <c r="R226" s="50"/>
    </row>
    <row r="227" spans="1:18" ht="48" hidden="1" thickTop="1" thickBot="1" x14ac:dyDescent="0.25">
      <c r="A227" s="126" t="s">
        <v>899</v>
      </c>
      <c r="B227" s="126" t="s">
        <v>196</v>
      </c>
      <c r="C227" s="126" t="s">
        <v>169</v>
      </c>
      <c r="D227" s="126" t="s">
        <v>34</v>
      </c>
      <c r="E227" s="125">
        <f t="shared" ref="E227" si="235">F227</f>
        <v>0</v>
      </c>
      <c r="F227" s="132"/>
      <c r="G227" s="132"/>
      <c r="H227" s="132"/>
      <c r="I227" s="132"/>
      <c r="J227" s="125">
        <f t="shared" ref="J227" si="236">L227+O227</f>
        <v>0</v>
      </c>
      <c r="K227" s="132"/>
      <c r="L227" s="132"/>
      <c r="M227" s="132"/>
      <c r="N227" s="132"/>
      <c r="O227" s="130">
        <f t="shared" ref="O227" si="237">K227</f>
        <v>0</v>
      </c>
      <c r="P227" s="125">
        <f t="shared" ref="P227" si="238">E227+J227</f>
        <v>0</v>
      </c>
      <c r="Q227" s="20"/>
      <c r="R227" s="46"/>
    </row>
    <row r="228" spans="1:18" ht="47.25" hidden="1" thickTop="1" thickBot="1" x14ac:dyDescent="0.25">
      <c r="A228" s="144" t="s">
        <v>747</v>
      </c>
      <c r="B228" s="144" t="s">
        <v>689</v>
      </c>
      <c r="C228" s="144"/>
      <c r="D228" s="144" t="s">
        <v>690</v>
      </c>
      <c r="E228" s="42">
        <f>E229</f>
        <v>0</v>
      </c>
      <c r="F228" s="42">
        <f t="shared" ref="F228:P229" si="239">F229</f>
        <v>0</v>
      </c>
      <c r="G228" s="42">
        <f t="shared" si="239"/>
        <v>0</v>
      </c>
      <c r="H228" s="42">
        <f t="shared" si="239"/>
        <v>0</v>
      </c>
      <c r="I228" s="42">
        <f t="shared" si="239"/>
        <v>0</v>
      </c>
      <c r="J228" s="42">
        <f t="shared" si="239"/>
        <v>0</v>
      </c>
      <c r="K228" s="42">
        <f t="shared" si="239"/>
        <v>0</v>
      </c>
      <c r="L228" s="42">
        <f t="shared" si="239"/>
        <v>0</v>
      </c>
      <c r="M228" s="42">
        <f t="shared" si="239"/>
        <v>0</v>
      </c>
      <c r="N228" s="42">
        <f t="shared" si="239"/>
        <v>0</v>
      </c>
      <c r="O228" s="42">
        <f t="shared" si="239"/>
        <v>0</v>
      </c>
      <c r="P228" s="42">
        <f t="shared" si="239"/>
        <v>0</v>
      </c>
      <c r="Q228" s="20"/>
      <c r="R228" s="50"/>
    </row>
    <row r="229" spans="1:18" ht="91.5" hidden="1" thickTop="1" thickBot="1" x14ac:dyDescent="0.25">
      <c r="A229" s="145" t="s">
        <v>748</v>
      </c>
      <c r="B229" s="145" t="s">
        <v>692</v>
      </c>
      <c r="C229" s="145"/>
      <c r="D229" s="145" t="s">
        <v>693</v>
      </c>
      <c r="E229" s="146">
        <f>E230</f>
        <v>0</v>
      </c>
      <c r="F229" s="146">
        <f t="shared" si="239"/>
        <v>0</v>
      </c>
      <c r="G229" s="146">
        <f t="shared" si="239"/>
        <v>0</v>
      </c>
      <c r="H229" s="146">
        <f t="shared" si="239"/>
        <v>0</v>
      </c>
      <c r="I229" s="146">
        <f t="shared" si="239"/>
        <v>0</v>
      </c>
      <c r="J229" s="146">
        <f t="shared" si="239"/>
        <v>0</v>
      </c>
      <c r="K229" s="146">
        <f t="shared" si="239"/>
        <v>0</v>
      </c>
      <c r="L229" s="146">
        <f t="shared" si="239"/>
        <v>0</v>
      </c>
      <c r="M229" s="146">
        <f t="shared" si="239"/>
        <v>0</v>
      </c>
      <c r="N229" s="146">
        <f t="shared" si="239"/>
        <v>0</v>
      </c>
      <c r="O229" s="146">
        <f t="shared" si="239"/>
        <v>0</v>
      </c>
      <c r="P229" s="146">
        <f t="shared" si="239"/>
        <v>0</v>
      </c>
      <c r="Q229" s="20"/>
      <c r="R229" s="50"/>
    </row>
    <row r="230" spans="1:18" ht="48" hidden="1" thickTop="1" thickBot="1" x14ac:dyDescent="0.25">
      <c r="A230" s="41" t="s">
        <v>578</v>
      </c>
      <c r="B230" s="41" t="s">
        <v>359</v>
      </c>
      <c r="C230" s="41" t="s">
        <v>43</v>
      </c>
      <c r="D230" s="41" t="s">
        <v>360</v>
      </c>
      <c r="E230" s="42">
        <f t="shared" ref="E230" si="240">F230</f>
        <v>0</v>
      </c>
      <c r="F230" s="43">
        <v>0</v>
      </c>
      <c r="G230" s="43"/>
      <c r="H230" s="43"/>
      <c r="I230" s="43"/>
      <c r="J230" s="42">
        <f>L230+O230</f>
        <v>0</v>
      </c>
      <c r="K230" s="43"/>
      <c r="L230" s="43"/>
      <c r="M230" s="43"/>
      <c r="N230" s="43"/>
      <c r="O230" s="44">
        <f>K230</f>
        <v>0</v>
      </c>
      <c r="P230" s="42">
        <f>E230+J230</f>
        <v>0</v>
      </c>
      <c r="Q230" s="20"/>
      <c r="R230" s="50"/>
    </row>
    <row r="231" spans="1:18" ht="120" customHeight="1" thickTop="1" thickBot="1" x14ac:dyDescent="0.25">
      <c r="A231" s="624" t="s">
        <v>22</v>
      </c>
      <c r="B231" s="624"/>
      <c r="C231" s="624"/>
      <c r="D231" s="625" t="s">
        <v>23</v>
      </c>
      <c r="E231" s="626">
        <f>E232</f>
        <v>145278714</v>
      </c>
      <c r="F231" s="627">
        <f t="shared" ref="F231:G231" si="241">F232</f>
        <v>145278714</v>
      </c>
      <c r="G231" s="627">
        <f t="shared" si="241"/>
        <v>56138942</v>
      </c>
      <c r="H231" s="627">
        <f>H232</f>
        <v>4639939</v>
      </c>
      <c r="I231" s="627">
        <f t="shared" ref="I231" si="242">I232</f>
        <v>0</v>
      </c>
      <c r="J231" s="626">
        <f>J232</f>
        <v>7101604</v>
      </c>
      <c r="K231" s="627">
        <f>K232</f>
        <v>4811889</v>
      </c>
      <c r="L231" s="627">
        <f>L232</f>
        <v>2263715</v>
      </c>
      <c r="M231" s="627">
        <f t="shared" ref="M231" si="243">M232</f>
        <v>891107</v>
      </c>
      <c r="N231" s="627">
        <f>N232</f>
        <v>527653</v>
      </c>
      <c r="O231" s="626">
        <f>O232</f>
        <v>4837889</v>
      </c>
      <c r="P231" s="627">
        <f t="shared" ref="P231" si="244">P232</f>
        <v>152380318</v>
      </c>
      <c r="Q231" s="20"/>
    </row>
    <row r="232" spans="1:18" ht="120" customHeight="1" thickTop="1" thickBot="1" x14ac:dyDescent="0.25">
      <c r="A232" s="588" t="s">
        <v>21</v>
      </c>
      <c r="B232" s="588"/>
      <c r="C232" s="588"/>
      <c r="D232" s="589" t="s">
        <v>35</v>
      </c>
      <c r="E232" s="590">
        <f>E233+E239+E255+E258+E265</f>
        <v>145278714</v>
      </c>
      <c r="F232" s="590">
        <f>F233+F239+F255+F258+F265</f>
        <v>145278714</v>
      </c>
      <c r="G232" s="590">
        <f>G233+G239+G255+G258+G265</f>
        <v>56138942</v>
      </c>
      <c r="H232" s="590">
        <f>H233+H239+H255+H258+H265</f>
        <v>4639939</v>
      </c>
      <c r="I232" s="590">
        <f>I233+I239+I255+I258+I265</f>
        <v>0</v>
      </c>
      <c r="J232" s="590">
        <f>L232+O232</f>
        <v>7101604</v>
      </c>
      <c r="K232" s="590">
        <f>K233+K239+K255+K258+K265</f>
        <v>4811889</v>
      </c>
      <c r="L232" s="590">
        <f>L233+L239+L255+L258+L265</f>
        <v>2263715</v>
      </c>
      <c r="M232" s="590">
        <f>M233+M239+M255+M258+M265</f>
        <v>891107</v>
      </c>
      <c r="N232" s="590">
        <f>N233+N239+N255+N258+N265</f>
        <v>527653</v>
      </c>
      <c r="O232" s="590">
        <f>O233+O239+O255+O258+O265</f>
        <v>4837889</v>
      </c>
      <c r="P232" s="590">
        <f>E232+J232</f>
        <v>152380318</v>
      </c>
      <c r="Q232" s="452" t="b">
        <f>P232=P237+P238+P241+P242+P244+P246+P247+P251+P252+P253+P249+P254+P264</f>
        <v>1</v>
      </c>
      <c r="R232" s="46"/>
    </row>
    <row r="233" spans="1:18" ht="57" customHeight="1" thickTop="1" thickBot="1" x14ac:dyDescent="0.25">
      <c r="A233" s="298" t="s">
        <v>749</v>
      </c>
      <c r="B233" s="298" t="s">
        <v>698</v>
      </c>
      <c r="C233" s="298"/>
      <c r="D233" s="298" t="s">
        <v>699</v>
      </c>
      <c r="E233" s="639">
        <f>SUM(E234:E238)-E234-E236</f>
        <v>14791326.649999997</v>
      </c>
      <c r="F233" s="639">
        <f t="shared" ref="F233:P233" si="245">SUM(F234:F238)-F234-F236</f>
        <v>14791326.649999997</v>
      </c>
      <c r="G233" s="639">
        <f t="shared" si="245"/>
        <v>5851460</v>
      </c>
      <c r="H233" s="639">
        <f t="shared" si="245"/>
        <v>973296</v>
      </c>
      <c r="I233" s="639">
        <f t="shared" si="245"/>
        <v>0</v>
      </c>
      <c r="J233" s="639">
        <f t="shared" si="245"/>
        <v>675000</v>
      </c>
      <c r="K233" s="639">
        <f t="shared" si="245"/>
        <v>12000</v>
      </c>
      <c r="L233" s="639">
        <f t="shared" si="245"/>
        <v>637000</v>
      </c>
      <c r="M233" s="639">
        <f t="shared" si="245"/>
        <v>316400</v>
      </c>
      <c r="N233" s="639">
        <f t="shared" si="245"/>
        <v>194400</v>
      </c>
      <c r="O233" s="639">
        <f t="shared" si="245"/>
        <v>38000</v>
      </c>
      <c r="P233" s="639">
        <f t="shared" si="245"/>
        <v>15466326.649999997</v>
      </c>
      <c r="Q233" s="47"/>
      <c r="R233" s="46"/>
    </row>
    <row r="234" spans="1:18" s="33" customFormat="1" ht="48" hidden="1" thickTop="1" thickBot="1" x14ac:dyDescent="0.25">
      <c r="A234" s="598" t="s">
        <v>750</v>
      </c>
      <c r="B234" s="598" t="s">
        <v>751</v>
      </c>
      <c r="C234" s="598"/>
      <c r="D234" s="598" t="s">
        <v>752</v>
      </c>
      <c r="E234" s="640">
        <f>E235</f>
        <v>0</v>
      </c>
      <c r="F234" s="640">
        <f t="shared" ref="F234:P234" si="246">F235</f>
        <v>0</v>
      </c>
      <c r="G234" s="640">
        <f t="shared" si="246"/>
        <v>0</v>
      </c>
      <c r="H234" s="640">
        <f t="shared" si="246"/>
        <v>0</v>
      </c>
      <c r="I234" s="640">
        <f t="shared" si="246"/>
        <v>0</v>
      </c>
      <c r="J234" s="640">
        <f t="shared" si="246"/>
        <v>0</v>
      </c>
      <c r="K234" s="640">
        <f t="shared" si="246"/>
        <v>0</v>
      </c>
      <c r="L234" s="640">
        <f t="shared" si="246"/>
        <v>0</v>
      </c>
      <c r="M234" s="640">
        <f t="shared" si="246"/>
        <v>0</v>
      </c>
      <c r="N234" s="640">
        <f t="shared" si="246"/>
        <v>0</v>
      </c>
      <c r="O234" s="640">
        <f t="shared" si="246"/>
        <v>0</v>
      </c>
      <c r="P234" s="640">
        <f t="shared" si="246"/>
        <v>0</v>
      </c>
      <c r="Q234" s="154"/>
      <c r="R234" s="52"/>
    </row>
    <row r="235" spans="1:18" ht="48" hidden="1" thickTop="1" thickBot="1" x14ac:dyDescent="0.25">
      <c r="A235" s="101" t="s">
        <v>182</v>
      </c>
      <c r="B235" s="101" t="s">
        <v>183</v>
      </c>
      <c r="C235" s="101" t="s">
        <v>184</v>
      </c>
      <c r="D235" s="101" t="s">
        <v>629</v>
      </c>
      <c r="E235" s="299">
        <f t="shared" ref="E235:E252" si="247">F235</f>
        <v>0</v>
      </c>
      <c r="F235" s="308">
        <f>(6040461)-6040461</f>
        <v>0</v>
      </c>
      <c r="G235" s="308">
        <f>(4559615)-4559615</f>
        <v>0</v>
      </c>
      <c r="H235" s="308">
        <f>(96665+5295+31600+3840)-137400</f>
        <v>0</v>
      </c>
      <c r="I235" s="308"/>
      <c r="J235" s="310">
        <f t="shared" ref="J235:J264" si="248">L235+O235</f>
        <v>0</v>
      </c>
      <c r="K235" s="308"/>
      <c r="L235" s="421"/>
      <c r="M235" s="421"/>
      <c r="N235" s="421"/>
      <c r="O235" s="422">
        <f t="shared" ref="O235:O264" si="249">K235</f>
        <v>0</v>
      </c>
      <c r="P235" s="310">
        <f>+J235+E235</f>
        <v>0</v>
      </c>
      <c r="Q235" s="50"/>
      <c r="R235" s="50"/>
    </row>
    <row r="236" spans="1:18" s="33" customFormat="1" ht="114.75" customHeight="1" thickTop="1" thickBot="1" x14ac:dyDescent="0.25">
      <c r="A236" s="598" t="s">
        <v>753</v>
      </c>
      <c r="B236" s="598" t="s">
        <v>754</v>
      </c>
      <c r="C236" s="598"/>
      <c r="D236" s="598" t="s">
        <v>1452</v>
      </c>
      <c r="E236" s="610">
        <f>SUM(E237:E238)</f>
        <v>14791326.65</v>
      </c>
      <c r="F236" s="610">
        <f t="shared" ref="F236:P236" si="250">SUM(F237:F238)</f>
        <v>14791326.65</v>
      </c>
      <c r="G236" s="610">
        <f t="shared" si="250"/>
        <v>5851460</v>
      </c>
      <c r="H236" s="610">
        <f t="shared" si="250"/>
        <v>973296</v>
      </c>
      <c r="I236" s="610">
        <f t="shared" si="250"/>
        <v>0</v>
      </c>
      <c r="J236" s="610">
        <f t="shared" si="250"/>
        <v>675000</v>
      </c>
      <c r="K236" s="610">
        <f t="shared" si="250"/>
        <v>12000</v>
      </c>
      <c r="L236" s="610">
        <f>SUM(L237:L238)</f>
        <v>637000</v>
      </c>
      <c r="M236" s="610">
        <f t="shared" si="250"/>
        <v>316400</v>
      </c>
      <c r="N236" s="610">
        <f t="shared" si="250"/>
        <v>194400</v>
      </c>
      <c r="O236" s="610">
        <f t="shared" si="250"/>
        <v>38000</v>
      </c>
      <c r="P236" s="610">
        <f t="shared" si="250"/>
        <v>15466326.65</v>
      </c>
      <c r="Q236" s="51"/>
      <c r="R236" s="51"/>
    </row>
    <row r="237" spans="1:18" ht="124.5" customHeight="1" thickTop="1" thickBot="1" x14ac:dyDescent="0.25">
      <c r="A237" s="101" t="s">
        <v>188</v>
      </c>
      <c r="B237" s="101" t="s">
        <v>189</v>
      </c>
      <c r="C237" s="101" t="s">
        <v>184</v>
      </c>
      <c r="D237" s="101" t="s">
        <v>1619</v>
      </c>
      <c r="E237" s="299">
        <f t="shared" si="247"/>
        <v>6064270</v>
      </c>
      <c r="F237" s="308">
        <f>(6076270)-12000</f>
        <v>6064270</v>
      </c>
      <c r="G237" s="308">
        <v>3853926</v>
      </c>
      <c r="H237" s="308">
        <f>545789+6906+227520+2675</f>
        <v>782890</v>
      </c>
      <c r="I237" s="308"/>
      <c r="J237" s="310">
        <f t="shared" si="248"/>
        <v>668000</v>
      </c>
      <c r="K237" s="308">
        <f>(0)+12000</f>
        <v>12000</v>
      </c>
      <c r="L237" s="421">
        <f>(656000)-26000</f>
        <v>630000</v>
      </c>
      <c r="M237" s="421">
        <v>316400</v>
      </c>
      <c r="N237" s="421">
        <v>194400</v>
      </c>
      <c r="O237" s="422">
        <f>(K237+0)+26000</f>
        <v>38000</v>
      </c>
      <c r="P237" s="310">
        <f t="shared" ref="P237:P264" si="251">E237+J237</f>
        <v>6732270</v>
      </c>
      <c r="Q237" s="20"/>
      <c r="R237" s="46"/>
    </row>
    <row r="238" spans="1:18" ht="111.75" customHeight="1" thickTop="1" thickBot="1" x14ac:dyDescent="0.25">
      <c r="A238" s="101" t="s">
        <v>348</v>
      </c>
      <c r="B238" s="101" t="s">
        <v>349</v>
      </c>
      <c r="C238" s="101" t="s">
        <v>184</v>
      </c>
      <c r="D238" s="101" t="s">
        <v>1620</v>
      </c>
      <c r="E238" s="299">
        <f t="shared" si="247"/>
        <v>8727056.6500000004</v>
      </c>
      <c r="F238" s="308">
        <f>((7047897)+773245.65)+905914</f>
        <v>8727056.6500000004</v>
      </c>
      <c r="G238" s="308">
        <f>(1746785)+250749</f>
        <v>1997534</v>
      </c>
      <c r="H238" s="308">
        <f>100540+6560+80906+2400</f>
        <v>190406</v>
      </c>
      <c r="I238" s="308"/>
      <c r="J238" s="310">
        <f t="shared" si="248"/>
        <v>7000</v>
      </c>
      <c r="K238" s="308"/>
      <c r="L238" s="421">
        <v>7000</v>
      </c>
      <c r="M238" s="421"/>
      <c r="N238" s="421"/>
      <c r="O238" s="422">
        <f>K238+0</f>
        <v>0</v>
      </c>
      <c r="P238" s="310">
        <f t="shared" si="251"/>
        <v>8734056.6500000004</v>
      </c>
      <c r="Q238" s="20"/>
      <c r="R238" s="46"/>
    </row>
    <row r="239" spans="1:18" ht="78.75" customHeight="1" thickTop="1" thickBot="1" x14ac:dyDescent="0.25">
      <c r="A239" s="298" t="s">
        <v>755</v>
      </c>
      <c r="B239" s="298" t="s">
        <v>756</v>
      </c>
      <c r="C239" s="101"/>
      <c r="D239" s="298" t="s">
        <v>757</v>
      </c>
      <c r="E239" s="299">
        <f>SUM(E240:E254)-E240-E243-E245-E250-E248</f>
        <v>130487387.34999999</v>
      </c>
      <c r="F239" s="299">
        <f t="shared" ref="F239:G239" si="252">SUM(F240:F254)-F240-F243-F245-F250-F248</f>
        <v>130487387.34999999</v>
      </c>
      <c r="G239" s="299">
        <f t="shared" si="252"/>
        <v>50287482</v>
      </c>
      <c r="H239" s="299">
        <f>SUM(H240:H254)-H240-H243-H245-H250-H248</f>
        <v>3666643</v>
      </c>
      <c r="I239" s="299">
        <f t="shared" ref="I239:O239" si="253">SUM(I240:I254)-I240-I243-I245-I250-I248</f>
        <v>0</v>
      </c>
      <c r="J239" s="299">
        <f t="shared" si="253"/>
        <v>5427942</v>
      </c>
      <c r="K239" s="299">
        <f t="shared" si="253"/>
        <v>3801227</v>
      </c>
      <c r="L239" s="299">
        <f t="shared" si="253"/>
        <v>1626715</v>
      </c>
      <c r="M239" s="299">
        <f t="shared" si="253"/>
        <v>574707</v>
      </c>
      <c r="N239" s="299">
        <f t="shared" si="253"/>
        <v>333253</v>
      </c>
      <c r="O239" s="299">
        <f t="shared" si="253"/>
        <v>3801227</v>
      </c>
      <c r="P239" s="299">
        <f t="shared" ref="P239" si="254">SUM(P240:P253)-P240-P243-P245-P250-P248</f>
        <v>135583696.34999999</v>
      </c>
      <c r="Q239" s="20"/>
      <c r="R239" s="46"/>
    </row>
    <row r="240" spans="1:18" s="33" customFormat="1" ht="86.25" customHeight="1" thickTop="1" thickBot="1" x14ac:dyDescent="0.25">
      <c r="A240" s="598" t="s">
        <v>758</v>
      </c>
      <c r="B240" s="598" t="s">
        <v>759</v>
      </c>
      <c r="C240" s="598"/>
      <c r="D240" s="598" t="s">
        <v>760</v>
      </c>
      <c r="E240" s="610">
        <f>SUM(E241:E242)</f>
        <v>44644056</v>
      </c>
      <c r="F240" s="610">
        <f t="shared" ref="F240:P240" si="255">SUM(F241:F242)</f>
        <v>44644056</v>
      </c>
      <c r="G240" s="610">
        <f t="shared" si="255"/>
        <v>0</v>
      </c>
      <c r="H240" s="610">
        <f t="shared" si="255"/>
        <v>0</v>
      </c>
      <c r="I240" s="610">
        <f t="shared" si="255"/>
        <v>0</v>
      </c>
      <c r="J240" s="610">
        <f t="shared" si="255"/>
        <v>0</v>
      </c>
      <c r="K240" s="610">
        <f t="shared" si="255"/>
        <v>0</v>
      </c>
      <c r="L240" s="610">
        <f t="shared" si="255"/>
        <v>0</v>
      </c>
      <c r="M240" s="610">
        <f t="shared" si="255"/>
        <v>0</v>
      </c>
      <c r="N240" s="610">
        <f t="shared" si="255"/>
        <v>0</v>
      </c>
      <c r="O240" s="610">
        <f t="shared" si="255"/>
        <v>0</v>
      </c>
      <c r="P240" s="610">
        <f t="shared" si="255"/>
        <v>44644056</v>
      </c>
      <c r="Q240" s="36"/>
      <c r="R240" s="52"/>
    </row>
    <row r="241" spans="1:18" ht="93" thickTop="1" thickBot="1" x14ac:dyDescent="0.25">
      <c r="A241" s="101" t="s">
        <v>44</v>
      </c>
      <c r="B241" s="101" t="s">
        <v>185</v>
      </c>
      <c r="C241" s="101" t="s">
        <v>194</v>
      </c>
      <c r="D241" s="101" t="s">
        <v>45</v>
      </c>
      <c r="E241" s="299">
        <f t="shared" si="247"/>
        <v>39840800</v>
      </c>
      <c r="F241" s="308">
        <f>(((39000000)+40800)+600000)+200000</f>
        <v>39840800</v>
      </c>
      <c r="G241" s="425"/>
      <c r="H241" s="425"/>
      <c r="I241" s="425"/>
      <c r="J241" s="310">
        <f t="shared" si="248"/>
        <v>0</v>
      </c>
      <c r="K241" s="425"/>
      <c r="L241" s="425"/>
      <c r="M241" s="425"/>
      <c r="N241" s="425"/>
      <c r="O241" s="422">
        <f t="shared" si="249"/>
        <v>0</v>
      </c>
      <c r="P241" s="310">
        <f t="shared" si="251"/>
        <v>39840800</v>
      </c>
      <c r="Q241" s="20"/>
      <c r="R241" s="46"/>
    </row>
    <row r="242" spans="1:18" ht="111.75" customHeight="1" thickTop="1" thickBot="1" x14ac:dyDescent="0.25">
      <c r="A242" s="101" t="s">
        <v>46</v>
      </c>
      <c r="B242" s="101" t="s">
        <v>186</v>
      </c>
      <c r="C242" s="101" t="s">
        <v>194</v>
      </c>
      <c r="D242" s="101" t="s">
        <v>4</v>
      </c>
      <c r="E242" s="299">
        <f t="shared" si="247"/>
        <v>4803256</v>
      </c>
      <c r="F242" s="308">
        <f>(((4223256)+50000)+500000)+30000</f>
        <v>4803256</v>
      </c>
      <c r="G242" s="425"/>
      <c r="H242" s="425"/>
      <c r="I242" s="425"/>
      <c r="J242" s="310">
        <f t="shared" si="248"/>
        <v>0</v>
      </c>
      <c r="K242" s="425"/>
      <c r="L242" s="425"/>
      <c r="M242" s="425"/>
      <c r="N242" s="425"/>
      <c r="O242" s="422">
        <f t="shared" si="249"/>
        <v>0</v>
      </c>
      <c r="P242" s="310">
        <f t="shared" si="251"/>
        <v>4803256</v>
      </c>
      <c r="Q242" s="20"/>
      <c r="R242" s="46"/>
    </row>
    <row r="243" spans="1:18" s="33" customFormat="1" ht="121.7" customHeight="1" thickTop="1" thickBot="1" x14ac:dyDescent="0.25">
      <c r="A243" s="598" t="s">
        <v>761</v>
      </c>
      <c r="B243" s="598" t="s">
        <v>762</v>
      </c>
      <c r="C243" s="598"/>
      <c r="D243" s="598" t="s">
        <v>763</v>
      </c>
      <c r="E243" s="610">
        <f>E244</f>
        <v>28500</v>
      </c>
      <c r="F243" s="610">
        <f t="shared" ref="F243:P243" si="256">F244</f>
        <v>28500</v>
      </c>
      <c r="G243" s="610">
        <f t="shared" si="256"/>
        <v>0</v>
      </c>
      <c r="H243" s="610">
        <f t="shared" si="256"/>
        <v>0</v>
      </c>
      <c r="I243" s="610">
        <f t="shared" si="256"/>
        <v>0</v>
      </c>
      <c r="J243" s="610">
        <f t="shared" si="256"/>
        <v>0</v>
      </c>
      <c r="K243" s="610">
        <f t="shared" si="256"/>
        <v>0</v>
      </c>
      <c r="L243" s="610">
        <f t="shared" si="256"/>
        <v>0</v>
      </c>
      <c r="M243" s="610">
        <f t="shared" si="256"/>
        <v>0</v>
      </c>
      <c r="N243" s="610">
        <f t="shared" si="256"/>
        <v>0</v>
      </c>
      <c r="O243" s="610">
        <f t="shared" si="256"/>
        <v>0</v>
      </c>
      <c r="P243" s="610">
        <f t="shared" si="256"/>
        <v>28500</v>
      </c>
      <c r="Q243" s="36"/>
      <c r="R243" s="53"/>
    </row>
    <row r="244" spans="1:18" ht="114.75" customHeight="1" thickTop="1" thickBot="1" x14ac:dyDescent="0.25">
      <c r="A244" s="101" t="s">
        <v>47</v>
      </c>
      <c r="B244" s="101" t="s">
        <v>187</v>
      </c>
      <c r="C244" s="101" t="s">
        <v>194</v>
      </c>
      <c r="D244" s="101" t="s">
        <v>346</v>
      </c>
      <c r="E244" s="299">
        <f>F244</f>
        <v>28500</v>
      </c>
      <c r="F244" s="308">
        <v>28500</v>
      </c>
      <c r="G244" s="308"/>
      <c r="H244" s="308"/>
      <c r="I244" s="425"/>
      <c r="J244" s="310">
        <f t="shared" si="248"/>
        <v>0</v>
      </c>
      <c r="K244" s="425"/>
      <c r="L244" s="308"/>
      <c r="M244" s="308"/>
      <c r="N244" s="308"/>
      <c r="O244" s="422">
        <f t="shared" si="249"/>
        <v>0</v>
      </c>
      <c r="P244" s="310">
        <f t="shared" si="251"/>
        <v>28500</v>
      </c>
      <c r="Q244" s="20"/>
      <c r="R244" s="46"/>
    </row>
    <row r="245" spans="1:18" ht="79.5" customHeight="1" thickTop="1" thickBot="1" x14ac:dyDescent="0.25">
      <c r="A245" s="598" t="s">
        <v>764</v>
      </c>
      <c r="B245" s="598" t="s">
        <v>765</v>
      </c>
      <c r="C245" s="598"/>
      <c r="D245" s="598" t="s">
        <v>766</v>
      </c>
      <c r="E245" s="610">
        <f>SUM(E246:E247)</f>
        <v>78154561.349999994</v>
      </c>
      <c r="F245" s="610">
        <f t="shared" ref="F245:P245" si="257">SUM(F246:F247)</f>
        <v>78154561.349999994</v>
      </c>
      <c r="G245" s="610">
        <f t="shared" si="257"/>
        <v>48589661</v>
      </c>
      <c r="H245" s="610">
        <f t="shared" si="257"/>
        <v>3666643</v>
      </c>
      <c r="I245" s="610">
        <f t="shared" si="257"/>
        <v>0</v>
      </c>
      <c r="J245" s="610">
        <f t="shared" si="257"/>
        <v>4946150</v>
      </c>
      <c r="K245" s="610">
        <f t="shared" si="257"/>
        <v>3448594</v>
      </c>
      <c r="L245" s="610">
        <f t="shared" si="257"/>
        <v>1497556</v>
      </c>
      <c r="M245" s="610">
        <f t="shared" si="257"/>
        <v>574707</v>
      </c>
      <c r="N245" s="610">
        <f t="shared" si="257"/>
        <v>333253</v>
      </c>
      <c r="O245" s="610">
        <f t="shared" si="257"/>
        <v>3448594</v>
      </c>
      <c r="P245" s="610">
        <f t="shared" si="257"/>
        <v>83100711.349999994</v>
      </c>
      <c r="Q245" s="20"/>
      <c r="R245" s="46"/>
    </row>
    <row r="246" spans="1:18" ht="133.5" customHeight="1" thickTop="1" thickBot="1" x14ac:dyDescent="0.25">
      <c r="A246" s="101" t="s">
        <v>28</v>
      </c>
      <c r="B246" s="101" t="s">
        <v>191</v>
      </c>
      <c r="C246" s="101" t="s">
        <v>194</v>
      </c>
      <c r="D246" s="101" t="s">
        <v>1622</v>
      </c>
      <c r="E246" s="299">
        <f t="shared" si="247"/>
        <v>72237428</v>
      </c>
      <c r="F246" s="308">
        <f>(((66836891)+45677+150000+9600+69760+1109575)+78660+1027136-450000+135258+564084+300000)+105000+300000+57285+535075+703126+154688+280000+49200+70000+41770+2200+62443</f>
        <v>72237428</v>
      </c>
      <c r="G246" s="308">
        <f>((14527977+11809360+13664752+7227062)+90020+462364)+105000+703126</f>
        <v>48589661</v>
      </c>
      <c r="H246" s="308">
        <f>606847+129600+600000+67934+488337+52697+289933+57199+7194+27222+21756+456102+290424+8040+276756+16712+207990+59200+2700</f>
        <v>3666643</v>
      </c>
      <c r="I246" s="308"/>
      <c r="J246" s="310">
        <f t="shared" si="248"/>
        <v>4946150</v>
      </c>
      <c r="K246" s="308">
        <f>(((0)+140874+409600)+433254+50000+450000)+527297+553629+350000+533940</f>
        <v>3448594</v>
      </c>
      <c r="L246" s="308">
        <f>1497556</f>
        <v>1497556</v>
      </c>
      <c r="M246" s="308">
        <v>574707</v>
      </c>
      <c r="N246" s="308">
        <v>333253</v>
      </c>
      <c r="O246" s="422">
        <f>(K246+0)</f>
        <v>3448594</v>
      </c>
      <c r="P246" s="310">
        <f t="shared" si="251"/>
        <v>77183578</v>
      </c>
      <c r="Q246" s="20"/>
      <c r="R246" s="46"/>
    </row>
    <row r="247" spans="1:18" ht="108.75" customHeight="1" thickTop="1" thickBot="1" x14ac:dyDescent="0.25">
      <c r="A247" s="101" t="s">
        <v>29</v>
      </c>
      <c r="B247" s="101" t="s">
        <v>192</v>
      </c>
      <c r="C247" s="101" t="s">
        <v>194</v>
      </c>
      <c r="D247" s="101" t="s">
        <v>49</v>
      </c>
      <c r="E247" s="299">
        <f t="shared" si="247"/>
        <v>5917133.3499999996</v>
      </c>
      <c r="F247" s="308">
        <f>(7323423)-1406289.65</f>
        <v>5917133.3499999996</v>
      </c>
      <c r="G247" s="308"/>
      <c r="H247" s="308"/>
      <c r="I247" s="308"/>
      <c r="J247" s="310">
        <f t="shared" si="248"/>
        <v>0</v>
      </c>
      <c r="K247" s="308">
        <v>0</v>
      </c>
      <c r="L247" s="308"/>
      <c r="M247" s="308"/>
      <c r="N247" s="308"/>
      <c r="O247" s="422">
        <f t="shared" si="249"/>
        <v>0</v>
      </c>
      <c r="P247" s="310">
        <f t="shared" si="251"/>
        <v>5917133.3499999996</v>
      </c>
      <c r="Q247" s="20"/>
      <c r="R247" s="46"/>
    </row>
    <row r="248" spans="1:18" ht="72.75" customHeight="1" thickTop="1" thickBot="1" x14ac:dyDescent="0.25">
      <c r="A248" s="641" t="s">
        <v>1317</v>
      </c>
      <c r="B248" s="598" t="s">
        <v>801</v>
      </c>
      <c r="C248" s="598"/>
      <c r="D248" s="598" t="s">
        <v>802</v>
      </c>
      <c r="E248" s="610">
        <f>E249</f>
        <v>210816</v>
      </c>
      <c r="F248" s="610">
        <f t="shared" ref="F248:P248" si="258">F249</f>
        <v>210816</v>
      </c>
      <c r="G248" s="610">
        <f t="shared" si="258"/>
        <v>172800</v>
      </c>
      <c r="H248" s="610">
        <f t="shared" si="258"/>
        <v>0</v>
      </c>
      <c r="I248" s="610">
        <f t="shared" si="258"/>
        <v>0</v>
      </c>
      <c r="J248" s="610">
        <f t="shared" si="258"/>
        <v>0</v>
      </c>
      <c r="K248" s="610">
        <f t="shared" si="258"/>
        <v>0</v>
      </c>
      <c r="L248" s="610">
        <f t="shared" si="258"/>
        <v>0</v>
      </c>
      <c r="M248" s="610">
        <f t="shared" si="258"/>
        <v>0</v>
      </c>
      <c r="N248" s="610">
        <f t="shared" si="258"/>
        <v>0</v>
      </c>
      <c r="O248" s="610">
        <f t="shared" si="258"/>
        <v>0</v>
      </c>
      <c r="P248" s="610">
        <f t="shared" si="258"/>
        <v>210816</v>
      </c>
      <c r="Q248" s="20"/>
      <c r="R248" s="46"/>
    </row>
    <row r="249" spans="1:18" ht="130.69999999999999" customHeight="1" thickTop="1" thickBot="1" x14ac:dyDescent="0.25">
      <c r="A249" s="101" t="s">
        <v>1318</v>
      </c>
      <c r="B249" s="101" t="s">
        <v>1319</v>
      </c>
      <c r="C249" s="101" t="s">
        <v>194</v>
      </c>
      <c r="D249" s="101" t="s">
        <v>1320</v>
      </c>
      <c r="E249" s="299">
        <f t="shared" ref="E249" si="259">F249</f>
        <v>210816</v>
      </c>
      <c r="F249" s="308">
        <f>(158112)+52704</f>
        <v>210816</v>
      </c>
      <c r="G249" s="308">
        <f>(129600)+43200</f>
        <v>172800</v>
      </c>
      <c r="H249" s="308"/>
      <c r="I249" s="308"/>
      <c r="J249" s="310">
        <f t="shared" ref="J249" si="260">L249+O249</f>
        <v>0</v>
      </c>
      <c r="K249" s="308">
        <v>0</v>
      </c>
      <c r="L249" s="308"/>
      <c r="M249" s="308"/>
      <c r="N249" s="308"/>
      <c r="O249" s="422">
        <f t="shared" ref="O249" si="261">K249</f>
        <v>0</v>
      </c>
      <c r="P249" s="310">
        <f t="shared" ref="P249" si="262">E249+J249</f>
        <v>210816</v>
      </c>
      <c r="Q249" s="20"/>
      <c r="R249" s="46"/>
    </row>
    <row r="250" spans="1:18" ht="82.5" customHeight="1" thickTop="1" thickBot="1" x14ac:dyDescent="0.25">
      <c r="A250" s="641" t="s">
        <v>767</v>
      </c>
      <c r="B250" s="598" t="s">
        <v>768</v>
      </c>
      <c r="C250" s="598"/>
      <c r="D250" s="598" t="s">
        <v>769</v>
      </c>
      <c r="E250" s="610">
        <f>SUM(E251:E253)</f>
        <v>7449454</v>
      </c>
      <c r="F250" s="610">
        <f t="shared" ref="F250:P250" si="263">SUM(F251:F253)</f>
        <v>7449454</v>
      </c>
      <c r="G250" s="610">
        <f t="shared" si="263"/>
        <v>1525021</v>
      </c>
      <c r="H250" s="610">
        <f t="shared" si="263"/>
        <v>0</v>
      </c>
      <c r="I250" s="610">
        <f t="shared" si="263"/>
        <v>0</v>
      </c>
      <c r="J250" s="610">
        <f t="shared" si="263"/>
        <v>150159</v>
      </c>
      <c r="K250" s="610">
        <f t="shared" si="263"/>
        <v>21000</v>
      </c>
      <c r="L250" s="610">
        <f t="shared" si="263"/>
        <v>129159</v>
      </c>
      <c r="M250" s="610">
        <f t="shared" si="263"/>
        <v>0</v>
      </c>
      <c r="N250" s="610">
        <f t="shared" si="263"/>
        <v>0</v>
      </c>
      <c r="O250" s="610">
        <f t="shared" si="263"/>
        <v>21000</v>
      </c>
      <c r="P250" s="610">
        <f t="shared" si="263"/>
        <v>7599613</v>
      </c>
      <c r="Q250" s="20"/>
      <c r="R250" s="46"/>
    </row>
    <row r="251" spans="1:18" ht="138.75" thickTop="1" thickBot="1" x14ac:dyDescent="0.25">
      <c r="A251" s="642" t="s">
        <v>30</v>
      </c>
      <c r="B251" s="642" t="s">
        <v>193</v>
      </c>
      <c r="C251" s="642" t="s">
        <v>194</v>
      </c>
      <c r="D251" s="101" t="s">
        <v>31</v>
      </c>
      <c r="E251" s="299">
        <f t="shared" si="247"/>
        <v>950164</v>
      </c>
      <c r="F251" s="308">
        <f>((850564)+49600)+50000</f>
        <v>950164</v>
      </c>
      <c r="G251" s="425"/>
      <c r="H251" s="425"/>
      <c r="I251" s="425"/>
      <c r="J251" s="310">
        <f t="shared" si="248"/>
        <v>0</v>
      </c>
      <c r="K251" s="425"/>
      <c r="L251" s="425"/>
      <c r="M251" s="425"/>
      <c r="N251" s="425"/>
      <c r="O251" s="422">
        <f t="shared" si="249"/>
        <v>0</v>
      </c>
      <c r="P251" s="310">
        <f t="shared" si="251"/>
        <v>950164</v>
      </c>
      <c r="Q251" s="20"/>
      <c r="R251" s="46"/>
    </row>
    <row r="252" spans="1:18" ht="111.75" customHeight="1" thickTop="1" thickBot="1" x14ac:dyDescent="0.25">
      <c r="A252" s="642" t="s">
        <v>507</v>
      </c>
      <c r="B252" s="642" t="s">
        <v>505</v>
      </c>
      <c r="C252" s="642" t="s">
        <v>194</v>
      </c>
      <c r="D252" s="101" t="s">
        <v>506</v>
      </c>
      <c r="E252" s="299">
        <f t="shared" si="247"/>
        <v>4210750</v>
      </c>
      <c r="F252" s="308">
        <f>(4892000)-681250</f>
        <v>4210750</v>
      </c>
      <c r="G252" s="425"/>
      <c r="H252" s="425"/>
      <c r="I252" s="425"/>
      <c r="J252" s="310">
        <f t="shared" si="248"/>
        <v>0</v>
      </c>
      <c r="K252" s="425"/>
      <c r="L252" s="425"/>
      <c r="M252" s="425"/>
      <c r="N252" s="425"/>
      <c r="O252" s="422">
        <f t="shared" si="249"/>
        <v>0</v>
      </c>
      <c r="P252" s="310">
        <f t="shared" si="251"/>
        <v>4210750</v>
      </c>
      <c r="Q252" s="20"/>
      <c r="R252" s="46"/>
    </row>
    <row r="253" spans="1:18" ht="100.5" customHeight="1" thickTop="1" thickBot="1" x14ac:dyDescent="0.25">
      <c r="A253" s="642" t="s">
        <v>32</v>
      </c>
      <c r="B253" s="642" t="s">
        <v>195</v>
      </c>
      <c r="C253" s="642" t="s">
        <v>194</v>
      </c>
      <c r="D253" s="101" t="s">
        <v>33</v>
      </c>
      <c r="E253" s="299">
        <f>F253</f>
        <v>2288540</v>
      </c>
      <c r="F253" s="308">
        <f>(2179540)+109000</f>
        <v>2288540</v>
      </c>
      <c r="G253" s="425">
        <f>(1451021)+74000</f>
        <v>1525021</v>
      </c>
      <c r="H253" s="425"/>
      <c r="I253" s="425"/>
      <c r="J253" s="310">
        <f t="shared" si="248"/>
        <v>150159</v>
      </c>
      <c r="K253" s="425">
        <f>(0)+21000</f>
        <v>21000</v>
      </c>
      <c r="L253" s="425">
        <v>129159</v>
      </c>
      <c r="M253" s="425"/>
      <c r="N253" s="425"/>
      <c r="O253" s="422">
        <f>K253+0</f>
        <v>21000</v>
      </c>
      <c r="P253" s="310">
        <f t="shared" si="251"/>
        <v>2438699</v>
      </c>
      <c r="Q253" s="20"/>
      <c r="R253" s="46"/>
    </row>
    <row r="254" spans="1:18" ht="80.45" customHeight="1" thickTop="1" thickBot="1" x14ac:dyDescent="0.25">
      <c r="A254" s="642" t="s">
        <v>1713</v>
      </c>
      <c r="B254" s="642" t="s">
        <v>1714</v>
      </c>
      <c r="C254" s="642" t="s">
        <v>194</v>
      </c>
      <c r="D254" s="101" t="s">
        <v>1712</v>
      </c>
      <c r="E254" s="299">
        <f>F254</f>
        <v>0</v>
      </c>
      <c r="F254" s="308"/>
      <c r="G254" s="425"/>
      <c r="H254" s="425"/>
      <c r="I254" s="425"/>
      <c r="J254" s="310">
        <f t="shared" ref="J254" si="264">L254+O254</f>
        <v>331633</v>
      </c>
      <c r="K254" s="425">
        <v>331633</v>
      </c>
      <c r="L254" s="425"/>
      <c r="M254" s="425"/>
      <c r="N254" s="425"/>
      <c r="O254" s="422">
        <f>K254+0</f>
        <v>331633</v>
      </c>
      <c r="P254" s="310">
        <f t="shared" ref="P254" si="265">E254+J254</f>
        <v>331633</v>
      </c>
      <c r="Q254" s="20"/>
      <c r="R254" s="46"/>
    </row>
    <row r="255" spans="1:18" ht="47.25" hidden="1" thickTop="1" thickBot="1" x14ac:dyDescent="0.25">
      <c r="A255" s="123" t="s">
        <v>770</v>
      </c>
      <c r="B255" s="123" t="s">
        <v>729</v>
      </c>
      <c r="C255" s="123"/>
      <c r="D255" s="372" t="s">
        <v>730</v>
      </c>
      <c r="E255" s="150">
        <f>E256</f>
        <v>0</v>
      </c>
      <c r="F255" s="150">
        <f t="shared" ref="F255:P256" si="266">F256</f>
        <v>0</v>
      </c>
      <c r="G255" s="150">
        <f t="shared" si="266"/>
        <v>0</v>
      </c>
      <c r="H255" s="150">
        <f t="shared" si="266"/>
        <v>0</v>
      </c>
      <c r="I255" s="150">
        <f t="shared" si="266"/>
        <v>0</v>
      </c>
      <c r="J255" s="150">
        <f t="shared" si="266"/>
        <v>0</v>
      </c>
      <c r="K255" s="150">
        <f t="shared" si="266"/>
        <v>0</v>
      </c>
      <c r="L255" s="150">
        <f t="shared" si="266"/>
        <v>0</v>
      </c>
      <c r="M255" s="150">
        <f t="shared" si="266"/>
        <v>0</v>
      </c>
      <c r="N255" s="150">
        <f t="shared" si="266"/>
        <v>0</v>
      </c>
      <c r="O255" s="150">
        <f t="shared" si="266"/>
        <v>0</v>
      </c>
      <c r="P255" s="150">
        <f t="shared" si="266"/>
        <v>0</v>
      </c>
      <c r="Q255" s="20"/>
      <c r="R255" s="46"/>
    </row>
    <row r="256" spans="1:18" ht="48" hidden="1" thickTop="1" thickBot="1" x14ac:dyDescent="0.25">
      <c r="A256" s="373" t="s">
        <v>771</v>
      </c>
      <c r="B256" s="373" t="s">
        <v>732</v>
      </c>
      <c r="C256" s="373"/>
      <c r="D256" s="138" t="s">
        <v>733</v>
      </c>
      <c r="E256" s="155">
        <f>E257</f>
        <v>0</v>
      </c>
      <c r="F256" s="155">
        <f t="shared" si="266"/>
        <v>0</v>
      </c>
      <c r="G256" s="155">
        <f t="shared" si="266"/>
        <v>0</v>
      </c>
      <c r="H256" s="155">
        <f t="shared" si="266"/>
        <v>0</v>
      </c>
      <c r="I256" s="155">
        <f t="shared" si="266"/>
        <v>0</v>
      </c>
      <c r="J256" s="155">
        <f t="shared" si="266"/>
        <v>0</v>
      </c>
      <c r="K256" s="155">
        <f t="shared" si="266"/>
        <v>0</v>
      </c>
      <c r="L256" s="155">
        <f t="shared" si="266"/>
        <v>0</v>
      </c>
      <c r="M256" s="155">
        <f t="shared" si="266"/>
        <v>0</v>
      </c>
      <c r="N256" s="155">
        <f t="shared" si="266"/>
        <v>0</v>
      </c>
      <c r="O256" s="155">
        <f t="shared" si="266"/>
        <v>0</v>
      </c>
      <c r="P256" s="155">
        <f t="shared" si="266"/>
        <v>0</v>
      </c>
      <c r="Q256" s="20"/>
      <c r="R256" s="46"/>
    </row>
    <row r="257" spans="1:18" ht="138.75" hidden="1" thickTop="1" thickBot="1" x14ac:dyDescent="0.25">
      <c r="A257" s="374" t="s">
        <v>339</v>
      </c>
      <c r="B257" s="374" t="s">
        <v>338</v>
      </c>
      <c r="C257" s="374" t="s">
        <v>337</v>
      </c>
      <c r="D257" s="126" t="s">
        <v>630</v>
      </c>
      <c r="E257" s="150">
        <f>F257</f>
        <v>0</v>
      </c>
      <c r="F257" s="127"/>
      <c r="G257" s="132"/>
      <c r="H257" s="132"/>
      <c r="I257" s="132"/>
      <c r="J257" s="125">
        <f t="shared" si="248"/>
        <v>0</v>
      </c>
      <c r="K257" s="132"/>
      <c r="L257" s="132"/>
      <c r="M257" s="132"/>
      <c r="N257" s="132"/>
      <c r="O257" s="130">
        <f t="shared" si="249"/>
        <v>0</v>
      </c>
      <c r="P257" s="125">
        <f t="shared" si="251"/>
        <v>0</v>
      </c>
      <c r="Q257" s="20"/>
      <c r="R257" s="50"/>
    </row>
    <row r="258" spans="1:18" ht="83.25" customHeight="1" thickTop="1" thickBot="1" x14ac:dyDescent="0.25">
      <c r="A258" s="298" t="s">
        <v>772</v>
      </c>
      <c r="B258" s="298" t="s">
        <v>735</v>
      </c>
      <c r="C258" s="298"/>
      <c r="D258" s="298" t="s">
        <v>736</v>
      </c>
      <c r="E258" s="299">
        <f>E262+E259</f>
        <v>0</v>
      </c>
      <c r="F258" s="299">
        <f t="shared" ref="F258:P258" si="267">F262+F259</f>
        <v>0</v>
      </c>
      <c r="G258" s="299">
        <f t="shared" si="267"/>
        <v>0</v>
      </c>
      <c r="H258" s="299">
        <f t="shared" si="267"/>
        <v>0</v>
      </c>
      <c r="I258" s="299">
        <f t="shared" si="267"/>
        <v>0</v>
      </c>
      <c r="J258" s="299">
        <f t="shared" si="267"/>
        <v>998662</v>
      </c>
      <c r="K258" s="299">
        <f t="shared" si="267"/>
        <v>998662</v>
      </c>
      <c r="L258" s="299">
        <f t="shared" si="267"/>
        <v>0</v>
      </c>
      <c r="M258" s="299">
        <f t="shared" si="267"/>
        <v>0</v>
      </c>
      <c r="N258" s="299">
        <f t="shared" si="267"/>
        <v>0</v>
      </c>
      <c r="O258" s="299">
        <f t="shared" si="267"/>
        <v>998662</v>
      </c>
      <c r="P258" s="299">
        <f t="shared" si="267"/>
        <v>998662</v>
      </c>
      <c r="Q258" s="20"/>
      <c r="R258" s="50"/>
    </row>
    <row r="259" spans="1:18" ht="47.25" hidden="1" thickTop="1" thickBot="1" x14ac:dyDescent="0.25">
      <c r="A259" s="134" t="s">
        <v>1062</v>
      </c>
      <c r="B259" s="134" t="s">
        <v>788</v>
      </c>
      <c r="C259" s="134"/>
      <c r="D259" s="134" t="s">
        <v>789</v>
      </c>
      <c r="E259" s="135">
        <f>E260</f>
        <v>0</v>
      </c>
      <c r="F259" s="135">
        <f t="shared" ref="F259:P260" si="268">F260</f>
        <v>0</v>
      </c>
      <c r="G259" s="135">
        <f t="shared" si="268"/>
        <v>0</v>
      </c>
      <c r="H259" s="135">
        <f t="shared" si="268"/>
        <v>0</v>
      </c>
      <c r="I259" s="135">
        <f t="shared" si="268"/>
        <v>0</v>
      </c>
      <c r="J259" s="135">
        <f t="shared" si="268"/>
        <v>0</v>
      </c>
      <c r="K259" s="135">
        <f t="shared" si="268"/>
        <v>0</v>
      </c>
      <c r="L259" s="135">
        <f t="shared" si="268"/>
        <v>0</v>
      </c>
      <c r="M259" s="135">
        <f t="shared" si="268"/>
        <v>0</v>
      </c>
      <c r="N259" s="135">
        <f t="shared" si="268"/>
        <v>0</v>
      </c>
      <c r="O259" s="135">
        <f t="shared" si="268"/>
        <v>0</v>
      </c>
      <c r="P259" s="135">
        <f t="shared" si="268"/>
        <v>0</v>
      </c>
      <c r="Q259" s="20"/>
      <c r="R259" s="50"/>
    </row>
    <row r="260" spans="1:18" ht="54" hidden="1" thickTop="1" thickBot="1" x14ac:dyDescent="0.25">
      <c r="A260" s="138" t="s">
        <v>1063</v>
      </c>
      <c r="B260" s="138" t="s">
        <v>805</v>
      </c>
      <c r="C260" s="138"/>
      <c r="D260" s="138" t="s">
        <v>1417</v>
      </c>
      <c r="E260" s="139">
        <f>E261</f>
        <v>0</v>
      </c>
      <c r="F260" s="139">
        <f t="shared" si="268"/>
        <v>0</v>
      </c>
      <c r="G260" s="139">
        <f t="shared" si="268"/>
        <v>0</v>
      </c>
      <c r="H260" s="139">
        <f t="shared" si="268"/>
        <v>0</v>
      </c>
      <c r="I260" s="139">
        <f t="shared" si="268"/>
        <v>0</v>
      </c>
      <c r="J260" s="139">
        <f t="shared" si="268"/>
        <v>0</v>
      </c>
      <c r="K260" s="139">
        <f t="shared" si="268"/>
        <v>0</v>
      </c>
      <c r="L260" s="139">
        <f t="shared" si="268"/>
        <v>0</v>
      </c>
      <c r="M260" s="139">
        <f t="shared" si="268"/>
        <v>0</v>
      </c>
      <c r="N260" s="139">
        <f t="shared" si="268"/>
        <v>0</v>
      </c>
      <c r="O260" s="139">
        <f t="shared" si="268"/>
        <v>0</v>
      </c>
      <c r="P260" s="139">
        <f t="shared" si="268"/>
        <v>0</v>
      </c>
      <c r="Q260" s="20"/>
      <c r="R260" s="50"/>
    </row>
    <row r="261" spans="1:18" ht="54" hidden="1" thickTop="1" thickBot="1" x14ac:dyDescent="0.25">
      <c r="A261" s="126" t="s">
        <v>1064</v>
      </c>
      <c r="B261" s="126" t="s">
        <v>311</v>
      </c>
      <c r="C261" s="126" t="s">
        <v>302</v>
      </c>
      <c r="D261" s="126" t="s">
        <v>1196</v>
      </c>
      <c r="E261" s="125">
        <f t="shared" ref="E261" si="269">F261</f>
        <v>0</v>
      </c>
      <c r="F261" s="132"/>
      <c r="G261" s="132"/>
      <c r="H261" s="132"/>
      <c r="I261" s="132"/>
      <c r="J261" s="125">
        <f t="shared" ref="J261" si="270">L261+O261</f>
        <v>0</v>
      </c>
      <c r="K261" s="132">
        <f>49500-49500</f>
        <v>0</v>
      </c>
      <c r="L261" s="132"/>
      <c r="M261" s="132"/>
      <c r="N261" s="132"/>
      <c r="O261" s="130">
        <f t="shared" ref="O261" si="271">K261</f>
        <v>0</v>
      </c>
      <c r="P261" s="125">
        <f>E261+J261</f>
        <v>0</v>
      </c>
      <c r="Q261" s="20"/>
      <c r="R261" s="50"/>
    </row>
    <row r="262" spans="1:18" ht="83.25" customHeight="1" thickTop="1" thickBot="1" x14ac:dyDescent="0.25">
      <c r="A262" s="593" t="s">
        <v>773</v>
      </c>
      <c r="B262" s="593" t="s">
        <v>679</v>
      </c>
      <c r="C262" s="593"/>
      <c r="D262" s="593" t="s">
        <v>677</v>
      </c>
      <c r="E262" s="596">
        <f>E264+E263</f>
        <v>0</v>
      </c>
      <c r="F262" s="596">
        <f t="shared" ref="F262:H262" si="272">F264+F263</f>
        <v>0</v>
      </c>
      <c r="G262" s="596">
        <f t="shared" si="272"/>
        <v>0</v>
      </c>
      <c r="H262" s="596">
        <f t="shared" si="272"/>
        <v>0</v>
      </c>
      <c r="I262" s="596">
        <f>I264+I263</f>
        <v>0</v>
      </c>
      <c r="J262" s="596">
        <f>J264+J263</f>
        <v>998662</v>
      </c>
      <c r="K262" s="596">
        <f>K264+K263</f>
        <v>998662</v>
      </c>
      <c r="L262" s="596">
        <f t="shared" ref="L262:O262" si="273">L264+L263</f>
        <v>0</v>
      </c>
      <c r="M262" s="596">
        <f t="shared" si="273"/>
        <v>0</v>
      </c>
      <c r="N262" s="596">
        <f t="shared" si="273"/>
        <v>0</v>
      </c>
      <c r="O262" s="596">
        <f t="shared" si="273"/>
        <v>998662</v>
      </c>
      <c r="P262" s="596">
        <f>P264+P263</f>
        <v>998662</v>
      </c>
      <c r="Q262" s="20"/>
      <c r="R262" s="50"/>
    </row>
    <row r="263" spans="1:18" ht="48" hidden="1" thickTop="1" thickBot="1" x14ac:dyDescent="0.25">
      <c r="A263" s="374" t="s">
        <v>1281</v>
      </c>
      <c r="B263" s="374" t="s">
        <v>211</v>
      </c>
      <c r="C263" s="374"/>
      <c r="D263" s="126" t="s">
        <v>41</v>
      </c>
      <c r="E263" s="150">
        <f>F263</f>
        <v>0</v>
      </c>
      <c r="F263" s="127"/>
      <c r="G263" s="132"/>
      <c r="H263" s="132"/>
      <c r="I263" s="132"/>
      <c r="J263" s="125">
        <f t="shared" ref="J263" si="274">L263+O263</f>
        <v>0</v>
      </c>
      <c r="K263" s="132"/>
      <c r="L263" s="132"/>
      <c r="M263" s="132"/>
      <c r="N263" s="132"/>
      <c r="O263" s="130">
        <f t="shared" ref="O263" si="275">K263</f>
        <v>0</v>
      </c>
      <c r="P263" s="125">
        <f t="shared" ref="P263" si="276">E263+J263</f>
        <v>0</v>
      </c>
      <c r="Q263" s="20"/>
      <c r="R263" s="50"/>
    </row>
    <row r="264" spans="1:18" ht="87" customHeight="1" thickTop="1" thickBot="1" x14ac:dyDescent="0.25">
      <c r="A264" s="101" t="s">
        <v>598</v>
      </c>
      <c r="B264" s="101" t="s">
        <v>196</v>
      </c>
      <c r="C264" s="101" t="s">
        <v>169</v>
      </c>
      <c r="D264" s="101" t="s">
        <v>34</v>
      </c>
      <c r="E264" s="310">
        <f t="shared" ref="E264" si="277">F264</f>
        <v>0</v>
      </c>
      <c r="F264" s="425"/>
      <c r="G264" s="425"/>
      <c r="H264" s="425"/>
      <c r="I264" s="425"/>
      <c r="J264" s="310">
        <f t="shared" si="248"/>
        <v>998662</v>
      </c>
      <c r="K264" s="425">
        <v>998662</v>
      </c>
      <c r="L264" s="425"/>
      <c r="M264" s="425"/>
      <c r="N264" s="425"/>
      <c r="O264" s="422">
        <f t="shared" si="249"/>
        <v>998662</v>
      </c>
      <c r="P264" s="310">
        <f t="shared" si="251"/>
        <v>998662</v>
      </c>
      <c r="Q264" s="20"/>
      <c r="R264" s="46"/>
    </row>
    <row r="265" spans="1:18" ht="47.25" hidden="1" thickTop="1" thickBot="1" x14ac:dyDescent="0.25">
      <c r="A265" s="123" t="s">
        <v>1070</v>
      </c>
      <c r="B265" s="123" t="s">
        <v>689</v>
      </c>
      <c r="C265" s="123"/>
      <c r="D265" s="123" t="s">
        <v>690</v>
      </c>
      <c r="E265" s="125">
        <f>E266</f>
        <v>0</v>
      </c>
      <c r="F265" s="125">
        <f t="shared" ref="F265:P266" si="278">F266</f>
        <v>0</v>
      </c>
      <c r="G265" s="125">
        <f t="shared" si="278"/>
        <v>0</v>
      </c>
      <c r="H265" s="125">
        <f t="shared" si="278"/>
        <v>0</v>
      </c>
      <c r="I265" s="125">
        <f t="shared" si="278"/>
        <v>0</v>
      </c>
      <c r="J265" s="125">
        <f t="shared" si="278"/>
        <v>0</v>
      </c>
      <c r="K265" s="125">
        <f t="shared" si="278"/>
        <v>0</v>
      </c>
      <c r="L265" s="125">
        <f t="shared" si="278"/>
        <v>0</v>
      </c>
      <c r="M265" s="125">
        <f t="shared" si="278"/>
        <v>0</v>
      </c>
      <c r="N265" s="125">
        <f t="shared" si="278"/>
        <v>0</v>
      </c>
      <c r="O265" s="125">
        <f t="shared" si="278"/>
        <v>0</v>
      </c>
      <c r="P265" s="125">
        <f t="shared" si="278"/>
        <v>0</v>
      </c>
      <c r="Q265" s="20"/>
      <c r="R265" s="46"/>
    </row>
    <row r="266" spans="1:18" ht="91.5" hidden="1" thickTop="1" thickBot="1" x14ac:dyDescent="0.25">
      <c r="A266" s="134" t="s">
        <v>1071</v>
      </c>
      <c r="B266" s="134" t="s">
        <v>692</v>
      </c>
      <c r="C266" s="134"/>
      <c r="D266" s="134" t="s">
        <v>693</v>
      </c>
      <c r="E266" s="135">
        <f>E267</f>
        <v>0</v>
      </c>
      <c r="F266" s="135">
        <f t="shared" si="278"/>
        <v>0</v>
      </c>
      <c r="G266" s="135">
        <f t="shared" si="278"/>
        <v>0</v>
      </c>
      <c r="H266" s="135">
        <f t="shared" si="278"/>
        <v>0</v>
      </c>
      <c r="I266" s="135">
        <f t="shared" si="278"/>
        <v>0</v>
      </c>
      <c r="J266" s="135">
        <f t="shared" si="278"/>
        <v>0</v>
      </c>
      <c r="K266" s="135">
        <f t="shared" si="278"/>
        <v>0</v>
      </c>
      <c r="L266" s="135">
        <f t="shared" si="278"/>
        <v>0</v>
      </c>
      <c r="M266" s="135">
        <f t="shared" si="278"/>
        <v>0</v>
      </c>
      <c r="N266" s="135">
        <f t="shared" si="278"/>
        <v>0</v>
      </c>
      <c r="O266" s="135">
        <f t="shared" si="278"/>
        <v>0</v>
      </c>
      <c r="P266" s="135">
        <f t="shared" si="278"/>
        <v>0</v>
      </c>
      <c r="Q266" s="20"/>
      <c r="R266" s="46"/>
    </row>
    <row r="267" spans="1:18" ht="48" hidden="1" thickTop="1" thickBot="1" x14ac:dyDescent="0.25">
      <c r="A267" s="126" t="s">
        <v>1072</v>
      </c>
      <c r="B267" s="126" t="s">
        <v>359</v>
      </c>
      <c r="C267" s="126" t="s">
        <v>43</v>
      </c>
      <c r="D267" s="126" t="s">
        <v>360</v>
      </c>
      <c r="E267" s="125">
        <f t="shared" ref="E267" si="279">F267</f>
        <v>0</v>
      </c>
      <c r="F267" s="132"/>
      <c r="G267" s="132"/>
      <c r="H267" s="132"/>
      <c r="I267" s="132"/>
      <c r="J267" s="125">
        <f>L267+O267</f>
        <v>0</v>
      </c>
      <c r="K267" s="132"/>
      <c r="L267" s="132"/>
      <c r="M267" s="132"/>
      <c r="N267" s="132"/>
      <c r="O267" s="130">
        <f>K267</f>
        <v>0</v>
      </c>
      <c r="P267" s="125">
        <f>E267+J267</f>
        <v>0</v>
      </c>
      <c r="Q267" s="20"/>
      <c r="R267" s="46"/>
    </row>
    <row r="268" spans="1:18" ht="91.5" thickTop="1" thickBot="1" x14ac:dyDescent="0.25">
      <c r="A268" s="624" t="s">
        <v>157</v>
      </c>
      <c r="B268" s="624"/>
      <c r="C268" s="624"/>
      <c r="D268" s="625" t="s">
        <v>554</v>
      </c>
      <c r="E268" s="626">
        <f>E269</f>
        <v>44774906.640000001</v>
      </c>
      <c r="F268" s="627">
        <f t="shared" ref="F268:G268" si="280">F269</f>
        <v>44774906.640000001</v>
      </c>
      <c r="G268" s="627">
        <f t="shared" si="280"/>
        <v>7586126</v>
      </c>
      <c r="H268" s="627">
        <f>H269</f>
        <v>218448</v>
      </c>
      <c r="I268" s="627">
        <f t="shared" ref="I268" si="281">I269</f>
        <v>0</v>
      </c>
      <c r="J268" s="626">
        <f>J269</f>
        <v>23483414</v>
      </c>
      <c r="K268" s="627">
        <f>K269</f>
        <v>23483414</v>
      </c>
      <c r="L268" s="627">
        <f>L269</f>
        <v>0</v>
      </c>
      <c r="M268" s="627">
        <f t="shared" ref="M268" si="282">M269</f>
        <v>0</v>
      </c>
      <c r="N268" s="627">
        <f>N269</f>
        <v>0</v>
      </c>
      <c r="O268" s="626">
        <f>O269</f>
        <v>23483414</v>
      </c>
      <c r="P268" s="627">
        <f>P269</f>
        <v>68258320.640000001</v>
      </c>
      <c r="Q268" s="20"/>
      <c r="R268" s="50"/>
    </row>
    <row r="269" spans="1:18" ht="120" customHeight="1" thickTop="1" thickBot="1" x14ac:dyDescent="0.25">
      <c r="A269" s="588" t="s">
        <v>158</v>
      </c>
      <c r="B269" s="588"/>
      <c r="C269" s="588"/>
      <c r="D269" s="589" t="s">
        <v>555</v>
      </c>
      <c r="E269" s="590">
        <f>E270+E276+E286+E295+E274</f>
        <v>44774906.640000001</v>
      </c>
      <c r="F269" s="590">
        <f t="shared" ref="F269:I269" si="283">F270+F276+F286+F295+F274</f>
        <v>44774906.640000001</v>
      </c>
      <c r="G269" s="590">
        <f t="shared" si="283"/>
        <v>7586126</v>
      </c>
      <c r="H269" s="590">
        <f t="shared" si="283"/>
        <v>218448</v>
      </c>
      <c r="I269" s="590">
        <f t="shared" si="283"/>
        <v>0</v>
      </c>
      <c r="J269" s="590">
        <f>L269+O269</f>
        <v>23483414</v>
      </c>
      <c r="K269" s="590">
        <f>K270+K276+K286+K295+K274</f>
        <v>23483414</v>
      </c>
      <c r="L269" s="590">
        <f t="shared" ref="L269:N269" si="284">L270+L276+L286+L295+L274</f>
        <v>0</v>
      </c>
      <c r="M269" s="590">
        <f t="shared" si="284"/>
        <v>0</v>
      </c>
      <c r="N269" s="590">
        <f t="shared" si="284"/>
        <v>0</v>
      </c>
      <c r="O269" s="590">
        <f>O270+O276+O286+O295+O274</f>
        <v>23483414</v>
      </c>
      <c r="P269" s="590">
        <f>E269+J269</f>
        <v>68258320.640000001</v>
      </c>
      <c r="Q269" s="452" t="b">
        <f>P269=P271+P278+P280+P281+P283+P284+P285+P290+P291+P297+P288+P275+P282</f>
        <v>1</v>
      </c>
      <c r="R269" s="54"/>
    </row>
    <row r="270" spans="1:18" ht="69" customHeight="1" thickTop="1" thickBot="1" x14ac:dyDescent="0.25">
      <c r="A270" s="298" t="s">
        <v>774</v>
      </c>
      <c r="B270" s="298" t="s">
        <v>672</v>
      </c>
      <c r="C270" s="298"/>
      <c r="D270" s="298" t="s">
        <v>673</v>
      </c>
      <c r="E270" s="310">
        <f>SUM(E271:E273)</f>
        <v>10148452</v>
      </c>
      <c r="F270" s="310">
        <f t="shared" ref="F270:N270" si="285">SUM(F271:F273)</f>
        <v>10148452</v>
      </c>
      <c r="G270" s="310">
        <f t="shared" si="285"/>
        <v>7586126</v>
      </c>
      <c r="H270" s="310">
        <f t="shared" si="285"/>
        <v>218448</v>
      </c>
      <c r="I270" s="310">
        <f t="shared" si="285"/>
        <v>0</v>
      </c>
      <c r="J270" s="310">
        <f t="shared" si="285"/>
        <v>30000</v>
      </c>
      <c r="K270" s="310">
        <f t="shared" si="285"/>
        <v>30000</v>
      </c>
      <c r="L270" s="310">
        <f t="shared" si="285"/>
        <v>0</v>
      </c>
      <c r="M270" s="310">
        <f t="shared" si="285"/>
        <v>0</v>
      </c>
      <c r="N270" s="310">
        <f t="shared" si="285"/>
        <v>0</v>
      </c>
      <c r="O270" s="310">
        <f>SUM(O271:O273)</f>
        <v>30000</v>
      </c>
      <c r="P270" s="310">
        <f>SUM(P271:P273)</f>
        <v>10178452</v>
      </c>
      <c r="Q270" s="47"/>
      <c r="R270" s="54"/>
    </row>
    <row r="271" spans="1:18" ht="117.75" customHeight="1" thickTop="1" thickBot="1" x14ac:dyDescent="0.25">
      <c r="A271" s="101" t="s">
        <v>416</v>
      </c>
      <c r="B271" s="101" t="s">
        <v>235</v>
      </c>
      <c r="C271" s="101" t="s">
        <v>233</v>
      </c>
      <c r="D271" s="101" t="s">
        <v>234</v>
      </c>
      <c r="E271" s="299">
        <f>F271</f>
        <v>10148452</v>
      </c>
      <c r="F271" s="308">
        <f>((10457112)+15040)-323700</f>
        <v>10148452</v>
      </c>
      <c r="G271" s="308">
        <f>(7851426)-265300</f>
        <v>7586126</v>
      </c>
      <c r="H271" s="308">
        <v>218448</v>
      </c>
      <c r="I271" s="308"/>
      <c r="J271" s="310">
        <f t="shared" ref="J271:J293" si="286">L271+O271</f>
        <v>30000</v>
      </c>
      <c r="K271" s="308">
        <v>30000</v>
      </c>
      <c r="L271" s="421"/>
      <c r="M271" s="421"/>
      <c r="N271" s="421"/>
      <c r="O271" s="422">
        <f t="shared" ref="O271:O290" si="287">K271</f>
        <v>30000</v>
      </c>
      <c r="P271" s="310">
        <f t="shared" ref="P271:P281" si="288">+J271+E271</f>
        <v>10178452</v>
      </c>
      <c r="Q271" s="20"/>
      <c r="R271" s="54"/>
    </row>
    <row r="272" spans="1:18" ht="93" hidden="1" thickTop="1" thickBot="1" x14ac:dyDescent="0.25">
      <c r="A272" s="126" t="s">
        <v>618</v>
      </c>
      <c r="B272" s="126" t="s">
        <v>358</v>
      </c>
      <c r="C272" s="126" t="s">
        <v>616</v>
      </c>
      <c r="D272" s="126" t="s">
        <v>617</v>
      </c>
      <c r="E272" s="125">
        <f t="shared" ref="E272:E273" si="289">F272</f>
        <v>0</v>
      </c>
      <c r="F272" s="127">
        <v>0</v>
      </c>
      <c r="G272" s="127"/>
      <c r="H272" s="127"/>
      <c r="I272" s="127"/>
      <c r="J272" s="125">
        <f t="shared" si="286"/>
        <v>0</v>
      </c>
      <c r="K272" s="127"/>
      <c r="L272" s="128"/>
      <c r="M272" s="129"/>
      <c r="N272" s="129"/>
      <c r="O272" s="130">
        <f t="shared" si="287"/>
        <v>0</v>
      </c>
      <c r="P272" s="125">
        <f>+J272+E272</f>
        <v>0</v>
      </c>
      <c r="Q272" s="20"/>
      <c r="R272" s="54"/>
    </row>
    <row r="273" spans="1:18" ht="48" hidden="1" thickTop="1" thickBot="1" x14ac:dyDescent="0.25">
      <c r="A273" s="126" t="s">
        <v>1105</v>
      </c>
      <c r="B273" s="126" t="s">
        <v>43</v>
      </c>
      <c r="C273" s="126" t="s">
        <v>42</v>
      </c>
      <c r="D273" s="126" t="s">
        <v>246</v>
      </c>
      <c r="E273" s="125">
        <f t="shared" si="289"/>
        <v>0</v>
      </c>
      <c r="F273" s="127"/>
      <c r="G273" s="127"/>
      <c r="H273" s="127"/>
      <c r="I273" s="127"/>
      <c r="J273" s="125">
        <f t="shared" si="286"/>
        <v>0</v>
      </c>
      <c r="K273" s="127"/>
      <c r="L273" s="128"/>
      <c r="M273" s="129"/>
      <c r="N273" s="129"/>
      <c r="O273" s="130"/>
      <c r="P273" s="125">
        <f>+J273+E273</f>
        <v>0</v>
      </c>
      <c r="Q273" s="20"/>
      <c r="R273" s="54"/>
    </row>
    <row r="274" spans="1:18" ht="72" customHeight="1" thickTop="1" thickBot="1" x14ac:dyDescent="0.25">
      <c r="A274" s="298" t="s">
        <v>1708</v>
      </c>
      <c r="B274" s="298" t="s">
        <v>698</v>
      </c>
      <c r="C274" s="298"/>
      <c r="D274" s="298" t="s">
        <v>699</v>
      </c>
      <c r="E274" s="310">
        <f t="shared" ref="E274:P274" si="290">SUM(E275:E275)</f>
        <v>0</v>
      </c>
      <c r="F274" s="310">
        <f t="shared" si="290"/>
        <v>0</v>
      </c>
      <c r="G274" s="310">
        <f t="shared" si="290"/>
        <v>0</v>
      </c>
      <c r="H274" s="310">
        <f t="shared" si="290"/>
        <v>0</v>
      </c>
      <c r="I274" s="310">
        <f t="shared" si="290"/>
        <v>0</v>
      </c>
      <c r="J274" s="310">
        <f t="shared" si="290"/>
        <v>10000</v>
      </c>
      <c r="K274" s="310">
        <f t="shared" si="290"/>
        <v>10000</v>
      </c>
      <c r="L274" s="310">
        <f t="shared" si="290"/>
        <v>0</v>
      </c>
      <c r="M274" s="310">
        <f t="shared" si="290"/>
        <v>0</v>
      </c>
      <c r="N274" s="310">
        <f t="shared" si="290"/>
        <v>0</v>
      </c>
      <c r="O274" s="310">
        <f t="shared" si="290"/>
        <v>10000</v>
      </c>
      <c r="P274" s="310">
        <f t="shared" si="290"/>
        <v>10000</v>
      </c>
      <c r="Q274" s="20"/>
      <c r="R274" s="54"/>
    </row>
    <row r="275" spans="1:18" ht="140.25" customHeight="1" thickTop="1" thickBot="1" x14ac:dyDescent="0.25">
      <c r="A275" s="101" t="s">
        <v>1709</v>
      </c>
      <c r="B275" s="101" t="s">
        <v>1159</v>
      </c>
      <c r="C275" s="101" t="s">
        <v>205</v>
      </c>
      <c r="D275" s="600" t="s">
        <v>1160</v>
      </c>
      <c r="E275" s="310">
        <f t="shared" ref="E275" si="291">F275</f>
        <v>0</v>
      </c>
      <c r="F275" s="425"/>
      <c r="G275" s="425"/>
      <c r="H275" s="425"/>
      <c r="I275" s="425"/>
      <c r="J275" s="310">
        <f>L275+O275</f>
        <v>10000</v>
      </c>
      <c r="K275" s="425">
        <f>(1000000)-990000</f>
        <v>10000</v>
      </c>
      <c r="L275" s="425"/>
      <c r="M275" s="425"/>
      <c r="N275" s="425"/>
      <c r="O275" s="422">
        <f>K275</f>
        <v>10000</v>
      </c>
      <c r="P275" s="310">
        <f>E275+J275</f>
        <v>10000</v>
      </c>
      <c r="Q275" s="20"/>
      <c r="R275" s="54"/>
    </row>
    <row r="276" spans="1:18" ht="47.25" thickTop="1" thickBot="1" x14ac:dyDescent="0.25">
      <c r="A276" s="298" t="s">
        <v>775</v>
      </c>
      <c r="B276" s="298" t="s">
        <v>729</v>
      </c>
      <c r="C276" s="298"/>
      <c r="D276" s="597" t="s">
        <v>730</v>
      </c>
      <c r="E276" s="310">
        <f>SUM(E277:E285)-E277</f>
        <v>23496689</v>
      </c>
      <c r="F276" s="310">
        <f t="shared" ref="F276:P276" si="292">SUM(F277:F285)-F277</f>
        <v>23496689</v>
      </c>
      <c r="G276" s="310">
        <f t="shared" si="292"/>
        <v>0</v>
      </c>
      <c r="H276" s="310">
        <f t="shared" si="292"/>
        <v>0</v>
      </c>
      <c r="I276" s="310">
        <f t="shared" si="292"/>
        <v>0</v>
      </c>
      <c r="J276" s="310">
        <f t="shared" si="292"/>
        <v>23443414</v>
      </c>
      <c r="K276" s="310">
        <f t="shared" si="292"/>
        <v>23443414</v>
      </c>
      <c r="L276" s="310">
        <f t="shared" si="292"/>
        <v>0</v>
      </c>
      <c r="M276" s="310">
        <f t="shared" si="292"/>
        <v>0</v>
      </c>
      <c r="N276" s="310">
        <f t="shared" si="292"/>
        <v>0</v>
      </c>
      <c r="O276" s="310">
        <f t="shared" si="292"/>
        <v>23443414</v>
      </c>
      <c r="P276" s="310">
        <f t="shared" si="292"/>
        <v>46940103</v>
      </c>
      <c r="Q276" s="20"/>
      <c r="R276" s="54"/>
    </row>
    <row r="277" spans="1:18" s="33" customFormat="1" ht="93" thickTop="1" thickBot="1" x14ac:dyDescent="0.25">
      <c r="A277" s="598" t="s">
        <v>776</v>
      </c>
      <c r="B277" s="598" t="s">
        <v>777</v>
      </c>
      <c r="C277" s="598"/>
      <c r="D277" s="598" t="s">
        <v>778</v>
      </c>
      <c r="E277" s="599">
        <f>SUM(E278:E281)</f>
        <v>4797858</v>
      </c>
      <c r="F277" s="599">
        <f t="shared" ref="F277:P277" si="293">SUM(F278:F281)</f>
        <v>4797858</v>
      </c>
      <c r="G277" s="599">
        <f t="shared" si="293"/>
        <v>0</v>
      </c>
      <c r="H277" s="599">
        <f t="shared" si="293"/>
        <v>0</v>
      </c>
      <c r="I277" s="599">
        <f t="shared" si="293"/>
        <v>0</v>
      </c>
      <c r="J277" s="599">
        <f t="shared" si="293"/>
        <v>17555940</v>
      </c>
      <c r="K277" s="599">
        <f t="shared" si="293"/>
        <v>17555940</v>
      </c>
      <c r="L277" s="599">
        <f t="shared" si="293"/>
        <v>0</v>
      </c>
      <c r="M277" s="599">
        <f t="shared" si="293"/>
        <v>0</v>
      </c>
      <c r="N277" s="599">
        <f t="shared" si="293"/>
        <v>0</v>
      </c>
      <c r="O277" s="599">
        <f t="shared" si="293"/>
        <v>17555940</v>
      </c>
      <c r="P277" s="599">
        <f t="shared" si="293"/>
        <v>22353798</v>
      </c>
      <c r="Q277" s="36"/>
      <c r="R277" s="54"/>
    </row>
    <row r="278" spans="1:18" ht="88.5" customHeight="1" thickTop="1" thickBot="1" x14ac:dyDescent="0.25">
      <c r="A278" s="101" t="s">
        <v>278</v>
      </c>
      <c r="B278" s="101" t="s">
        <v>279</v>
      </c>
      <c r="C278" s="101" t="s">
        <v>337</v>
      </c>
      <c r="D278" s="101" t="s">
        <v>280</v>
      </c>
      <c r="E278" s="299">
        <f>F278</f>
        <v>4746258</v>
      </c>
      <c r="F278" s="308">
        <f>(((1911200)+1430798)+780000)+624260</f>
        <v>4746258</v>
      </c>
      <c r="G278" s="308"/>
      <c r="H278" s="308"/>
      <c r="I278" s="308"/>
      <c r="J278" s="310">
        <f t="shared" si="286"/>
        <v>4384867</v>
      </c>
      <c r="K278" s="308">
        <f>(((1500000)+1933570)+498522)+452775</f>
        <v>4384867</v>
      </c>
      <c r="L278" s="421"/>
      <c r="M278" s="421"/>
      <c r="N278" s="421"/>
      <c r="O278" s="422">
        <f t="shared" si="287"/>
        <v>4384867</v>
      </c>
      <c r="P278" s="310">
        <f t="shared" si="288"/>
        <v>9131125</v>
      </c>
      <c r="Q278" s="20"/>
      <c r="R278" s="54"/>
    </row>
    <row r="279" spans="1:18" ht="48" hidden="1" thickTop="1" thickBot="1" x14ac:dyDescent="0.25">
      <c r="A279" s="126" t="s">
        <v>1521</v>
      </c>
      <c r="B279" s="126" t="s">
        <v>284</v>
      </c>
      <c r="C279" s="126" t="s">
        <v>281</v>
      </c>
      <c r="D279" s="126" t="s">
        <v>285</v>
      </c>
      <c r="E279" s="150">
        <f>F279</f>
        <v>0</v>
      </c>
      <c r="F279" s="127"/>
      <c r="G279" s="127"/>
      <c r="H279" s="127"/>
      <c r="I279" s="127"/>
      <c r="J279" s="125">
        <f t="shared" ref="J279" si="294">L279+O279</f>
        <v>0</v>
      </c>
      <c r="K279" s="127"/>
      <c r="L279" s="128"/>
      <c r="M279" s="128"/>
      <c r="N279" s="128"/>
      <c r="O279" s="130">
        <f t="shared" ref="O279" si="295">K279</f>
        <v>0</v>
      </c>
      <c r="P279" s="125">
        <f t="shared" ref="P279" si="296">+J279+E279</f>
        <v>0</v>
      </c>
      <c r="Q279" s="20"/>
      <c r="R279" s="54"/>
    </row>
    <row r="280" spans="1:18" ht="82.5" customHeight="1" thickTop="1" thickBot="1" x14ac:dyDescent="0.25">
      <c r="A280" s="101" t="s">
        <v>299</v>
      </c>
      <c r="B280" s="101" t="s">
        <v>300</v>
      </c>
      <c r="C280" s="101" t="s">
        <v>281</v>
      </c>
      <c r="D280" s="101" t="s">
        <v>301</v>
      </c>
      <c r="E280" s="299">
        <f t="shared" ref="E280:E293" si="297">F280</f>
        <v>0</v>
      </c>
      <c r="F280" s="308"/>
      <c r="G280" s="308"/>
      <c r="H280" s="308"/>
      <c r="I280" s="308"/>
      <c r="J280" s="310">
        <f t="shared" si="286"/>
        <v>13171073</v>
      </c>
      <c r="K280" s="308">
        <f>(((3384000)+4000000)+3000000)+2787073</f>
        <v>13171073</v>
      </c>
      <c r="L280" s="421"/>
      <c r="M280" s="421"/>
      <c r="N280" s="421"/>
      <c r="O280" s="422">
        <f t="shared" si="287"/>
        <v>13171073</v>
      </c>
      <c r="P280" s="310">
        <f t="shared" si="288"/>
        <v>13171073</v>
      </c>
      <c r="Q280" s="20"/>
      <c r="R280" s="54"/>
    </row>
    <row r="281" spans="1:18" ht="93" thickTop="1" thickBot="1" x14ac:dyDescent="0.25">
      <c r="A281" s="101" t="s">
        <v>282</v>
      </c>
      <c r="B281" s="101" t="s">
        <v>283</v>
      </c>
      <c r="C281" s="101" t="s">
        <v>281</v>
      </c>
      <c r="D281" s="101" t="s">
        <v>461</v>
      </c>
      <c r="E281" s="299">
        <f t="shared" si="297"/>
        <v>51600</v>
      </c>
      <c r="F281" s="308">
        <v>51600</v>
      </c>
      <c r="G281" s="308"/>
      <c r="H281" s="308"/>
      <c r="I281" s="308"/>
      <c r="J281" s="310">
        <f t="shared" si="286"/>
        <v>0</v>
      </c>
      <c r="K281" s="308"/>
      <c r="L281" s="421"/>
      <c r="M281" s="421"/>
      <c r="N281" s="421"/>
      <c r="O281" s="422">
        <f t="shared" si="287"/>
        <v>0</v>
      </c>
      <c r="P281" s="310">
        <f t="shared" si="288"/>
        <v>51600</v>
      </c>
      <c r="Q281" s="20"/>
      <c r="R281" s="54"/>
    </row>
    <row r="282" spans="1:18" ht="117.75" customHeight="1" thickTop="1" thickBot="1" x14ac:dyDescent="0.25">
      <c r="A282" s="101" t="s">
        <v>909</v>
      </c>
      <c r="B282" s="101" t="s">
        <v>295</v>
      </c>
      <c r="C282" s="101" t="s">
        <v>281</v>
      </c>
      <c r="D282" s="101" t="s">
        <v>296</v>
      </c>
      <c r="E282" s="299">
        <f t="shared" ref="E282" si="298">F282</f>
        <v>1658108</v>
      </c>
      <c r="F282" s="308">
        <f>((0)+504000)+1154108</f>
        <v>1658108</v>
      </c>
      <c r="G282" s="308"/>
      <c r="H282" s="308"/>
      <c r="I282" s="308"/>
      <c r="J282" s="310">
        <f t="shared" ref="J282" si="299">L282+O282</f>
        <v>0</v>
      </c>
      <c r="K282" s="308"/>
      <c r="L282" s="421"/>
      <c r="M282" s="421"/>
      <c r="N282" s="421"/>
      <c r="O282" s="422">
        <f t="shared" ref="O282" si="300">K282</f>
        <v>0</v>
      </c>
      <c r="P282" s="310">
        <f t="shared" ref="P282" si="301">+J282+E282</f>
        <v>1658108</v>
      </c>
      <c r="Q282" s="20"/>
      <c r="R282" s="54"/>
    </row>
    <row r="283" spans="1:18" ht="72.75" customHeight="1" thickTop="1" thickBot="1" x14ac:dyDescent="0.25">
      <c r="A283" s="101" t="s">
        <v>286</v>
      </c>
      <c r="B283" s="101" t="s">
        <v>287</v>
      </c>
      <c r="C283" s="101" t="s">
        <v>281</v>
      </c>
      <c r="D283" s="101" t="s">
        <v>288</v>
      </c>
      <c r="E283" s="299">
        <f t="shared" si="297"/>
        <v>15000000</v>
      </c>
      <c r="F283" s="308">
        <f>(((5000000)+3000000)+5000000)+2000000</f>
        <v>15000000</v>
      </c>
      <c r="G283" s="308"/>
      <c r="H283" s="308"/>
      <c r="I283" s="308"/>
      <c r="J283" s="310">
        <f t="shared" si="286"/>
        <v>2423285</v>
      </c>
      <c r="K283" s="425">
        <f>((0)+1000000)+1423285</f>
        <v>2423285</v>
      </c>
      <c r="L283" s="308"/>
      <c r="M283" s="308"/>
      <c r="N283" s="308"/>
      <c r="O283" s="422">
        <f t="shared" si="287"/>
        <v>2423285</v>
      </c>
      <c r="P283" s="310">
        <f t="shared" ref="P283" si="302">E283+J283</f>
        <v>17423285</v>
      </c>
      <c r="Q283" s="20"/>
      <c r="R283" s="50"/>
    </row>
    <row r="284" spans="1:18" ht="72.75" customHeight="1" thickTop="1" thickBot="1" x14ac:dyDescent="0.25">
      <c r="A284" s="101" t="s">
        <v>1219</v>
      </c>
      <c r="B284" s="101" t="s">
        <v>1110</v>
      </c>
      <c r="C284" s="101" t="s">
        <v>1111</v>
      </c>
      <c r="D284" s="101" t="s">
        <v>1108</v>
      </c>
      <c r="E284" s="299">
        <f t="shared" ref="E284" si="303">F284</f>
        <v>2040723</v>
      </c>
      <c r="F284" s="308">
        <f>((1545300)+439462)+55961</f>
        <v>2040723</v>
      </c>
      <c r="G284" s="308"/>
      <c r="H284" s="308"/>
      <c r="I284" s="308"/>
      <c r="J284" s="310">
        <f t="shared" ref="J284" si="304">L284+O284</f>
        <v>1500000</v>
      </c>
      <c r="K284" s="425">
        <f>(0)+1500000</f>
        <v>1500000</v>
      </c>
      <c r="L284" s="308"/>
      <c r="M284" s="308"/>
      <c r="N284" s="308"/>
      <c r="O284" s="422">
        <f t="shared" ref="O284" si="305">K284</f>
        <v>1500000</v>
      </c>
      <c r="P284" s="310">
        <f t="shared" ref="P284" si="306">E284+J284</f>
        <v>3540723</v>
      </c>
      <c r="Q284" s="20"/>
      <c r="R284" s="50"/>
    </row>
    <row r="285" spans="1:18" ht="72.75" customHeight="1" thickTop="1" thickBot="1" x14ac:dyDescent="0.25">
      <c r="A285" s="101" t="s">
        <v>1559</v>
      </c>
      <c r="B285" s="101" t="s">
        <v>1560</v>
      </c>
      <c r="C285" s="101" t="s">
        <v>1111</v>
      </c>
      <c r="D285" s="101" t="s">
        <v>1561</v>
      </c>
      <c r="E285" s="299">
        <f t="shared" ref="E285" si="307">F285</f>
        <v>0</v>
      </c>
      <c r="F285" s="308"/>
      <c r="G285" s="308"/>
      <c r="H285" s="308"/>
      <c r="I285" s="308"/>
      <c r="J285" s="310">
        <f t="shared" ref="J285" si="308">L285+O285</f>
        <v>1964189</v>
      </c>
      <c r="K285" s="425">
        <f>(1282028)+682161</f>
        <v>1964189</v>
      </c>
      <c r="L285" s="308"/>
      <c r="M285" s="308"/>
      <c r="N285" s="308"/>
      <c r="O285" s="422">
        <f t="shared" ref="O285" si="309">K285</f>
        <v>1964189</v>
      </c>
      <c r="P285" s="310">
        <f t="shared" ref="P285" si="310">E285+J285</f>
        <v>1964189</v>
      </c>
      <c r="Q285" s="20"/>
      <c r="R285" s="50"/>
    </row>
    <row r="286" spans="1:18" ht="47.25" thickTop="1" thickBot="1" x14ac:dyDescent="0.25">
      <c r="A286" s="298" t="s">
        <v>779</v>
      </c>
      <c r="B286" s="298" t="s">
        <v>735</v>
      </c>
      <c r="C286" s="298"/>
      <c r="D286" s="298" t="s">
        <v>780</v>
      </c>
      <c r="E286" s="299">
        <f>E289+E287</f>
        <v>9461689.6400000006</v>
      </c>
      <c r="F286" s="299">
        <f t="shared" ref="F286:P286" si="311">F289+F287</f>
        <v>9461689.6400000006</v>
      </c>
      <c r="G286" s="299">
        <f t="shared" si="311"/>
        <v>0</v>
      </c>
      <c r="H286" s="299">
        <f t="shared" si="311"/>
        <v>0</v>
      </c>
      <c r="I286" s="299">
        <f t="shared" si="311"/>
        <v>0</v>
      </c>
      <c r="J286" s="299">
        <f t="shared" si="311"/>
        <v>0</v>
      </c>
      <c r="K286" s="299">
        <f t="shared" si="311"/>
        <v>0</v>
      </c>
      <c r="L286" s="299">
        <f t="shared" si="311"/>
        <v>0</v>
      </c>
      <c r="M286" s="299">
        <f t="shared" si="311"/>
        <v>0</v>
      </c>
      <c r="N286" s="299">
        <f t="shared" si="311"/>
        <v>0</v>
      </c>
      <c r="O286" s="299">
        <f t="shared" si="311"/>
        <v>0</v>
      </c>
      <c r="P286" s="299">
        <f t="shared" si="311"/>
        <v>9461689.6400000006</v>
      </c>
      <c r="Q286" s="20"/>
      <c r="R286" s="50"/>
    </row>
    <row r="287" spans="1:18" ht="47.25" thickTop="1" thickBot="1" x14ac:dyDescent="0.25">
      <c r="A287" s="593" t="s">
        <v>1672</v>
      </c>
      <c r="B287" s="593" t="s">
        <v>824</v>
      </c>
      <c r="C287" s="593"/>
      <c r="D287" s="593" t="s">
        <v>825</v>
      </c>
      <c r="E287" s="595">
        <f>SUM(E288)</f>
        <v>30400</v>
      </c>
      <c r="F287" s="595">
        <f t="shared" ref="F287:P287" si="312">SUM(F288)</f>
        <v>30400</v>
      </c>
      <c r="G287" s="595">
        <f t="shared" si="312"/>
        <v>0</v>
      </c>
      <c r="H287" s="595">
        <f t="shared" si="312"/>
        <v>0</v>
      </c>
      <c r="I287" s="595">
        <f t="shared" si="312"/>
        <v>0</v>
      </c>
      <c r="J287" s="595">
        <f t="shared" si="312"/>
        <v>0</v>
      </c>
      <c r="K287" s="595">
        <f t="shared" si="312"/>
        <v>0</v>
      </c>
      <c r="L287" s="595">
        <f t="shared" si="312"/>
        <v>0</v>
      </c>
      <c r="M287" s="595">
        <f t="shared" si="312"/>
        <v>0</v>
      </c>
      <c r="N287" s="595">
        <f t="shared" si="312"/>
        <v>0</v>
      </c>
      <c r="O287" s="595">
        <f t="shared" si="312"/>
        <v>0</v>
      </c>
      <c r="P287" s="595">
        <f t="shared" si="312"/>
        <v>30400</v>
      </c>
      <c r="Q287" s="20"/>
      <c r="R287" s="50"/>
    </row>
    <row r="288" spans="1:18" ht="60.75" customHeight="1" thickTop="1" thickBot="1" x14ac:dyDescent="0.25">
      <c r="A288" s="101" t="s">
        <v>1673</v>
      </c>
      <c r="B288" s="101" t="s">
        <v>305</v>
      </c>
      <c r="C288" s="101" t="s">
        <v>306</v>
      </c>
      <c r="D288" s="101" t="s">
        <v>456</v>
      </c>
      <c r="E288" s="310">
        <f>F288</f>
        <v>30400</v>
      </c>
      <c r="F288" s="425">
        <v>30400</v>
      </c>
      <c r="G288" s="425"/>
      <c r="H288" s="425"/>
      <c r="I288" s="425"/>
      <c r="J288" s="310">
        <f>L288+O288</f>
        <v>0</v>
      </c>
      <c r="K288" s="425"/>
      <c r="L288" s="425"/>
      <c r="M288" s="425"/>
      <c r="N288" s="425"/>
      <c r="O288" s="422">
        <f>(K288)</f>
        <v>0</v>
      </c>
      <c r="P288" s="310">
        <f>E288+J288</f>
        <v>30400</v>
      </c>
      <c r="Q288" s="20"/>
      <c r="R288" s="50"/>
    </row>
    <row r="289" spans="1:18" ht="47.25" thickTop="1" thickBot="1" x14ac:dyDescent="0.25">
      <c r="A289" s="593" t="s">
        <v>781</v>
      </c>
      <c r="B289" s="593" t="s">
        <v>679</v>
      </c>
      <c r="C289" s="593"/>
      <c r="D289" s="593" t="s">
        <v>677</v>
      </c>
      <c r="E289" s="596">
        <f>E290+E292+E291</f>
        <v>9431289.6400000006</v>
      </c>
      <c r="F289" s="596">
        <f t="shared" ref="F289:P289" si="313">F290+F292+F291</f>
        <v>9431289.6400000006</v>
      </c>
      <c r="G289" s="596">
        <f t="shared" si="313"/>
        <v>0</v>
      </c>
      <c r="H289" s="596">
        <f t="shared" si="313"/>
        <v>0</v>
      </c>
      <c r="I289" s="596">
        <f t="shared" si="313"/>
        <v>0</v>
      </c>
      <c r="J289" s="596">
        <f>J290+J292+J291</f>
        <v>0</v>
      </c>
      <c r="K289" s="596">
        <f t="shared" si="313"/>
        <v>0</v>
      </c>
      <c r="L289" s="596">
        <f t="shared" si="313"/>
        <v>0</v>
      </c>
      <c r="M289" s="596">
        <f t="shared" si="313"/>
        <v>0</v>
      </c>
      <c r="N289" s="596">
        <f t="shared" si="313"/>
        <v>0</v>
      </c>
      <c r="O289" s="596">
        <f t="shared" si="313"/>
        <v>0</v>
      </c>
      <c r="P289" s="596">
        <f t="shared" si="313"/>
        <v>9431289.6400000006</v>
      </c>
      <c r="Q289" s="20"/>
      <c r="R289" s="50"/>
    </row>
    <row r="290" spans="1:18" ht="82.5" customHeight="1" thickTop="1" thickBot="1" x14ac:dyDescent="0.25">
      <c r="A290" s="101" t="s">
        <v>294</v>
      </c>
      <c r="B290" s="101" t="s">
        <v>211</v>
      </c>
      <c r="C290" s="101" t="s">
        <v>212</v>
      </c>
      <c r="D290" s="101" t="s">
        <v>41</v>
      </c>
      <c r="E290" s="299">
        <f t="shared" si="297"/>
        <v>9431289.6400000006</v>
      </c>
      <c r="F290" s="308">
        <f>(((911400+600000)+2620384)+5632662)-283156.36-50000</f>
        <v>9431289.6400000006</v>
      </c>
      <c r="G290" s="308"/>
      <c r="H290" s="308"/>
      <c r="I290" s="308"/>
      <c r="J290" s="310">
        <f t="shared" si="286"/>
        <v>0</v>
      </c>
      <c r="K290" s="425"/>
      <c r="L290" s="308"/>
      <c r="M290" s="308"/>
      <c r="N290" s="308"/>
      <c r="O290" s="422">
        <f t="shared" si="287"/>
        <v>0</v>
      </c>
      <c r="P290" s="310">
        <f>E290+J290</f>
        <v>9431289.6400000006</v>
      </c>
      <c r="Q290" s="20"/>
      <c r="R290" s="54"/>
    </row>
    <row r="291" spans="1:18" ht="72.75" hidden="1" customHeight="1" thickTop="1" thickBot="1" x14ac:dyDescent="0.25">
      <c r="A291" s="709" t="s">
        <v>900</v>
      </c>
      <c r="B291" s="709" t="s">
        <v>196</v>
      </c>
      <c r="C291" s="709" t="s">
        <v>169</v>
      </c>
      <c r="D291" s="709" t="s">
        <v>34</v>
      </c>
      <c r="E291" s="722">
        <f t="shared" ref="E291" si="314">F291</f>
        <v>0</v>
      </c>
      <c r="F291" s="717"/>
      <c r="G291" s="717"/>
      <c r="H291" s="717"/>
      <c r="I291" s="717"/>
      <c r="J291" s="710">
        <f t="shared" ref="J291" si="315">L291+O291</f>
        <v>0</v>
      </c>
      <c r="K291" s="711">
        <f>((10000000)+20000000)-30000000</f>
        <v>0</v>
      </c>
      <c r="L291" s="717"/>
      <c r="M291" s="717"/>
      <c r="N291" s="717"/>
      <c r="O291" s="712">
        <f t="shared" ref="O291" si="316">K291</f>
        <v>0</v>
      </c>
      <c r="P291" s="710">
        <f>E291+J291</f>
        <v>0</v>
      </c>
      <c r="Q291" s="20"/>
      <c r="R291" s="54"/>
    </row>
    <row r="292" spans="1:18" ht="48" hidden="1" thickTop="1" thickBot="1" x14ac:dyDescent="0.25">
      <c r="A292" s="138" t="s">
        <v>782</v>
      </c>
      <c r="B292" s="138" t="s">
        <v>682</v>
      </c>
      <c r="C292" s="138"/>
      <c r="D292" s="138" t="s">
        <v>783</v>
      </c>
      <c r="E292" s="155">
        <f>E293</f>
        <v>0</v>
      </c>
      <c r="F292" s="155">
        <f t="shared" ref="F292:P292" si="317">F293</f>
        <v>0</v>
      </c>
      <c r="G292" s="155">
        <f t="shared" si="317"/>
        <v>0</v>
      </c>
      <c r="H292" s="155">
        <f t="shared" si="317"/>
        <v>0</v>
      </c>
      <c r="I292" s="155">
        <f t="shared" si="317"/>
        <v>0</v>
      </c>
      <c r="J292" s="155">
        <f t="shared" si="317"/>
        <v>0</v>
      </c>
      <c r="K292" s="155">
        <f t="shared" si="317"/>
        <v>0</v>
      </c>
      <c r="L292" s="155">
        <f t="shared" si="317"/>
        <v>0</v>
      </c>
      <c r="M292" s="155">
        <f t="shared" si="317"/>
        <v>0</v>
      </c>
      <c r="N292" s="155">
        <f t="shared" si="317"/>
        <v>0</v>
      </c>
      <c r="O292" s="155">
        <f t="shared" si="317"/>
        <v>0</v>
      </c>
      <c r="P292" s="155">
        <f t="shared" si="317"/>
        <v>0</v>
      </c>
      <c r="Q292" s="20"/>
      <c r="R292" s="50"/>
    </row>
    <row r="293" spans="1:18" ht="214.5" hidden="1" customHeight="1" thickTop="1" thickBot="1" x14ac:dyDescent="0.7">
      <c r="A293" s="770" t="s">
        <v>419</v>
      </c>
      <c r="B293" s="770" t="s">
        <v>335</v>
      </c>
      <c r="C293" s="770" t="s">
        <v>169</v>
      </c>
      <c r="D293" s="152" t="s">
        <v>435</v>
      </c>
      <c r="E293" s="765">
        <f t="shared" si="297"/>
        <v>0</v>
      </c>
      <c r="F293" s="755"/>
      <c r="G293" s="755"/>
      <c r="H293" s="755"/>
      <c r="I293" s="755"/>
      <c r="J293" s="765">
        <f t="shared" si="286"/>
        <v>0</v>
      </c>
      <c r="K293" s="755"/>
      <c r="L293" s="755">
        <v>0</v>
      </c>
      <c r="M293" s="755"/>
      <c r="N293" s="755"/>
      <c r="O293" s="807">
        <f>((K293+884000)-450000)-434000</f>
        <v>0</v>
      </c>
      <c r="P293" s="805">
        <f>E293+J293</f>
        <v>0</v>
      </c>
      <c r="Q293" s="20"/>
      <c r="R293" s="50"/>
    </row>
    <row r="294" spans="1:18" ht="93" hidden="1" thickTop="1" thickBot="1" x14ac:dyDescent="0.25">
      <c r="A294" s="770"/>
      <c r="B294" s="770"/>
      <c r="C294" s="770"/>
      <c r="D294" s="153" t="s">
        <v>436</v>
      </c>
      <c r="E294" s="765"/>
      <c r="F294" s="755"/>
      <c r="G294" s="755"/>
      <c r="H294" s="755"/>
      <c r="I294" s="755"/>
      <c r="J294" s="765"/>
      <c r="K294" s="755"/>
      <c r="L294" s="755"/>
      <c r="M294" s="755"/>
      <c r="N294" s="755"/>
      <c r="O294" s="807"/>
      <c r="P294" s="805"/>
      <c r="Q294" s="20"/>
      <c r="R294" s="50"/>
    </row>
    <row r="295" spans="1:18" ht="47.25" thickTop="1" thickBot="1" x14ac:dyDescent="0.25">
      <c r="A295" s="298" t="s">
        <v>1189</v>
      </c>
      <c r="B295" s="298" t="s">
        <v>684</v>
      </c>
      <c r="C295" s="298"/>
      <c r="D295" s="298" t="s">
        <v>685</v>
      </c>
      <c r="E295" s="310">
        <f>E298+E296</f>
        <v>1668076</v>
      </c>
      <c r="F295" s="310">
        <f t="shared" ref="F295:I295" si="318">F298+F296</f>
        <v>1668076</v>
      </c>
      <c r="G295" s="310">
        <f t="shared" si="318"/>
        <v>0</v>
      </c>
      <c r="H295" s="310">
        <f t="shared" si="318"/>
        <v>0</v>
      </c>
      <c r="I295" s="310">
        <f t="shared" si="318"/>
        <v>0</v>
      </c>
      <c r="J295" s="310">
        <f>J298+J296</f>
        <v>0</v>
      </c>
      <c r="K295" s="310">
        <f t="shared" ref="K295:N295" si="319">K298+K296</f>
        <v>0</v>
      </c>
      <c r="L295" s="310">
        <f t="shared" si="319"/>
        <v>0</v>
      </c>
      <c r="M295" s="310">
        <f t="shared" si="319"/>
        <v>0</v>
      </c>
      <c r="N295" s="310">
        <f t="shared" si="319"/>
        <v>0</v>
      </c>
      <c r="O295" s="310">
        <f>O298+O296</f>
        <v>0</v>
      </c>
      <c r="P295" s="310">
        <f>P298+P296</f>
        <v>1668076</v>
      </c>
      <c r="Q295" s="20"/>
      <c r="R295" s="50"/>
    </row>
    <row r="296" spans="1:18" ht="47.25" thickTop="1" thickBot="1" x14ac:dyDescent="0.25">
      <c r="A296" s="593" t="s">
        <v>1422</v>
      </c>
      <c r="B296" s="593" t="s">
        <v>797</v>
      </c>
      <c r="C296" s="593"/>
      <c r="D296" s="594" t="s">
        <v>1236</v>
      </c>
      <c r="E296" s="595">
        <f>SUM(E297:E299)</f>
        <v>1668076</v>
      </c>
      <c r="F296" s="595">
        <f t="shared" ref="F296:P296" si="320">SUM(F297:F299)</f>
        <v>1668076</v>
      </c>
      <c r="G296" s="595">
        <f t="shared" si="320"/>
        <v>0</v>
      </c>
      <c r="H296" s="595">
        <f t="shared" si="320"/>
        <v>0</v>
      </c>
      <c r="I296" s="595">
        <f t="shared" si="320"/>
        <v>0</v>
      </c>
      <c r="J296" s="595">
        <f t="shared" si="320"/>
        <v>0</v>
      </c>
      <c r="K296" s="595">
        <f t="shared" si="320"/>
        <v>0</v>
      </c>
      <c r="L296" s="595">
        <f t="shared" si="320"/>
        <v>0</v>
      </c>
      <c r="M296" s="595">
        <f t="shared" si="320"/>
        <v>0</v>
      </c>
      <c r="N296" s="595">
        <f t="shared" si="320"/>
        <v>0</v>
      </c>
      <c r="O296" s="595">
        <f t="shared" si="320"/>
        <v>0</v>
      </c>
      <c r="P296" s="595">
        <f t="shared" si="320"/>
        <v>1668076</v>
      </c>
      <c r="Q296" s="20"/>
      <c r="R296" s="50"/>
    </row>
    <row r="297" spans="1:18" ht="93" thickTop="1" thickBot="1" x14ac:dyDescent="0.25">
      <c r="A297" s="101" t="s">
        <v>1423</v>
      </c>
      <c r="B297" s="101" t="s">
        <v>511</v>
      </c>
      <c r="C297" s="101" t="s">
        <v>249</v>
      </c>
      <c r="D297" s="101" t="s">
        <v>512</v>
      </c>
      <c r="E297" s="299">
        <f>F297</f>
        <v>1668076</v>
      </c>
      <c r="F297" s="308">
        <f>((1968076)+300000)-600000</f>
        <v>1668076</v>
      </c>
      <c r="G297" s="308"/>
      <c r="H297" s="308"/>
      <c r="I297" s="308"/>
      <c r="J297" s="310">
        <f>L297+O297</f>
        <v>0</v>
      </c>
      <c r="K297" s="425"/>
      <c r="L297" s="308"/>
      <c r="M297" s="308"/>
      <c r="N297" s="308"/>
      <c r="O297" s="422">
        <f>K297</f>
        <v>0</v>
      </c>
      <c r="P297" s="310">
        <f>E297+J297</f>
        <v>1668076</v>
      </c>
      <c r="Q297" s="20"/>
      <c r="R297" s="50"/>
    </row>
    <row r="298" spans="1:18" ht="47.25" hidden="1" thickTop="1" thickBot="1" x14ac:dyDescent="0.25">
      <c r="A298" s="134" t="s">
        <v>1190</v>
      </c>
      <c r="B298" s="134" t="s">
        <v>1145</v>
      </c>
      <c r="C298" s="134"/>
      <c r="D298" s="134" t="s">
        <v>1143</v>
      </c>
      <c r="E298" s="135">
        <f t="shared" ref="E298:P298" si="321">SUM(E299:E299)</f>
        <v>0</v>
      </c>
      <c r="F298" s="135">
        <f t="shared" si="321"/>
        <v>0</v>
      </c>
      <c r="G298" s="135">
        <f t="shared" si="321"/>
        <v>0</v>
      </c>
      <c r="H298" s="135">
        <f t="shared" si="321"/>
        <v>0</v>
      </c>
      <c r="I298" s="135">
        <f t="shared" si="321"/>
        <v>0</v>
      </c>
      <c r="J298" s="135">
        <f t="shared" si="321"/>
        <v>0</v>
      </c>
      <c r="K298" s="135">
        <f t="shared" si="321"/>
        <v>0</v>
      </c>
      <c r="L298" s="135">
        <f t="shared" si="321"/>
        <v>0</v>
      </c>
      <c r="M298" s="135">
        <f t="shared" si="321"/>
        <v>0</v>
      </c>
      <c r="N298" s="135">
        <f t="shared" si="321"/>
        <v>0</v>
      </c>
      <c r="O298" s="135">
        <f t="shared" si="321"/>
        <v>0</v>
      </c>
      <c r="P298" s="135">
        <f t="shared" si="321"/>
        <v>0</v>
      </c>
      <c r="Q298" s="20"/>
      <c r="R298" s="50"/>
    </row>
    <row r="299" spans="1:18" ht="48" hidden="1" thickTop="1" thickBot="1" x14ac:dyDescent="0.25">
      <c r="A299" s="126" t="s">
        <v>1191</v>
      </c>
      <c r="B299" s="126" t="s">
        <v>1172</v>
      </c>
      <c r="C299" s="126" t="s">
        <v>1147</v>
      </c>
      <c r="D299" s="126" t="s">
        <v>1173</v>
      </c>
      <c r="E299" s="125">
        <f>F299</f>
        <v>0</v>
      </c>
      <c r="F299" s="132"/>
      <c r="G299" s="132"/>
      <c r="H299" s="132"/>
      <c r="I299" s="132"/>
      <c r="J299" s="125">
        <f>L299+O299</f>
        <v>0</v>
      </c>
      <c r="K299" s="132"/>
      <c r="L299" s="132"/>
      <c r="M299" s="132"/>
      <c r="N299" s="132"/>
      <c r="O299" s="130">
        <f>K299</f>
        <v>0</v>
      </c>
      <c r="P299" s="125">
        <f>E299+J299</f>
        <v>0</v>
      </c>
      <c r="Q299" s="20"/>
      <c r="R299" s="50"/>
    </row>
    <row r="300" spans="1:18" ht="120" customHeight="1" thickTop="1" thickBot="1" x14ac:dyDescent="0.25">
      <c r="A300" s="624" t="s">
        <v>533</v>
      </c>
      <c r="B300" s="624"/>
      <c r="C300" s="624"/>
      <c r="D300" s="625" t="s">
        <v>552</v>
      </c>
      <c r="E300" s="626">
        <f>E301</f>
        <v>470573848</v>
      </c>
      <c r="F300" s="627">
        <f t="shared" ref="F300:G300" si="322">F301</f>
        <v>470573848</v>
      </c>
      <c r="G300" s="627">
        <f t="shared" si="322"/>
        <v>9799069</v>
      </c>
      <c r="H300" s="627">
        <f>H301</f>
        <v>325936</v>
      </c>
      <c r="I300" s="627">
        <f t="shared" ref="I300" si="323">I301</f>
        <v>0</v>
      </c>
      <c r="J300" s="626">
        <f>J301</f>
        <v>56957891.189999998</v>
      </c>
      <c r="K300" s="627">
        <f>K301</f>
        <v>54153678.789999999</v>
      </c>
      <c r="L300" s="627">
        <f>L301</f>
        <v>200000</v>
      </c>
      <c r="M300" s="627">
        <f t="shared" ref="M300" si="324">M301</f>
        <v>0</v>
      </c>
      <c r="N300" s="627">
        <f>N301</f>
        <v>0</v>
      </c>
      <c r="O300" s="626">
        <f>O301</f>
        <v>56757891.189999998</v>
      </c>
      <c r="P300" s="627">
        <f>P301</f>
        <v>527531739.19</v>
      </c>
      <c r="Q300" s="20"/>
      <c r="R300" s="50"/>
    </row>
    <row r="301" spans="1:18" ht="120" customHeight="1" thickTop="1" thickBot="1" x14ac:dyDescent="0.25">
      <c r="A301" s="588" t="s">
        <v>534</v>
      </c>
      <c r="B301" s="588"/>
      <c r="C301" s="588"/>
      <c r="D301" s="589" t="s">
        <v>553</v>
      </c>
      <c r="E301" s="590">
        <f>E302+E306+E315+E326+E331</f>
        <v>470573848</v>
      </c>
      <c r="F301" s="590">
        <f>F302+F306+F315+F326+F331</f>
        <v>470573848</v>
      </c>
      <c r="G301" s="590">
        <f>G302+G306+G315+G326+G331</f>
        <v>9799069</v>
      </c>
      <c r="H301" s="590">
        <f>H302+H306+H315+H326+H331</f>
        <v>325936</v>
      </c>
      <c r="I301" s="590">
        <f>I302+I306+I315+I326+I331</f>
        <v>0</v>
      </c>
      <c r="J301" s="590">
        <f t="shared" ref="J301:J323" si="325">L301+O301</f>
        <v>56957891.189999998</v>
      </c>
      <c r="K301" s="590">
        <f>K302+K306+K315+K326+K331</f>
        <v>54153678.789999999</v>
      </c>
      <c r="L301" s="590">
        <f>L302+L306+L315+L326+L331</f>
        <v>200000</v>
      </c>
      <c r="M301" s="590">
        <f>M302+M306+M315+M326+M331</f>
        <v>0</v>
      </c>
      <c r="N301" s="590">
        <f>N302+N306+N315+N326+N331</f>
        <v>0</v>
      </c>
      <c r="O301" s="590">
        <f>O302+O306+O315+O326+O331</f>
        <v>56757891.189999998</v>
      </c>
      <c r="P301" s="590">
        <f>E301+J301</f>
        <v>527531739.19</v>
      </c>
      <c r="Q301" s="452" t="b">
        <f>P301=P303+P305+P308+P309+P311+P312+P314+P318+P321+P323+P328+P329+P333+P313</f>
        <v>1</v>
      </c>
      <c r="R301" s="45"/>
    </row>
    <row r="302" spans="1:18" ht="47.25" thickTop="1" thickBot="1" x14ac:dyDescent="0.25">
      <c r="A302" s="298" t="s">
        <v>784</v>
      </c>
      <c r="B302" s="298" t="s">
        <v>672</v>
      </c>
      <c r="C302" s="298"/>
      <c r="D302" s="298" t="s">
        <v>673</v>
      </c>
      <c r="E302" s="310">
        <f>SUM(E303:E305)</f>
        <v>10145224</v>
      </c>
      <c r="F302" s="310">
        <f t="shared" ref="F302:P302" si="326">SUM(F303:F305)</f>
        <v>10145224</v>
      </c>
      <c r="G302" s="310">
        <f t="shared" si="326"/>
        <v>7695201</v>
      </c>
      <c r="H302" s="310">
        <f t="shared" si="326"/>
        <v>259917</v>
      </c>
      <c r="I302" s="310">
        <f t="shared" si="326"/>
        <v>0</v>
      </c>
      <c r="J302" s="310">
        <f t="shared" si="326"/>
        <v>42000</v>
      </c>
      <c r="K302" s="310">
        <f t="shared" si="326"/>
        <v>42000</v>
      </c>
      <c r="L302" s="310">
        <f t="shared" si="326"/>
        <v>0</v>
      </c>
      <c r="M302" s="310">
        <f t="shared" si="326"/>
        <v>0</v>
      </c>
      <c r="N302" s="310">
        <f t="shared" si="326"/>
        <v>0</v>
      </c>
      <c r="O302" s="310">
        <f t="shared" si="326"/>
        <v>42000</v>
      </c>
      <c r="P302" s="310">
        <f t="shared" si="326"/>
        <v>10187224</v>
      </c>
      <c r="Q302" s="47"/>
      <c r="R302" s="45"/>
    </row>
    <row r="303" spans="1:18" ht="93" thickTop="1" thickBot="1" x14ac:dyDescent="0.25">
      <c r="A303" s="101" t="s">
        <v>535</v>
      </c>
      <c r="B303" s="101" t="s">
        <v>235</v>
      </c>
      <c r="C303" s="101" t="s">
        <v>233</v>
      </c>
      <c r="D303" s="101" t="s">
        <v>234</v>
      </c>
      <c r="E303" s="299">
        <f>F303</f>
        <v>10117366</v>
      </c>
      <c r="F303" s="308">
        <f>(10355866)-238500</f>
        <v>10117366</v>
      </c>
      <c r="G303" s="308">
        <f>(7921001)-225800</f>
        <v>7695201</v>
      </c>
      <c r="H303" s="308">
        <f>(176843)+65226+1361+16487</f>
        <v>259917</v>
      </c>
      <c r="I303" s="308"/>
      <c r="J303" s="310">
        <f t="shared" si="325"/>
        <v>42000</v>
      </c>
      <c r="K303" s="308">
        <f>(25000)+17000</f>
        <v>42000</v>
      </c>
      <c r="L303" s="421"/>
      <c r="M303" s="421"/>
      <c r="N303" s="421"/>
      <c r="O303" s="422">
        <f t="shared" ref="O303:O321" si="327">K303</f>
        <v>42000</v>
      </c>
      <c r="P303" s="310">
        <f t="shared" ref="P303:P309" si="328">+J303+E303</f>
        <v>10159366</v>
      </c>
      <c r="Q303" s="20"/>
      <c r="R303" s="45"/>
    </row>
    <row r="304" spans="1:18" ht="93" hidden="1" thickTop="1" thickBot="1" x14ac:dyDescent="0.25">
      <c r="A304" s="126" t="s">
        <v>620</v>
      </c>
      <c r="B304" s="126" t="s">
        <v>358</v>
      </c>
      <c r="C304" s="126" t="s">
        <v>616</v>
      </c>
      <c r="D304" s="126" t="s">
        <v>617</v>
      </c>
      <c r="E304" s="150">
        <f>F304</f>
        <v>0</v>
      </c>
      <c r="F304" s="127"/>
      <c r="G304" s="127"/>
      <c r="H304" s="127"/>
      <c r="I304" s="127"/>
      <c r="J304" s="125">
        <f t="shared" ref="J304" si="329">L304+O304</f>
        <v>0</v>
      </c>
      <c r="K304" s="127"/>
      <c r="L304" s="128"/>
      <c r="M304" s="128"/>
      <c r="N304" s="128"/>
      <c r="O304" s="130">
        <f t="shared" ref="O304" si="330">K304</f>
        <v>0</v>
      </c>
      <c r="P304" s="125">
        <f t="shared" ref="P304" si="331">+J304+E304</f>
        <v>0</v>
      </c>
      <c r="Q304" s="20"/>
      <c r="R304" s="45"/>
    </row>
    <row r="305" spans="1:18" ht="60.75" customHeight="1" thickTop="1" thickBot="1" x14ac:dyDescent="0.25">
      <c r="A305" s="101" t="s">
        <v>536</v>
      </c>
      <c r="B305" s="101" t="s">
        <v>43</v>
      </c>
      <c r="C305" s="101" t="s">
        <v>42</v>
      </c>
      <c r="D305" s="101" t="s">
        <v>246</v>
      </c>
      <c r="E305" s="299">
        <f>F305</f>
        <v>27858</v>
      </c>
      <c r="F305" s="308">
        <v>27858</v>
      </c>
      <c r="G305" s="308"/>
      <c r="H305" s="308"/>
      <c r="I305" s="308"/>
      <c r="J305" s="310">
        <f t="shared" si="325"/>
        <v>0</v>
      </c>
      <c r="K305" s="308"/>
      <c r="L305" s="421"/>
      <c r="M305" s="421"/>
      <c r="N305" s="421"/>
      <c r="O305" s="422">
        <f t="shared" si="327"/>
        <v>0</v>
      </c>
      <c r="P305" s="310">
        <f t="shared" si="328"/>
        <v>27858</v>
      </c>
      <c r="Q305" s="20"/>
      <c r="R305" s="50"/>
    </row>
    <row r="306" spans="1:18" ht="47.25" thickTop="1" thickBot="1" x14ac:dyDescent="0.25">
      <c r="A306" s="298" t="s">
        <v>785</v>
      </c>
      <c r="B306" s="298" t="s">
        <v>729</v>
      </c>
      <c r="C306" s="298"/>
      <c r="D306" s="597" t="s">
        <v>730</v>
      </c>
      <c r="E306" s="299">
        <f t="shared" ref="E306:P306" si="332">SUM(E307:E314)-E307</f>
        <v>453933172</v>
      </c>
      <c r="F306" s="299">
        <f t="shared" si="332"/>
        <v>453933172</v>
      </c>
      <c r="G306" s="299">
        <f t="shared" si="332"/>
        <v>0</v>
      </c>
      <c r="H306" s="299">
        <f t="shared" si="332"/>
        <v>5000</v>
      </c>
      <c r="I306" s="299">
        <f t="shared" si="332"/>
        <v>0</v>
      </c>
      <c r="J306" s="299">
        <f t="shared" si="332"/>
        <v>2946467</v>
      </c>
      <c r="K306" s="299">
        <f t="shared" si="332"/>
        <v>2946467</v>
      </c>
      <c r="L306" s="299">
        <f t="shared" si="332"/>
        <v>0</v>
      </c>
      <c r="M306" s="299">
        <f t="shared" si="332"/>
        <v>0</v>
      </c>
      <c r="N306" s="299">
        <f t="shared" si="332"/>
        <v>0</v>
      </c>
      <c r="O306" s="299">
        <f t="shared" si="332"/>
        <v>2946467</v>
      </c>
      <c r="P306" s="299">
        <f t="shared" si="332"/>
        <v>456879639</v>
      </c>
      <c r="Q306" s="20"/>
      <c r="R306" s="50"/>
    </row>
    <row r="307" spans="1:18" ht="93" thickTop="1" thickBot="1" x14ac:dyDescent="0.25">
      <c r="A307" s="598" t="s">
        <v>786</v>
      </c>
      <c r="B307" s="598" t="s">
        <v>777</v>
      </c>
      <c r="C307" s="598"/>
      <c r="D307" s="598" t="s">
        <v>778</v>
      </c>
      <c r="E307" s="610">
        <f>SUM(E308:E310)</f>
        <v>127600240</v>
      </c>
      <c r="F307" s="610">
        <f t="shared" ref="F307:P307" si="333">SUM(F308:F310)</f>
        <v>127600240</v>
      </c>
      <c r="G307" s="610">
        <f t="shared" si="333"/>
        <v>0</v>
      </c>
      <c r="H307" s="610">
        <f t="shared" si="333"/>
        <v>0</v>
      </c>
      <c r="I307" s="610">
        <f t="shared" si="333"/>
        <v>0</v>
      </c>
      <c r="J307" s="610">
        <f t="shared" si="333"/>
        <v>94317</v>
      </c>
      <c r="K307" s="610">
        <f t="shared" si="333"/>
        <v>94317</v>
      </c>
      <c r="L307" s="610">
        <f t="shared" si="333"/>
        <v>0</v>
      </c>
      <c r="M307" s="610">
        <f t="shared" si="333"/>
        <v>0</v>
      </c>
      <c r="N307" s="610">
        <f t="shared" si="333"/>
        <v>0</v>
      </c>
      <c r="O307" s="610">
        <f t="shared" si="333"/>
        <v>94317</v>
      </c>
      <c r="P307" s="610">
        <f t="shared" si="333"/>
        <v>127694557</v>
      </c>
      <c r="Q307" s="20"/>
      <c r="R307" s="50"/>
    </row>
    <row r="308" spans="1:18" ht="93" thickTop="1" thickBot="1" x14ac:dyDescent="0.25">
      <c r="A308" s="101" t="s">
        <v>537</v>
      </c>
      <c r="B308" s="101" t="s">
        <v>372</v>
      </c>
      <c r="C308" s="101" t="s">
        <v>281</v>
      </c>
      <c r="D308" s="101" t="s">
        <v>373</v>
      </c>
      <c r="E308" s="299">
        <f t="shared" ref="E308:E321" si="334">F308</f>
        <v>77000000</v>
      </c>
      <c r="F308" s="308">
        <f>(((25000000)+32000000)+5000000)+15000000</f>
        <v>77000000</v>
      </c>
      <c r="G308" s="308"/>
      <c r="H308" s="308"/>
      <c r="I308" s="308"/>
      <c r="J308" s="310">
        <f t="shared" si="325"/>
        <v>0</v>
      </c>
      <c r="K308" s="308"/>
      <c r="L308" s="421"/>
      <c r="M308" s="421"/>
      <c r="N308" s="421"/>
      <c r="O308" s="422">
        <f t="shared" si="327"/>
        <v>0</v>
      </c>
      <c r="P308" s="310">
        <f t="shared" si="328"/>
        <v>77000000</v>
      </c>
      <c r="Q308" s="20"/>
      <c r="R308" s="50"/>
    </row>
    <row r="309" spans="1:18" ht="72.75" customHeight="1" thickTop="1" thickBot="1" x14ac:dyDescent="0.25">
      <c r="A309" s="101" t="s">
        <v>538</v>
      </c>
      <c r="B309" s="101" t="s">
        <v>284</v>
      </c>
      <c r="C309" s="101" t="s">
        <v>281</v>
      </c>
      <c r="D309" s="101" t="s">
        <v>285</v>
      </c>
      <c r="E309" s="299">
        <f t="shared" si="334"/>
        <v>50600240</v>
      </c>
      <c r="F309" s="308">
        <f>(((10600240)+20000000)+5000000)+15000000</f>
        <v>50600240</v>
      </c>
      <c r="G309" s="308"/>
      <c r="H309" s="308"/>
      <c r="I309" s="308"/>
      <c r="J309" s="310">
        <f t="shared" si="325"/>
        <v>94317</v>
      </c>
      <c r="K309" s="308">
        <f>(0)+94317</f>
        <v>94317</v>
      </c>
      <c r="L309" s="421"/>
      <c r="M309" s="421"/>
      <c r="N309" s="421"/>
      <c r="O309" s="422">
        <f t="shared" si="327"/>
        <v>94317</v>
      </c>
      <c r="P309" s="310">
        <f t="shared" si="328"/>
        <v>50694557</v>
      </c>
      <c r="Q309" s="20"/>
      <c r="R309" s="50"/>
    </row>
    <row r="310" spans="1:18" ht="93" hidden="1" thickTop="1" thickBot="1" x14ac:dyDescent="0.25">
      <c r="A310" s="101" t="s">
        <v>1347</v>
      </c>
      <c r="B310" s="101" t="s">
        <v>1348</v>
      </c>
      <c r="C310" s="101" t="s">
        <v>281</v>
      </c>
      <c r="D310" s="101" t="s">
        <v>1349</v>
      </c>
      <c r="E310" s="299">
        <f t="shared" ref="E310" si="335">F310</f>
        <v>0</v>
      </c>
      <c r="F310" s="308">
        <v>0</v>
      </c>
      <c r="G310" s="308"/>
      <c r="H310" s="308"/>
      <c r="I310" s="308"/>
      <c r="J310" s="310">
        <f t="shared" ref="J310" si="336">L310+O310</f>
        <v>0</v>
      </c>
      <c r="K310" s="308"/>
      <c r="L310" s="421"/>
      <c r="M310" s="421"/>
      <c r="N310" s="421"/>
      <c r="O310" s="422">
        <f t="shared" ref="O310" si="337">K310</f>
        <v>0</v>
      </c>
      <c r="P310" s="310">
        <f t="shared" ref="P310" si="338">+J310+E310</f>
        <v>0</v>
      </c>
      <c r="Q310" s="20"/>
      <c r="R310" s="50"/>
    </row>
    <row r="311" spans="1:18" ht="117.75" customHeight="1" thickTop="1" thickBot="1" x14ac:dyDescent="0.25">
      <c r="A311" s="101" t="s">
        <v>539</v>
      </c>
      <c r="B311" s="101" t="s">
        <v>295</v>
      </c>
      <c r="C311" s="101" t="s">
        <v>281</v>
      </c>
      <c r="D311" s="101" t="s">
        <v>296</v>
      </c>
      <c r="E311" s="299">
        <f t="shared" si="334"/>
        <v>17108537</v>
      </c>
      <c r="F311" s="308">
        <f>((45509377)-28767176)+366336</f>
        <v>17108537</v>
      </c>
      <c r="G311" s="308"/>
      <c r="H311" s="308"/>
      <c r="I311" s="308"/>
      <c r="J311" s="310">
        <f t="shared" si="325"/>
        <v>0</v>
      </c>
      <c r="K311" s="425"/>
      <c r="L311" s="308"/>
      <c r="M311" s="308"/>
      <c r="N311" s="308"/>
      <c r="O311" s="422">
        <f t="shared" si="327"/>
        <v>0</v>
      </c>
      <c r="P311" s="310">
        <f t="shared" ref="P311:P313" si="339">E311+J311</f>
        <v>17108537</v>
      </c>
      <c r="Q311" s="20"/>
      <c r="R311" s="50"/>
    </row>
    <row r="312" spans="1:18" ht="79.5" customHeight="1" thickTop="1" thickBot="1" x14ac:dyDescent="0.25">
      <c r="A312" s="101" t="s">
        <v>540</v>
      </c>
      <c r="B312" s="101" t="s">
        <v>287</v>
      </c>
      <c r="C312" s="101" t="s">
        <v>281</v>
      </c>
      <c r="D312" s="101" t="s">
        <v>288</v>
      </c>
      <c r="E312" s="299">
        <f t="shared" si="334"/>
        <v>308389831</v>
      </c>
      <c r="F312" s="308">
        <f>(((299868104)+1921714-500000)+152700+795000+348110)+6060203-256000</f>
        <v>308389831</v>
      </c>
      <c r="G312" s="308"/>
      <c r="H312" s="308">
        <v>5000</v>
      </c>
      <c r="I312" s="308"/>
      <c r="J312" s="310">
        <f t="shared" si="325"/>
        <v>0</v>
      </c>
      <c r="K312" s="425"/>
      <c r="L312" s="308"/>
      <c r="M312" s="308"/>
      <c r="N312" s="308"/>
      <c r="O312" s="422">
        <f t="shared" si="327"/>
        <v>0</v>
      </c>
      <c r="P312" s="310">
        <f t="shared" si="339"/>
        <v>308389831</v>
      </c>
      <c r="Q312" s="20"/>
      <c r="R312" s="45"/>
    </row>
    <row r="313" spans="1:18" ht="76.7" customHeight="1" thickTop="1" thickBot="1" x14ac:dyDescent="0.25">
      <c r="A313" s="101" t="s">
        <v>1109</v>
      </c>
      <c r="B313" s="101" t="s">
        <v>1110</v>
      </c>
      <c r="C313" s="101" t="s">
        <v>1111</v>
      </c>
      <c r="D313" s="101" t="s">
        <v>1108</v>
      </c>
      <c r="E313" s="299">
        <f t="shared" si="334"/>
        <v>834564</v>
      </c>
      <c r="F313" s="308">
        <v>834564</v>
      </c>
      <c r="G313" s="308"/>
      <c r="H313" s="308"/>
      <c r="I313" s="308"/>
      <c r="J313" s="310">
        <f t="shared" si="325"/>
        <v>0</v>
      </c>
      <c r="K313" s="425"/>
      <c r="L313" s="308"/>
      <c r="M313" s="308"/>
      <c r="N313" s="308"/>
      <c r="O313" s="422">
        <f t="shared" si="327"/>
        <v>0</v>
      </c>
      <c r="P313" s="310">
        <f t="shared" si="339"/>
        <v>834564</v>
      </c>
      <c r="Q313" s="20"/>
      <c r="R313" s="45"/>
    </row>
    <row r="314" spans="1:18" ht="54" thickTop="1" thickBot="1" x14ac:dyDescent="0.25">
      <c r="A314" s="101" t="s">
        <v>1562</v>
      </c>
      <c r="B314" s="101" t="s">
        <v>1560</v>
      </c>
      <c r="C314" s="101" t="s">
        <v>1111</v>
      </c>
      <c r="D314" s="101" t="s">
        <v>1561</v>
      </c>
      <c r="E314" s="299">
        <f t="shared" ref="E314" si="340">F314</f>
        <v>0</v>
      </c>
      <c r="F314" s="308"/>
      <c r="G314" s="308"/>
      <c r="H314" s="308"/>
      <c r="I314" s="308"/>
      <c r="J314" s="310">
        <f t="shared" ref="J314" si="341">L314+O314</f>
        <v>2852150</v>
      </c>
      <c r="K314" s="425">
        <f>(2357785)+494365</f>
        <v>2852150</v>
      </c>
      <c r="L314" s="308"/>
      <c r="M314" s="308"/>
      <c r="N314" s="308"/>
      <c r="O314" s="422">
        <f t="shared" ref="O314" si="342">K314</f>
        <v>2852150</v>
      </c>
      <c r="P314" s="310">
        <f t="shared" ref="P314" si="343">E314+J314</f>
        <v>2852150</v>
      </c>
      <c r="Q314" s="20"/>
      <c r="R314" s="45"/>
    </row>
    <row r="315" spans="1:18" ht="47.25" thickTop="1" thickBot="1" x14ac:dyDescent="0.25">
      <c r="A315" s="298" t="s">
        <v>787</v>
      </c>
      <c r="B315" s="298" t="s">
        <v>735</v>
      </c>
      <c r="C315" s="298"/>
      <c r="D315" s="298" t="s">
        <v>736</v>
      </c>
      <c r="E315" s="299">
        <f>E316+E319</f>
        <v>0</v>
      </c>
      <c r="F315" s="299">
        <f t="shared" ref="F315:P315" si="344">F316+F319</f>
        <v>0</v>
      </c>
      <c r="G315" s="299">
        <f t="shared" si="344"/>
        <v>0</v>
      </c>
      <c r="H315" s="299">
        <f t="shared" si="344"/>
        <v>0</v>
      </c>
      <c r="I315" s="299">
        <f t="shared" si="344"/>
        <v>0</v>
      </c>
      <c r="J315" s="299">
        <f t="shared" si="344"/>
        <v>53904991.189999998</v>
      </c>
      <c r="K315" s="299">
        <f t="shared" si="344"/>
        <v>51100778.789999999</v>
      </c>
      <c r="L315" s="299">
        <f t="shared" si="344"/>
        <v>200000</v>
      </c>
      <c r="M315" s="299">
        <f t="shared" si="344"/>
        <v>0</v>
      </c>
      <c r="N315" s="299">
        <f t="shared" si="344"/>
        <v>0</v>
      </c>
      <c r="O315" s="299">
        <f t="shared" si="344"/>
        <v>53704991.189999998</v>
      </c>
      <c r="P315" s="299">
        <f t="shared" si="344"/>
        <v>53904991.189999998</v>
      </c>
      <c r="Q315" s="20"/>
      <c r="R315" s="50"/>
    </row>
    <row r="316" spans="1:18" ht="47.25" thickTop="1" thickBot="1" x14ac:dyDescent="0.25">
      <c r="A316" s="593" t="s">
        <v>790</v>
      </c>
      <c r="B316" s="593" t="s">
        <v>791</v>
      </c>
      <c r="C316" s="593"/>
      <c r="D316" s="593" t="s">
        <v>792</v>
      </c>
      <c r="E316" s="596">
        <f t="shared" ref="E316:P317" si="345">E317</f>
        <v>0</v>
      </c>
      <c r="F316" s="596">
        <f t="shared" si="345"/>
        <v>0</v>
      </c>
      <c r="G316" s="596">
        <f t="shared" si="345"/>
        <v>0</v>
      </c>
      <c r="H316" s="596">
        <f t="shared" si="345"/>
        <v>0</v>
      </c>
      <c r="I316" s="596">
        <f t="shared" si="345"/>
        <v>0</v>
      </c>
      <c r="J316" s="596">
        <f t="shared" si="345"/>
        <v>25125000</v>
      </c>
      <c r="K316" s="596">
        <f t="shared" si="345"/>
        <v>24998291.600000001</v>
      </c>
      <c r="L316" s="596">
        <f t="shared" si="345"/>
        <v>0</v>
      </c>
      <c r="M316" s="596">
        <f t="shared" si="345"/>
        <v>0</v>
      </c>
      <c r="N316" s="596">
        <f t="shared" si="345"/>
        <v>0</v>
      </c>
      <c r="O316" s="596">
        <f t="shared" si="345"/>
        <v>25125000</v>
      </c>
      <c r="P316" s="596">
        <f t="shared" si="345"/>
        <v>25125000</v>
      </c>
      <c r="Q316" s="20"/>
      <c r="R316" s="50"/>
    </row>
    <row r="317" spans="1:18" ht="93" thickTop="1" thickBot="1" x14ac:dyDescent="0.25">
      <c r="A317" s="101" t="s">
        <v>937</v>
      </c>
      <c r="B317" s="598" t="s">
        <v>938</v>
      </c>
      <c r="C317" s="593"/>
      <c r="D317" s="598" t="s">
        <v>939</v>
      </c>
      <c r="E317" s="610">
        <f t="shared" si="345"/>
        <v>0</v>
      </c>
      <c r="F317" s="610">
        <f t="shared" si="345"/>
        <v>0</v>
      </c>
      <c r="G317" s="610">
        <f t="shared" si="345"/>
        <v>0</v>
      </c>
      <c r="H317" s="610">
        <f t="shared" si="345"/>
        <v>0</v>
      </c>
      <c r="I317" s="610">
        <f t="shared" si="345"/>
        <v>0</v>
      </c>
      <c r="J317" s="610">
        <f t="shared" si="345"/>
        <v>25125000</v>
      </c>
      <c r="K317" s="610">
        <f t="shared" si="345"/>
        <v>24998291.600000001</v>
      </c>
      <c r="L317" s="610">
        <f t="shared" si="345"/>
        <v>0</v>
      </c>
      <c r="M317" s="610">
        <f t="shared" si="345"/>
        <v>0</v>
      </c>
      <c r="N317" s="610">
        <f t="shared" si="345"/>
        <v>0</v>
      </c>
      <c r="O317" s="610">
        <f t="shared" si="345"/>
        <v>25125000</v>
      </c>
      <c r="P317" s="610">
        <f t="shared" si="345"/>
        <v>25125000</v>
      </c>
      <c r="Q317" s="20"/>
      <c r="R317" s="50"/>
    </row>
    <row r="318" spans="1:18" ht="93" thickTop="1" thickBot="1" x14ac:dyDescent="0.25">
      <c r="A318" s="101" t="s">
        <v>542</v>
      </c>
      <c r="B318" s="101" t="s">
        <v>291</v>
      </c>
      <c r="C318" s="101" t="s">
        <v>293</v>
      </c>
      <c r="D318" s="101" t="s">
        <v>292</v>
      </c>
      <c r="E318" s="299">
        <f t="shared" si="334"/>
        <v>0</v>
      </c>
      <c r="F318" s="308">
        <f>(18000000-3000000-3000000)-12000000</f>
        <v>0</v>
      </c>
      <c r="G318" s="308"/>
      <c r="H318" s="308"/>
      <c r="I318" s="308"/>
      <c r="J318" s="310">
        <f t="shared" si="325"/>
        <v>25125000</v>
      </c>
      <c r="K318" s="308">
        <f>(((2000000)+9125000-126708.4)+6000000)+8000000</f>
        <v>24998291.600000001</v>
      </c>
      <c r="L318" s="421"/>
      <c r="M318" s="421"/>
      <c r="N318" s="421"/>
      <c r="O318" s="422">
        <f>(0+K318)+126708.4</f>
        <v>25125000</v>
      </c>
      <c r="P318" s="310">
        <f>+J318+E318</f>
        <v>25125000</v>
      </c>
      <c r="Q318" s="20"/>
      <c r="R318" s="45"/>
    </row>
    <row r="319" spans="1:18" ht="47.25" thickTop="1" thickBot="1" x14ac:dyDescent="0.25">
      <c r="A319" s="593" t="s">
        <v>793</v>
      </c>
      <c r="B319" s="593" t="s">
        <v>679</v>
      </c>
      <c r="C319" s="593"/>
      <c r="D319" s="593" t="s">
        <v>677</v>
      </c>
      <c r="E319" s="596">
        <f>SUM(E320:E325)-E322</f>
        <v>0</v>
      </c>
      <c r="F319" s="596">
        <f t="shared" ref="F319:P319" si="346">SUM(F320:F325)-F322</f>
        <v>0</v>
      </c>
      <c r="G319" s="596">
        <f t="shared" si="346"/>
        <v>0</v>
      </c>
      <c r="H319" s="596">
        <f t="shared" si="346"/>
        <v>0</v>
      </c>
      <c r="I319" s="596">
        <f t="shared" si="346"/>
        <v>0</v>
      </c>
      <c r="J319" s="596">
        <f t="shared" si="346"/>
        <v>28779991.189999998</v>
      </c>
      <c r="K319" s="596">
        <f t="shared" si="346"/>
        <v>26102487.189999998</v>
      </c>
      <c r="L319" s="596">
        <f t="shared" si="346"/>
        <v>200000</v>
      </c>
      <c r="M319" s="596">
        <f t="shared" si="346"/>
        <v>0</v>
      </c>
      <c r="N319" s="596">
        <f t="shared" si="346"/>
        <v>0</v>
      </c>
      <c r="O319" s="596">
        <f t="shared" si="346"/>
        <v>28579991.189999998</v>
      </c>
      <c r="P319" s="596">
        <f t="shared" si="346"/>
        <v>28779991.189999998</v>
      </c>
      <c r="Q319" s="20"/>
      <c r="R319" s="45"/>
    </row>
    <row r="320" spans="1:18" ht="48" hidden="1" thickTop="1" thickBot="1" x14ac:dyDescent="0.25">
      <c r="A320" s="126" t="s">
        <v>543</v>
      </c>
      <c r="B320" s="126" t="s">
        <v>211</v>
      </c>
      <c r="C320" s="126" t="s">
        <v>212</v>
      </c>
      <c r="D320" s="126" t="s">
        <v>41</v>
      </c>
      <c r="E320" s="150">
        <f t="shared" si="334"/>
        <v>0</v>
      </c>
      <c r="F320" s="127"/>
      <c r="G320" s="127"/>
      <c r="H320" s="127"/>
      <c r="I320" s="127"/>
      <c r="J320" s="125">
        <f t="shared" si="325"/>
        <v>0</v>
      </c>
      <c r="K320" s="132"/>
      <c r="L320" s="127"/>
      <c r="M320" s="127"/>
      <c r="N320" s="127"/>
      <c r="O320" s="130">
        <f t="shared" si="327"/>
        <v>0</v>
      </c>
      <c r="P320" s="125">
        <f>E320+J320</f>
        <v>0</v>
      </c>
      <c r="Q320" s="20"/>
      <c r="R320" s="45"/>
    </row>
    <row r="321" spans="1:18" ht="69.75" customHeight="1" thickTop="1" thickBot="1" x14ac:dyDescent="0.25">
      <c r="A321" s="101" t="s">
        <v>544</v>
      </c>
      <c r="B321" s="101" t="s">
        <v>196</v>
      </c>
      <c r="C321" s="101" t="s">
        <v>169</v>
      </c>
      <c r="D321" s="101" t="s">
        <v>34</v>
      </c>
      <c r="E321" s="299">
        <f t="shared" si="334"/>
        <v>0</v>
      </c>
      <c r="F321" s="308"/>
      <c r="G321" s="308"/>
      <c r="H321" s="308"/>
      <c r="I321" s="308"/>
      <c r="J321" s="310">
        <f t="shared" si="325"/>
        <v>26102487.189999998</v>
      </c>
      <c r="K321" s="425">
        <f>(((11472851)+1001390)+8244875.4)+5383370.79</f>
        <v>26102487.189999998</v>
      </c>
      <c r="L321" s="308"/>
      <c r="M321" s="308"/>
      <c r="N321" s="308"/>
      <c r="O321" s="422">
        <f t="shared" si="327"/>
        <v>26102487.189999998</v>
      </c>
      <c r="P321" s="310">
        <f>E321+J321</f>
        <v>26102487.189999998</v>
      </c>
      <c r="Q321" s="20"/>
      <c r="R321" s="45"/>
    </row>
    <row r="322" spans="1:18" ht="48" thickTop="1" thickBot="1" x14ac:dyDescent="0.25">
      <c r="A322" s="598" t="s">
        <v>794</v>
      </c>
      <c r="B322" s="598" t="s">
        <v>682</v>
      </c>
      <c r="C322" s="598"/>
      <c r="D322" s="598" t="s">
        <v>783</v>
      </c>
      <c r="E322" s="610">
        <f t="shared" ref="E322:P322" si="347">E323+E325</f>
        <v>0</v>
      </c>
      <c r="F322" s="610">
        <f t="shared" si="347"/>
        <v>0</v>
      </c>
      <c r="G322" s="610">
        <f t="shared" si="347"/>
        <v>0</v>
      </c>
      <c r="H322" s="610">
        <f t="shared" si="347"/>
        <v>0</v>
      </c>
      <c r="I322" s="610">
        <f t="shared" si="347"/>
        <v>0</v>
      </c>
      <c r="J322" s="610">
        <f t="shared" si="347"/>
        <v>2677504</v>
      </c>
      <c r="K322" s="610">
        <f t="shared" si="347"/>
        <v>0</v>
      </c>
      <c r="L322" s="610">
        <f t="shared" si="347"/>
        <v>200000</v>
      </c>
      <c r="M322" s="610">
        <f t="shared" si="347"/>
        <v>0</v>
      </c>
      <c r="N322" s="610">
        <f t="shared" si="347"/>
        <v>0</v>
      </c>
      <c r="O322" s="610">
        <f t="shared" si="347"/>
        <v>2477504</v>
      </c>
      <c r="P322" s="610">
        <f t="shared" si="347"/>
        <v>2677504</v>
      </c>
      <c r="Q322" s="20"/>
      <c r="R322" s="50"/>
    </row>
    <row r="323" spans="1:18" ht="184.5" thickTop="1" thickBot="1" x14ac:dyDescent="0.7">
      <c r="A323" s="789" t="s">
        <v>545</v>
      </c>
      <c r="B323" s="789" t="s">
        <v>335</v>
      </c>
      <c r="C323" s="789" t="s">
        <v>169</v>
      </c>
      <c r="D323" s="475" t="s">
        <v>435</v>
      </c>
      <c r="E323" s="777"/>
      <c r="F323" s="781"/>
      <c r="G323" s="781"/>
      <c r="H323" s="781"/>
      <c r="I323" s="781"/>
      <c r="J323" s="777">
        <f t="shared" si="325"/>
        <v>2677504</v>
      </c>
      <c r="K323" s="781"/>
      <c r="L323" s="781">
        <f>(0)+200000</f>
        <v>200000</v>
      </c>
      <c r="M323" s="781"/>
      <c r="N323" s="781"/>
      <c r="O323" s="779">
        <f>((K323+1000000)+1373366)+104138</f>
        <v>2477504</v>
      </c>
      <c r="P323" s="780">
        <f>E323+J323</f>
        <v>2677504</v>
      </c>
      <c r="Q323" s="20"/>
      <c r="R323" s="50"/>
    </row>
    <row r="324" spans="1:18" ht="93" thickTop="1" thickBot="1" x14ac:dyDescent="0.25">
      <c r="A324" s="789"/>
      <c r="B324" s="789"/>
      <c r="C324" s="789"/>
      <c r="D324" s="608" t="s">
        <v>436</v>
      </c>
      <c r="E324" s="777"/>
      <c r="F324" s="781"/>
      <c r="G324" s="781"/>
      <c r="H324" s="781"/>
      <c r="I324" s="781"/>
      <c r="J324" s="777"/>
      <c r="K324" s="781"/>
      <c r="L324" s="781"/>
      <c r="M324" s="781"/>
      <c r="N324" s="781"/>
      <c r="O324" s="779"/>
      <c r="P324" s="780"/>
      <c r="Q324" s="20"/>
      <c r="R324" s="50"/>
    </row>
    <row r="325" spans="1:18" ht="48" hidden="1" thickTop="1" thickBot="1" x14ac:dyDescent="0.25">
      <c r="A325" s="126" t="s">
        <v>1142</v>
      </c>
      <c r="B325" s="126" t="s">
        <v>255</v>
      </c>
      <c r="C325" s="126" t="s">
        <v>169</v>
      </c>
      <c r="D325" s="126" t="s">
        <v>253</v>
      </c>
      <c r="E325" s="150">
        <f t="shared" ref="E325" si="348">F325</f>
        <v>0</v>
      </c>
      <c r="F325" s="127"/>
      <c r="G325" s="127"/>
      <c r="H325" s="127"/>
      <c r="I325" s="127"/>
      <c r="J325" s="125">
        <f t="shared" ref="J325" si="349">L325+O325</f>
        <v>0</v>
      </c>
      <c r="K325" s="132"/>
      <c r="L325" s="127"/>
      <c r="M325" s="127"/>
      <c r="N325" s="127"/>
      <c r="O325" s="130">
        <f t="shared" ref="O325" si="350">K325</f>
        <v>0</v>
      </c>
      <c r="P325" s="125">
        <f>E325+J325</f>
        <v>0</v>
      </c>
      <c r="Q325" s="20"/>
      <c r="R325" s="50"/>
    </row>
    <row r="326" spans="1:18" ht="47.25" thickTop="1" thickBot="1" x14ac:dyDescent="0.25">
      <c r="A326" s="298" t="s">
        <v>795</v>
      </c>
      <c r="B326" s="298" t="s">
        <v>684</v>
      </c>
      <c r="C326" s="298"/>
      <c r="D326" s="609" t="s">
        <v>685</v>
      </c>
      <c r="E326" s="310">
        <f>E327</f>
        <v>4695452</v>
      </c>
      <c r="F326" s="310">
        <f t="shared" ref="F326:P326" si="351">F327</f>
        <v>4695452</v>
      </c>
      <c r="G326" s="310">
        <f t="shared" si="351"/>
        <v>2103868</v>
      </c>
      <c r="H326" s="310">
        <f t="shared" si="351"/>
        <v>61019</v>
      </c>
      <c r="I326" s="310">
        <f t="shared" si="351"/>
        <v>0</v>
      </c>
      <c r="J326" s="310">
        <f t="shared" si="351"/>
        <v>64433</v>
      </c>
      <c r="K326" s="310">
        <f t="shared" si="351"/>
        <v>64433</v>
      </c>
      <c r="L326" s="310">
        <f t="shared" si="351"/>
        <v>0</v>
      </c>
      <c r="M326" s="310">
        <f t="shared" si="351"/>
        <v>0</v>
      </c>
      <c r="N326" s="310">
        <f t="shared" si="351"/>
        <v>0</v>
      </c>
      <c r="O326" s="310">
        <f t="shared" si="351"/>
        <v>64433</v>
      </c>
      <c r="P326" s="310">
        <f t="shared" si="351"/>
        <v>4759885</v>
      </c>
      <c r="Q326" s="20"/>
      <c r="R326" s="50"/>
    </row>
    <row r="327" spans="1:18" ht="47.25" thickTop="1" thickBot="1" x14ac:dyDescent="0.25">
      <c r="A327" s="593" t="s">
        <v>796</v>
      </c>
      <c r="B327" s="593" t="s">
        <v>797</v>
      </c>
      <c r="C327" s="593"/>
      <c r="D327" s="594" t="s">
        <v>1236</v>
      </c>
      <c r="E327" s="595">
        <f>SUM(E328:E330)</f>
        <v>4695452</v>
      </c>
      <c r="F327" s="595">
        <f t="shared" ref="F327:P327" si="352">SUM(F328:F330)</f>
        <v>4695452</v>
      </c>
      <c r="G327" s="595">
        <f t="shared" si="352"/>
        <v>2103868</v>
      </c>
      <c r="H327" s="595">
        <f t="shared" si="352"/>
        <v>61019</v>
      </c>
      <c r="I327" s="595">
        <f t="shared" si="352"/>
        <v>0</v>
      </c>
      <c r="J327" s="595">
        <f t="shared" si="352"/>
        <v>64433</v>
      </c>
      <c r="K327" s="595">
        <f t="shared" si="352"/>
        <v>64433</v>
      </c>
      <c r="L327" s="595">
        <f t="shared" si="352"/>
        <v>0</v>
      </c>
      <c r="M327" s="595">
        <f t="shared" si="352"/>
        <v>0</v>
      </c>
      <c r="N327" s="595">
        <f t="shared" si="352"/>
        <v>0</v>
      </c>
      <c r="O327" s="595">
        <f t="shared" si="352"/>
        <v>64433</v>
      </c>
      <c r="P327" s="595">
        <f t="shared" si="352"/>
        <v>4759885</v>
      </c>
      <c r="Q327" s="20"/>
      <c r="R327" s="50"/>
    </row>
    <row r="328" spans="1:18" ht="93" thickTop="1" thickBot="1" x14ac:dyDescent="0.25">
      <c r="A328" s="101" t="s">
        <v>546</v>
      </c>
      <c r="B328" s="101" t="s">
        <v>511</v>
      </c>
      <c r="C328" s="101" t="s">
        <v>249</v>
      </c>
      <c r="D328" s="101" t="s">
        <v>512</v>
      </c>
      <c r="E328" s="299">
        <f>F328</f>
        <v>2000000</v>
      </c>
      <c r="F328" s="308">
        <v>2000000</v>
      </c>
      <c r="G328" s="308"/>
      <c r="H328" s="308"/>
      <c r="I328" s="308"/>
      <c r="J328" s="310">
        <f>L328+O328</f>
        <v>0</v>
      </c>
      <c r="K328" s="425">
        <v>0</v>
      </c>
      <c r="L328" s="308"/>
      <c r="M328" s="308"/>
      <c r="N328" s="308"/>
      <c r="O328" s="422">
        <f>K328</f>
        <v>0</v>
      </c>
      <c r="P328" s="310">
        <f>E328+J328</f>
        <v>2000000</v>
      </c>
      <c r="Q328" s="20"/>
      <c r="R328" s="50"/>
    </row>
    <row r="329" spans="1:18" ht="48" thickTop="1" thickBot="1" x14ac:dyDescent="0.25">
      <c r="A329" s="101" t="s">
        <v>547</v>
      </c>
      <c r="B329" s="101" t="s">
        <v>248</v>
      </c>
      <c r="C329" s="101" t="s">
        <v>249</v>
      </c>
      <c r="D329" s="101" t="s">
        <v>247</v>
      </c>
      <c r="E329" s="299">
        <f t="shared" ref="E329:E330" si="353">F329</f>
        <v>2695452</v>
      </c>
      <c r="F329" s="308">
        <f>2759885-64433</f>
        <v>2695452</v>
      </c>
      <c r="G329" s="308">
        <v>2103868</v>
      </c>
      <c r="H329" s="308">
        <f>1979+42660+16380</f>
        <v>61019</v>
      </c>
      <c r="I329" s="308"/>
      <c r="J329" s="310">
        <f>L329+O329</f>
        <v>64433</v>
      </c>
      <c r="K329" s="425">
        <v>64433</v>
      </c>
      <c r="L329" s="308"/>
      <c r="M329" s="308"/>
      <c r="N329" s="308"/>
      <c r="O329" s="422">
        <f>K329</f>
        <v>64433</v>
      </c>
      <c r="P329" s="310">
        <f>E329+J329</f>
        <v>2759885</v>
      </c>
      <c r="Q329" s="20"/>
      <c r="R329" s="46"/>
    </row>
    <row r="330" spans="1:18" ht="48" hidden="1" thickTop="1" thickBot="1" x14ac:dyDescent="0.25">
      <c r="A330" s="41" t="s">
        <v>548</v>
      </c>
      <c r="B330" s="41" t="s">
        <v>549</v>
      </c>
      <c r="C330" s="41" t="s">
        <v>249</v>
      </c>
      <c r="D330" s="41" t="s">
        <v>550</v>
      </c>
      <c r="E330" s="157">
        <f t="shared" si="353"/>
        <v>0</v>
      </c>
      <c r="F330" s="158">
        <f>(1219000)-1219000</f>
        <v>0</v>
      </c>
      <c r="G330" s="158">
        <f>(354000+540000)-894000</f>
        <v>0</v>
      </c>
      <c r="H330" s="158">
        <f>(6000+3000)-9000</f>
        <v>0</v>
      </c>
      <c r="I330" s="158"/>
      <c r="J330" s="42">
        <f>L330+O330</f>
        <v>0</v>
      </c>
      <c r="K330" s="43"/>
      <c r="L330" s="158"/>
      <c r="M330" s="158"/>
      <c r="N330" s="158"/>
      <c r="O330" s="44">
        <f>K330</f>
        <v>0</v>
      </c>
      <c r="P330" s="42">
        <f>E330+J330</f>
        <v>0</v>
      </c>
      <c r="Q330" s="20"/>
      <c r="R330" s="50"/>
    </row>
    <row r="331" spans="1:18" ht="66" customHeight="1" thickTop="1" thickBot="1" x14ac:dyDescent="0.25">
      <c r="A331" s="298" t="s">
        <v>1410</v>
      </c>
      <c r="B331" s="298" t="s">
        <v>689</v>
      </c>
      <c r="C331" s="298"/>
      <c r="D331" s="298" t="s">
        <v>690</v>
      </c>
      <c r="E331" s="310">
        <f>E332</f>
        <v>1800000</v>
      </c>
      <c r="F331" s="310">
        <f t="shared" ref="F331:P332" si="354">F332</f>
        <v>1800000</v>
      </c>
      <c r="G331" s="310">
        <f t="shared" si="354"/>
        <v>0</v>
      </c>
      <c r="H331" s="310">
        <f t="shared" si="354"/>
        <v>0</v>
      </c>
      <c r="I331" s="310">
        <f t="shared" si="354"/>
        <v>0</v>
      </c>
      <c r="J331" s="310">
        <f t="shared" si="354"/>
        <v>0</v>
      </c>
      <c r="K331" s="310">
        <f t="shared" si="354"/>
        <v>0</v>
      </c>
      <c r="L331" s="310">
        <f t="shared" si="354"/>
        <v>0</v>
      </c>
      <c r="M331" s="310">
        <f t="shared" si="354"/>
        <v>0</v>
      </c>
      <c r="N331" s="310">
        <f t="shared" si="354"/>
        <v>0</v>
      </c>
      <c r="O331" s="310">
        <f t="shared" si="354"/>
        <v>0</v>
      </c>
      <c r="P331" s="310">
        <f t="shared" si="354"/>
        <v>1800000</v>
      </c>
      <c r="Q331" s="20"/>
      <c r="R331" s="50"/>
    </row>
    <row r="332" spans="1:18" ht="113.25" customHeight="1" thickTop="1" thickBot="1" x14ac:dyDescent="0.25">
      <c r="A332" s="593" t="s">
        <v>1411</v>
      </c>
      <c r="B332" s="593" t="s">
        <v>692</v>
      </c>
      <c r="C332" s="593"/>
      <c r="D332" s="593" t="s">
        <v>693</v>
      </c>
      <c r="E332" s="595">
        <f>E333</f>
        <v>1800000</v>
      </c>
      <c r="F332" s="595">
        <f t="shared" si="354"/>
        <v>1800000</v>
      </c>
      <c r="G332" s="595">
        <f t="shared" si="354"/>
        <v>0</v>
      </c>
      <c r="H332" s="595">
        <f t="shared" si="354"/>
        <v>0</v>
      </c>
      <c r="I332" s="595">
        <f t="shared" si="354"/>
        <v>0</v>
      </c>
      <c r="J332" s="595">
        <f t="shared" si="354"/>
        <v>0</v>
      </c>
      <c r="K332" s="595">
        <f t="shared" si="354"/>
        <v>0</v>
      </c>
      <c r="L332" s="595">
        <f t="shared" si="354"/>
        <v>0</v>
      </c>
      <c r="M332" s="595">
        <f t="shared" si="354"/>
        <v>0</v>
      </c>
      <c r="N332" s="595">
        <f t="shared" si="354"/>
        <v>0</v>
      </c>
      <c r="O332" s="595">
        <f t="shared" si="354"/>
        <v>0</v>
      </c>
      <c r="P332" s="595">
        <f t="shared" si="354"/>
        <v>1800000</v>
      </c>
      <c r="Q332" s="20"/>
      <c r="R332" s="50"/>
    </row>
    <row r="333" spans="1:18" ht="72.75" customHeight="1" thickTop="1" thickBot="1" x14ac:dyDescent="0.25">
      <c r="A333" s="101" t="s">
        <v>1412</v>
      </c>
      <c r="B333" s="101" t="s">
        <v>359</v>
      </c>
      <c r="C333" s="101" t="s">
        <v>43</v>
      </c>
      <c r="D333" s="101" t="s">
        <v>360</v>
      </c>
      <c r="E333" s="310">
        <f t="shared" ref="E333" si="355">F333</f>
        <v>1800000</v>
      </c>
      <c r="F333" s="425">
        <f>(1000000)+300000+500000</f>
        <v>1800000</v>
      </c>
      <c r="G333" s="425"/>
      <c r="H333" s="425"/>
      <c r="I333" s="425"/>
      <c r="J333" s="310">
        <f>L333+O333</f>
        <v>0</v>
      </c>
      <c r="K333" s="425">
        <v>0</v>
      </c>
      <c r="L333" s="425"/>
      <c r="M333" s="425"/>
      <c r="N333" s="425"/>
      <c r="O333" s="422">
        <f>K333</f>
        <v>0</v>
      </c>
      <c r="P333" s="310">
        <f>E333+J333</f>
        <v>1800000</v>
      </c>
      <c r="Q333" s="20"/>
      <c r="R333" s="50"/>
    </row>
    <row r="334" spans="1:18" ht="120" customHeight="1" thickTop="1" thickBot="1" x14ac:dyDescent="0.25">
      <c r="A334" s="624" t="s">
        <v>25</v>
      </c>
      <c r="B334" s="624"/>
      <c r="C334" s="624"/>
      <c r="D334" s="625" t="s">
        <v>1291</v>
      </c>
      <c r="E334" s="626">
        <f>E335</f>
        <v>3967358</v>
      </c>
      <c r="F334" s="627">
        <f t="shared" ref="F334:G334" si="356">F335</f>
        <v>3967358</v>
      </c>
      <c r="G334" s="627">
        <f t="shared" si="356"/>
        <v>2838359</v>
      </c>
      <c r="H334" s="627">
        <f>H335</f>
        <v>129800</v>
      </c>
      <c r="I334" s="627">
        <f t="shared" ref="I334" si="357">I335</f>
        <v>0</v>
      </c>
      <c r="J334" s="626">
        <f>J335</f>
        <v>100762969.77</v>
      </c>
      <c r="K334" s="627">
        <f>K335</f>
        <v>100762969.77</v>
      </c>
      <c r="L334" s="627">
        <f>L335</f>
        <v>0</v>
      </c>
      <c r="M334" s="627">
        <f t="shared" ref="M334" si="358">M335</f>
        <v>0</v>
      </c>
      <c r="N334" s="627">
        <f>N335</f>
        <v>0</v>
      </c>
      <c r="O334" s="626">
        <f>O335</f>
        <v>100762969.77</v>
      </c>
      <c r="P334" s="627">
        <f t="shared" ref="P334" si="359">P335</f>
        <v>104730327.77</v>
      </c>
      <c r="Q334" s="20"/>
    </row>
    <row r="335" spans="1:18" ht="120" customHeight="1" thickTop="1" thickBot="1" x14ac:dyDescent="0.25">
      <c r="A335" s="588" t="s">
        <v>26</v>
      </c>
      <c r="B335" s="588"/>
      <c r="C335" s="588"/>
      <c r="D335" s="589" t="s">
        <v>874</v>
      </c>
      <c r="E335" s="590">
        <f t="shared" ref="E335:O335" si="360">E336+E348+E351+E342+E344+E340</f>
        <v>3967358</v>
      </c>
      <c r="F335" s="590">
        <f t="shared" si="360"/>
        <v>3967358</v>
      </c>
      <c r="G335" s="590">
        <f t="shared" si="360"/>
        <v>2838359</v>
      </c>
      <c r="H335" s="590">
        <f t="shared" si="360"/>
        <v>129800</v>
      </c>
      <c r="I335" s="590">
        <f t="shared" si="360"/>
        <v>0</v>
      </c>
      <c r="J335" s="590">
        <f t="shared" si="360"/>
        <v>100762969.77</v>
      </c>
      <c r="K335" s="590">
        <f t="shared" si="360"/>
        <v>100762969.77</v>
      </c>
      <c r="L335" s="590">
        <f t="shared" si="360"/>
        <v>0</v>
      </c>
      <c r="M335" s="590">
        <f t="shared" si="360"/>
        <v>0</v>
      </c>
      <c r="N335" s="590">
        <f t="shared" si="360"/>
        <v>0</v>
      </c>
      <c r="O335" s="590">
        <f t="shared" si="360"/>
        <v>100762969.77</v>
      </c>
      <c r="P335" s="590">
        <f>E335+J335</f>
        <v>104730327.77</v>
      </c>
      <c r="Q335" s="452" t="b">
        <f>P335=P337+P341+P346+P353+P350+P343</f>
        <v>1</v>
      </c>
      <c r="R335" s="46"/>
    </row>
    <row r="336" spans="1:18" ht="47.25" thickTop="1" thickBot="1" x14ac:dyDescent="0.25">
      <c r="A336" s="298" t="s">
        <v>798</v>
      </c>
      <c r="B336" s="298" t="s">
        <v>672</v>
      </c>
      <c r="C336" s="298"/>
      <c r="D336" s="298" t="s">
        <v>673</v>
      </c>
      <c r="E336" s="310">
        <f t="shared" ref="E336:P336" si="361">SUM(E337:E339)</f>
        <v>3967358</v>
      </c>
      <c r="F336" s="310">
        <f t="shared" si="361"/>
        <v>3967358</v>
      </c>
      <c r="G336" s="310">
        <f t="shared" si="361"/>
        <v>2838359</v>
      </c>
      <c r="H336" s="310">
        <f t="shared" si="361"/>
        <v>129800</v>
      </c>
      <c r="I336" s="310">
        <f t="shared" si="361"/>
        <v>0</v>
      </c>
      <c r="J336" s="310">
        <f t="shared" si="361"/>
        <v>0</v>
      </c>
      <c r="K336" s="310">
        <f t="shared" si="361"/>
        <v>0</v>
      </c>
      <c r="L336" s="310">
        <f t="shared" si="361"/>
        <v>0</v>
      </c>
      <c r="M336" s="310">
        <f t="shared" si="361"/>
        <v>0</v>
      </c>
      <c r="N336" s="310">
        <f t="shared" si="361"/>
        <v>0</v>
      </c>
      <c r="O336" s="310">
        <f t="shared" si="361"/>
        <v>0</v>
      </c>
      <c r="P336" s="310">
        <f t="shared" si="361"/>
        <v>3967358</v>
      </c>
      <c r="Q336" s="47"/>
      <c r="R336" s="46"/>
    </row>
    <row r="337" spans="1:18" ht="114.75" customHeight="1" thickTop="1" thickBot="1" x14ac:dyDescent="0.25">
      <c r="A337" s="101" t="s">
        <v>412</v>
      </c>
      <c r="B337" s="101" t="s">
        <v>235</v>
      </c>
      <c r="C337" s="101" t="s">
        <v>233</v>
      </c>
      <c r="D337" s="101" t="s">
        <v>234</v>
      </c>
      <c r="E337" s="310">
        <f>F337</f>
        <v>3967358</v>
      </c>
      <c r="F337" s="425">
        <f>((3770358)+35000)+162000</f>
        <v>3967358</v>
      </c>
      <c r="G337" s="425">
        <f>(2726359)+112000</f>
        <v>2838359</v>
      </c>
      <c r="H337" s="425">
        <f>(129800)+7920-7920</f>
        <v>129800</v>
      </c>
      <c r="I337" s="425"/>
      <c r="J337" s="310">
        <f t="shared" ref="J337:J354" si="362">L337+O337</f>
        <v>0</v>
      </c>
      <c r="K337" s="425"/>
      <c r="L337" s="425"/>
      <c r="M337" s="425"/>
      <c r="N337" s="425"/>
      <c r="O337" s="422">
        <f>K337</f>
        <v>0</v>
      </c>
      <c r="P337" s="310">
        <f t="shared" ref="P337:P354" si="363">E337+J337</f>
        <v>3967358</v>
      </c>
      <c r="Q337" s="47"/>
      <c r="R337" s="50"/>
    </row>
    <row r="338" spans="1:18" ht="93" hidden="1" thickTop="1" thickBot="1" x14ac:dyDescent="0.25">
      <c r="A338" s="126" t="s">
        <v>621</v>
      </c>
      <c r="B338" s="126" t="s">
        <v>358</v>
      </c>
      <c r="C338" s="126" t="s">
        <v>616</v>
      </c>
      <c r="D338" s="126" t="s">
        <v>617</v>
      </c>
      <c r="E338" s="150">
        <f>F338</f>
        <v>0</v>
      </c>
      <c r="F338" s="127">
        <v>0</v>
      </c>
      <c r="G338" s="127"/>
      <c r="H338" s="127"/>
      <c r="I338" s="127"/>
      <c r="J338" s="125">
        <f t="shared" si="362"/>
        <v>0</v>
      </c>
      <c r="K338" s="127"/>
      <c r="L338" s="128"/>
      <c r="M338" s="128"/>
      <c r="N338" s="128"/>
      <c r="O338" s="130">
        <f t="shared" ref="O338" si="364">K338</f>
        <v>0</v>
      </c>
      <c r="P338" s="125">
        <f t="shared" ref="P338" si="365">+J338+E338</f>
        <v>0</v>
      </c>
      <c r="Q338" s="47"/>
      <c r="R338" s="50"/>
    </row>
    <row r="339" spans="1:18" ht="48" hidden="1" thickTop="1" thickBot="1" x14ac:dyDescent="0.25">
      <c r="A339" s="126" t="s">
        <v>908</v>
      </c>
      <c r="B339" s="126" t="s">
        <v>43</v>
      </c>
      <c r="C339" s="126" t="s">
        <v>42</v>
      </c>
      <c r="D339" s="126" t="s">
        <v>246</v>
      </c>
      <c r="E339" s="125">
        <f>F339</f>
        <v>0</v>
      </c>
      <c r="F339" s="132">
        <v>0</v>
      </c>
      <c r="G339" s="132"/>
      <c r="H339" s="132"/>
      <c r="I339" s="132"/>
      <c r="J339" s="125">
        <f t="shared" ref="J339" si="366">L339+O339</f>
        <v>0</v>
      </c>
      <c r="K339" s="127"/>
      <c r="L339" s="128"/>
      <c r="M339" s="128"/>
      <c r="N339" s="128"/>
      <c r="O339" s="130">
        <f t="shared" ref="O339" si="367">K339</f>
        <v>0</v>
      </c>
      <c r="P339" s="125">
        <f t="shared" ref="P339" si="368">+J339+E339</f>
        <v>0</v>
      </c>
      <c r="Q339" s="47"/>
      <c r="R339" s="50"/>
    </row>
    <row r="340" spans="1:18" ht="63" customHeight="1" thickTop="1" thickBot="1" x14ac:dyDescent="0.25">
      <c r="A340" s="298" t="s">
        <v>1567</v>
      </c>
      <c r="B340" s="298" t="s">
        <v>695</v>
      </c>
      <c r="C340" s="298"/>
      <c r="D340" s="298" t="s">
        <v>696</v>
      </c>
      <c r="E340" s="310">
        <f>E341</f>
        <v>0</v>
      </c>
      <c r="F340" s="310">
        <f t="shared" ref="F340:P340" si="369">F341</f>
        <v>0</v>
      </c>
      <c r="G340" s="310">
        <f t="shared" si="369"/>
        <v>0</v>
      </c>
      <c r="H340" s="310">
        <f t="shared" si="369"/>
        <v>0</v>
      </c>
      <c r="I340" s="310">
        <f t="shared" si="369"/>
        <v>0</v>
      </c>
      <c r="J340" s="310">
        <f t="shared" si="369"/>
        <v>45401832.649999999</v>
      </c>
      <c r="K340" s="310">
        <f t="shared" si="369"/>
        <v>45401832.649999999</v>
      </c>
      <c r="L340" s="310">
        <f t="shared" si="369"/>
        <v>0</v>
      </c>
      <c r="M340" s="310">
        <f t="shared" si="369"/>
        <v>0</v>
      </c>
      <c r="N340" s="310">
        <f t="shared" si="369"/>
        <v>0</v>
      </c>
      <c r="O340" s="310">
        <f t="shared" si="369"/>
        <v>45401832.649999999</v>
      </c>
      <c r="P340" s="310">
        <f t="shared" si="369"/>
        <v>45401832.649999999</v>
      </c>
      <c r="Q340" s="47"/>
      <c r="R340" s="50"/>
    </row>
    <row r="341" spans="1:18" ht="82.5" customHeight="1" thickTop="1" thickBot="1" x14ac:dyDescent="0.25">
      <c r="A341" s="101" t="s">
        <v>1568</v>
      </c>
      <c r="B341" s="101" t="s">
        <v>1569</v>
      </c>
      <c r="C341" s="101" t="s">
        <v>209</v>
      </c>
      <c r="D341" s="101" t="s">
        <v>1570</v>
      </c>
      <c r="E341" s="299">
        <f>F341</f>
        <v>0</v>
      </c>
      <c r="F341" s="308">
        <v>0</v>
      </c>
      <c r="G341" s="308"/>
      <c r="H341" s="308"/>
      <c r="I341" s="308"/>
      <c r="J341" s="310">
        <f t="shared" ref="J341" si="370">L341+O341</f>
        <v>45401832.649999999</v>
      </c>
      <c r="K341" s="308">
        <f>(((18532009)+10000000+100000)+4114095)+12655728.65</f>
        <v>45401832.649999999</v>
      </c>
      <c r="L341" s="421"/>
      <c r="M341" s="421"/>
      <c r="N341" s="421"/>
      <c r="O341" s="422">
        <f t="shared" ref="O341" si="371">K341</f>
        <v>45401832.649999999</v>
      </c>
      <c r="P341" s="310">
        <f t="shared" ref="P341" si="372">+J341+E341</f>
        <v>45401832.649999999</v>
      </c>
      <c r="Q341" s="47"/>
      <c r="R341" s="50"/>
    </row>
    <row r="342" spans="1:18" s="721" customFormat="1" ht="75.75" hidden="1" customHeight="1" thickTop="1" thickBot="1" x14ac:dyDescent="0.25">
      <c r="A342" s="718" t="s">
        <v>1194</v>
      </c>
      <c r="B342" s="718" t="s">
        <v>698</v>
      </c>
      <c r="C342" s="718"/>
      <c r="D342" s="718" t="s">
        <v>699</v>
      </c>
      <c r="E342" s="710">
        <f t="shared" ref="E342:P342" si="373">SUM(E343:E343)</f>
        <v>0</v>
      </c>
      <c r="F342" s="710">
        <f t="shared" si="373"/>
        <v>0</v>
      </c>
      <c r="G342" s="710">
        <f t="shared" si="373"/>
        <v>0</v>
      </c>
      <c r="H342" s="710">
        <f t="shared" si="373"/>
        <v>0</v>
      </c>
      <c r="I342" s="710">
        <f t="shared" si="373"/>
        <v>0</v>
      </c>
      <c r="J342" s="710">
        <f t="shared" si="373"/>
        <v>0</v>
      </c>
      <c r="K342" s="710">
        <f t="shared" si="373"/>
        <v>0</v>
      </c>
      <c r="L342" s="710">
        <f t="shared" si="373"/>
        <v>0</v>
      </c>
      <c r="M342" s="710">
        <f t="shared" si="373"/>
        <v>0</v>
      </c>
      <c r="N342" s="710">
        <f t="shared" si="373"/>
        <v>0</v>
      </c>
      <c r="O342" s="710">
        <f t="shared" si="373"/>
        <v>0</v>
      </c>
      <c r="P342" s="710">
        <f t="shared" si="373"/>
        <v>0</v>
      </c>
      <c r="Q342" s="719"/>
      <c r="R342" s="720"/>
    </row>
    <row r="343" spans="1:18" s="721" customFormat="1" ht="114.75" hidden="1" customHeight="1" thickTop="1" thickBot="1" x14ac:dyDescent="0.25">
      <c r="A343" s="709" t="s">
        <v>1195</v>
      </c>
      <c r="B343" s="709" t="s">
        <v>1159</v>
      </c>
      <c r="C343" s="709" t="s">
        <v>205</v>
      </c>
      <c r="D343" s="716" t="s">
        <v>1679</v>
      </c>
      <c r="E343" s="710">
        <f t="shared" ref="E343" si="374">F343</f>
        <v>0</v>
      </c>
      <c r="F343" s="711">
        <v>0</v>
      </c>
      <c r="G343" s="711"/>
      <c r="H343" s="711"/>
      <c r="I343" s="711"/>
      <c r="J343" s="710">
        <f>L343+O343</f>
        <v>0</v>
      </c>
      <c r="K343" s="711">
        <f>((0)+1000000)-1000000</f>
        <v>0</v>
      </c>
      <c r="L343" s="711"/>
      <c r="M343" s="711"/>
      <c r="N343" s="711"/>
      <c r="O343" s="712">
        <f>K343</f>
        <v>0</v>
      </c>
      <c r="P343" s="710">
        <f>E343+J343</f>
        <v>0</v>
      </c>
      <c r="Q343" s="719"/>
      <c r="R343" s="720"/>
    </row>
    <row r="344" spans="1:18" ht="47.25" thickTop="1" thickBot="1" x14ac:dyDescent="0.25">
      <c r="A344" s="298" t="s">
        <v>1573</v>
      </c>
      <c r="B344" s="298" t="s">
        <v>742</v>
      </c>
      <c r="C344" s="298"/>
      <c r="D344" s="298" t="s">
        <v>743</v>
      </c>
      <c r="E344" s="310">
        <f>E345</f>
        <v>0</v>
      </c>
      <c r="F344" s="310">
        <f t="shared" ref="F344:P344" si="375">F345</f>
        <v>0</v>
      </c>
      <c r="G344" s="310">
        <f t="shared" si="375"/>
        <v>0</v>
      </c>
      <c r="H344" s="310">
        <f t="shared" si="375"/>
        <v>0</v>
      </c>
      <c r="I344" s="310">
        <f t="shared" si="375"/>
        <v>0</v>
      </c>
      <c r="J344" s="310">
        <f t="shared" si="375"/>
        <v>4752440</v>
      </c>
      <c r="K344" s="310">
        <f t="shared" si="375"/>
        <v>4752440</v>
      </c>
      <c r="L344" s="310">
        <f t="shared" si="375"/>
        <v>0</v>
      </c>
      <c r="M344" s="310">
        <f t="shared" si="375"/>
        <v>0</v>
      </c>
      <c r="N344" s="310">
        <f t="shared" si="375"/>
        <v>0</v>
      </c>
      <c r="O344" s="310">
        <f t="shared" si="375"/>
        <v>4752440</v>
      </c>
      <c r="P344" s="310">
        <f t="shared" si="375"/>
        <v>4752440</v>
      </c>
      <c r="Q344" s="47"/>
      <c r="R344" s="50"/>
    </row>
    <row r="345" spans="1:18" ht="72" customHeight="1" thickTop="1" thickBot="1" x14ac:dyDescent="0.25">
      <c r="A345" s="598" t="s">
        <v>1574</v>
      </c>
      <c r="B345" s="598" t="s">
        <v>745</v>
      </c>
      <c r="C345" s="598"/>
      <c r="D345" s="600" t="s">
        <v>746</v>
      </c>
      <c r="E345" s="595">
        <f>E346</f>
        <v>0</v>
      </c>
      <c r="F345" s="595">
        <f t="shared" ref="F345" si="376">F346</f>
        <v>0</v>
      </c>
      <c r="G345" s="595">
        <f t="shared" ref="G345" si="377">G346</f>
        <v>0</v>
      </c>
      <c r="H345" s="595">
        <f t="shared" ref="H345" si="378">H346</f>
        <v>0</v>
      </c>
      <c r="I345" s="595">
        <f t="shared" ref="I345" si="379">I346</f>
        <v>0</v>
      </c>
      <c r="J345" s="595">
        <f t="shared" ref="J345" si="380">J346</f>
        <v>4752440</v>
      </c>
      <c r="K345" s="595">
        <f t="shared" ref="K345" si="381">K346</f>
        <v>4752440</v>
      </c>
      <c r="L345" s="595">
        <f t="shared" ref="L345" si="382">L346</f>
        <v>0</v>
      </c>
      <c r="M345" s="595">
        <f t="shared" ref="M345" si="383">M346</f>
        <v>0</v>
      </c>
      <c r="N345" s="595">
        <f t="shared" ref="N345" si="384">N346</f>
        <v>0</v>
      </c>
      <c r="O345" s="595">
        <f t="shared" ref="O345" si="385">O346</f>
        <v>4752440</v>
      </c>
      <c r="P345" s="595">
        <f t="shared" ref="P345" si="386">P346</f>
        <v>4752440</v>
      </c>
      <c r="Q345" s="47"/>
      <c r="R345" s="50"/>
    </row>
    <row r="346" spans="1:18" ht="72.75" customHeight="1" thickTop="1" thickBot="1" x14ac:dyDescent="0.25">
      <c r="A346" s="101" t="s">
        <v>1576</v>
      </c>
      <c r="B346" s="101" t="s">
        <v>1577</v>
      </c>
      <c r="C346" s="101" t="s">
        <v>181</v>
      </c>
      <c r="D346" s="600" t="s">
        <v>1575</v>
      </c>
      <c r="E346" s="310">
        <f>F346</f>
        <v>0</v>
      </c>
      <c r="F346" s="425"/>
      <c r="G346" s="425"/>
      <c r="H346" s="425"/>
      <c r="I346" s="425"/>
      <c r="J346" s="310">
        <f t="shared" ref="J346" si="387">L346+O346</f>
        <v>4752440</v>
      </c>
      <c r="K346" s="425">
        <f>((200000)+2022440)+2530000</f>
        <v>4752440</v>
      </c>
      <c r="L346" s="425"/>
      <c r="M346" s="425"/>
      <c r="N346" s="425"/>
      <c r="O346" s="422">
        <f>K346</f>
        <v>4752440</v>
      </c>
      <c r="P346" s="310">
        <f t="shared" ref="P346" si="388">E346+J346</f>
        <v>4752440</v>
      </c>
      <c r="Q346" s="47"/>
      <c r="R346" s="50"/>
    </row>
    <row r="347" spans="1:18" ht="48" hidden="1" thickTop="1" thickBot="1" x14ac:dyDescent="0.25">
      <c r="A347" s="126"/>
      <c r="B347" s="126"/>
      <c r="C347" s="126"/>
      <c r="D347" s="369"/>
      <c r="E347" s="125"/>
      <c r="F347" s="132"/>
      <c r="G347" s="132"/>
      <c r="H347" s="132"/>
      <c r="I347" s="132"/>
      <c r="J347" s="125"/>
      <c r="K347" s="132"/>
      <c r="L347" s="132"/>
      <c r="M347" s="132"/>
      <c r="N347" s="132"/>
      <c r="O347" s="130"/>
      <c r="P347" s="125"/>
      <c r="Q347" s="47"/>
      <c r="R347" s="50"/>
    </row>
    <row r="348" spans="1:18" ht="47.25" thickTop="1" thickBot="1" x14ac:dyDescent="0.25">
      <c r="A348" s="298" t="s">
        <v>799</v>
      </c>
      <c r="B348" s="298" t="s">
        <v>756</v>
      </c>
      <c r="C348" s="101"/>
      <c r="D348" s="298" t="s">
        <v>757</v>
      </c>
      <c r="E348" s="299">
        <f>E349</f>
        <v>0</v>
      </c>
      <c r="F348" s="299">
        <f t="shared" ref="F348:P349" si="389">F349</f>
        <v>0</v>
      </c>
      <c r="G348" s="299">
        <f t="shared" si="389"/>
        <v>0</v>
      </c>
      <c r="H348" s="299">
        <f t="shared" si="389"/>
        <v>0</v>
      </c>
      <c r="I348" s="299">
        <f t="shared" si="389"/>
        <v>0</v>
      </c>
      <c r="J348" s="299">
        <f t="shared" si="389"/>
        <v>2528649</v>
      </c>
      <c r="K348" s="299">
        <f t="shared" si="389"/>
        <v>2528649</v>
      </c>
      <c r="L348" s="299">
        <f t="shared" si="389"/>
        <v>0</v>
      </c>
      <c r="M348" s="299">
        <f t="shared" si="389"/>
        <v>0</v>
      </c>
      <c r="N348" s="299">
        <f t="shared" si="389"/>
        <v>0</v>
      </c>
      <c r="O348" s="299">
        <f t="shared" si="389"/>
        <v>2528649</v>
      </c>
      <c r="P348" s="299">
        <f t="shared" si="389"/>
        <v>2528649</v>
      </c>
      <c r="Q348" s="47"/>
      <c r="R348" s="50"/>
    </row>
    <row r="349" spans="1:18" ht="82.5" customHeight="1" thickTop="1" thickBot="1" x14ac:dyDescent="0.25">
      <c r="A349" s="598" t="s">
        <v>800</v>
      </c>
      <c r="B349" s="598" t="s">
        <v>801</v>
      </c>
      <c r="C349" s="598"/>
      <c r="D349" s="598" t="s">
        <v>802</v>
      </c>
      <c r="E349" s="610">
        <f>E350</f>
        <v>0</v>
      </c>
      <c r="F349" s="610">
        <f t="shared" si="389"/>
        <v>0</v>
      </c>
      <c r="G349" s="610">
        <f t="shared" si="389"/>
        <v>0</v>
      </c>
      <c r="H349" s="610">
        <f t="shared" si="389"/>
        <v>0</v>
      </c>
      <c r="I349" s="610">
        <f t="shared" si="389"/>
        <v>0</v>
      </c>
      <c r="J349" s="610">
        <f t="shared" si="389"/>
        <v>2528649</v>
      </c>
      <c r="K349" s="610">
        <f t="shared" si="389"/>
        <v>2528649</v>
      </c>
      <c r="L349" s="610">
        <f t="shared" si="389"/>
        <v>0</v>
      </c>
      <c r="M349" s="610">
        <f t="shared" si="389"/>
        <v>0</v>
      </c>
      <c r="N349" s="610">
        <f t="shared" si="389"/>
        <v>0</v>
      </c>
      <c r="O349" s="610">
        <f t="shared" si="389"/>
        <v>2528649</v>
      </c>
      <c r="P349" s="610">
        <f t="shared" si="389"/>
        <v>2528649</v>
      </c>
      <c r="Q349" s="47"/>
      <c r="R349" s="50"/>
    </row>
    <row r="350" spans="1:18" ht="184.5" thickTop="1" thickBot="1" x14ac:dyDescent="0.25">
      <c r="A350" s="101" t="s">
        <v>428</v>
      </c>
      <c r="B350" s="101" t="s">
        <v>429</v>
      </c>
      <c r="C350" s="101" t="s">
        <v>194</v>
      </c>
      <c r="D350" s="101" t="s">
        <v>1138</v>
      </c>
      <c r="E350" s="310">
        <f t="shared" ref="E350" si="390">F350</f>
        <v>0</v>
      </c>
      <c r="F350" s="425"/>
      <c r="G350" s="425"/>
      <c r="H350" s="425"/>
      <c r="I350" s="425"/>
      <c r="J350" s="310">
        <f t="shared" si="362"/>
        <v>2528649</v>
      </c>
      <c r="K350" s="425">
        <f>((0)+100000)+2428649</f>
        <v>2528649</v>
      </c>
      <c r="L350" s="425"/>
      <c r="M350" s="425"/>
      <c r="N350" s="425"/>
      <c r="O350" s="422">
        <f t="shared" ref="O350" si="391">K350</f>
        <v>2528649</v>
      </c>
      <c r="P350" s="310">
        <f t="shared" si="363"/>
        <v>2528649</v>
      </c>
      <c r="Q350" s="47"/>
      <c r="R350" s="46"/>
    </row>
    <row r="351" spans="1:18" ht="47.25" thickTop="1" thickBot="1" x14ac:dyDescent="0.25">
      <c r="A351" s="298" t="s">
        <v>803</v>
      </c>
      <c r="B351" s="298" t="s">
        <v>735</v>
      </c>
      <c r="C351" s="101"/>
      <c r="D351" s="298" t="s">
        <v>780</v>
      </c>
      <c r="E351" s="310">
        <f t="shared" ref="E351:P351" si="392">E352+E355</f>
        <v>0</v>
      </c>
      <c r="F351" s="310">
        <f t="shared" si="392"/>
        <v>0</v>
      </c>
      <c r="G351" s="310">
        <f t="shared" si="392"/>
        <v>0</v>
      </c>
      <c r="H351" s="310">
        <f t="shared" si="392"/>
        <v>0</v>
      </c>
      <c r="I351" s="310">
        <f t="shared" si="392"/>
        <v>0</v>
      </c>
      <c r="J351" s="310">
        <f t="shared" si="392"/>
        <v>48080048.119999997</v>
      </c>
      <c r="K351" s="310">
        <f t="shared" si="392"/>
        <v>48080048.119999997</v>
      </c>
      <c r="L351" s="310">
        <f t="shared" si="392"/>
        <v>0</v>
      </c>
      <c r="M351" s="310">
        <f t="shared" si="392"/>
        <v>0</v>
      </c>
      <c r="N351" s="310">
        <f t="shared" si="392"/>
        <v>0</v>
      </c>
      <c r="O351" s="310">
        <f t="shared" si="392"/>
        <v>48080048.119999997</v>
      </c>
      <c r="P351" s="310">
        <f t="shared" si="392"/>
        <v>48080048.119999997</v>
      </c>
      <c r="Q351" s="45"/>
      <c r="R351" s="46"/>
    </row>
    <row r="352" spans="1:18" ht="47.25" thickTop="1" thickBot="1" x14ac:dyDescent="0.25">
      <c r="A352" s="593" t="s">
        <v>804</v>
      </c>
      <c r="B352" s="593" t="s">
        <v>788</v>
      </c>
      <c r="C352" s="593"/>
      <c r="D352" s="593" t="s">
        <v>1623</v>
      </c>
      <c r="E352" s="595">
        <f>E353</f>
        <v>0</v>
      </c>
      <c r="F352" s="595">
        <f t="shared" ref="F352:P352" si="393">F353</f>
        <v>0</v>
      </c>
      <c r="G352" s="595">
        <f t="shared" si="393"/>
        <v>0</v>
      </c>
      <c r="H352" s="595">
        <f t="shared" si="393"/>
        <v>0</v>
      </c>
      <c r="I352" s="595">
        <f t="shared" si="393"/>
        <v>0</v>
      </c>
      <c r="J352" s="595">
        <f t="shared" si="393"/>
        <v>48080048.119999997</v>
      </c>
      <c r="K352" s="595">
        <f t="shared" si="393"/>
        <v>48080048.119999997</v>
      </c>
      <c r="L352" s="595">
        <f t="shared" si="393"/>
        <v>0</v>
      </c>
      <c r="M352" s="595">
        <f t="shared" si="393"/>
        <v>0</v>
      </c>
      <c r="N352" s="595">
        <f t="shared" si="393"/>
        <v>0</v>
      </c>
      <c r="O352" s="595">
        <f t="shared" si="393"/>
        <v>48080048.119999997</v>
      </c>
      <c r="P352" s="595">
        <f t="shared" si="393"/>
        <v>48080048.119999997</v>
      </c>
      <c r="Q352" s="45"/>
      <c r="R352" s="46"/>
    </row>
    <row r="353" spans="1:18" ht="54" thickTop="1" thickBot="1" x14ac:dyDescent="0.3">
      <c r="A353" s="101" t="s">
        <v>312</v>
      </c>
      <c r="B353" s="101" t="s">
        <v>313</v>
      </c>
      <c r="C353" s="101" t="s">
        <v>302</v>
      </c>
      <c r="D353" s="101" t="s">
        <v>1572</v>
      </c>
      <c r="E353" s="310">
        <f>F353</f>
        <v>0</v>
      </c>
      <c r="F353" s="425"/>
      <c r="G353" s="425"/>
      <c r="H353" s="425"/>
      <c r="I353" s="425"/>
      <c r="J353" s="310">
        <f t="shared" si="362"/>
        <v>48080048.119999997</v>
      </c>
      <c r="K353" s="425">
        <f>(((6100000)+21823304.2)+14856743.92)+5300000</f>
        <v>48080048.119999997</v>
      </c>
      <c r="L353" s="425"/>
      <c r="M353" s="425"/>
      <c r="N353" s="425"/>
      <c r="O353" s="422">
        <f>K353</f>
        <v>48080048.119999997</v>
      </c>
      <c r="P353" s="310">
        <f t="shared" si="363"/>
        <v>48080048.119999997</v>
      </c>
      <c r="Q353" s="159"/>
      <c r="R353" s="46"/>
    </row>
    <row r="354" spans="1:18" ht="48" hidden="1" thickTop="1" thickBot="1" x14ac:dyDescent="0.25">
      <c r="A354" s="41" t="s">
        <v>432</v>
      </c>
      <c r="B354" s="41" t="s">
        <v>347</v>
      </c>
      <c r="C354" s="41" t="s">
        <v>169</v>
      </c>
      <c r="D354" s="41" t="s">
        <v>260</v>
      </c>
      <c r="E354" s="42">
        <f>F354</f>
        <v>0</v>
      </c>
      <c r="F354" s="43"/>
      <c r="G354" s="43"/>
      <c r="H354" s="43"/>
      <c r="I354" s="43"/>
      <c r="J354" s="42">
        <f t="shared" si="362"/>
        <v>0</v>
      </c>
      <c r="K354" s="43">
        <v>0</v>
      </c>
      <c r="L354" s="43"/>
      <c r="M354" s="43"/>
      <c r="N354" s="43"/>
      <c r="O354" s="44">
        <f>K354</f>
        <v>0</v>
      </c>
      <c r="P354" s="42">
        <f t="shared" si="363"/>
        <v>0</v>
      </c>
      <c r="Q354" s="20"/>
      <c r="R354" s="46"/>
    </row>
    <row r="355" spans="1:18" ht="47.25" hidden="1" thickTop="1" thickBot="1" x14ac:dyDescent="0.25">
      <c r="A355" s="134" t="s">
        <v>966</v>
      </c>
      <c r="B355" s="134" t="s">
        <v>679</v>
      </c>
      <c r="C355" s="134"/>
      <c r="D355" s="134" t="s">
        <v>677</v>
      </c>
      <c r="E355" s="156">
        <f>E356</f>
        <v>0</v>
      </c>
      <c r="F355" s="156">
        <f>F356</f>
        <v>0</v>
      </c>
      <c r="G355" s="156">
        <f>G356</f>
        <v>0</v>
      </c>
      <c r="H355" s="156">
        <f>H356</f>
        <v>0</v>
      </c>
      <c r="I355" s="156">
        <f>I356</f>
        <v>0</v>
      </c>
      <c r="J355" s="156">
        <f t="shared" ref="J355:O355" si="394">J356</f>
        <v>0</v>
      </c>
      <c r="K355" s="156">
        <f t="shared" si="394"/>
        <v>0</v>
      </c>
      <c r="L355" s="156">
        <f t="shared" si="394"/>
        <v>0</v>
      </c>
      <c r="M355" s="156">
        <f t="shared" si="394"/>
        <v>0</v>
      </c>
      <c r="N355" s="156">
        <f t="shared" si="394"/>
        <v>0</v>
      </c>
      <c r="O355" s="156">
        <f t="shared" si="394"/>
        <v>0</v>
      </c>
      <c r="P355" s="156">
        <f>P356</f>
        <v>0</v>
      </c>
      <c r="Q355" s="20"/>
      <c r="R355" s="46"/>
    </row>
    <row r="356" spans="1:18" ht="48" hidden="1" thickTop="1" thickBot="1" x14ac:dyDescent="0.25">
      <c r="A356" s="138" t="s">
        <v>967</v>
      </c>
      <c r="B356" s="138" t="s">
        <v>682</v>
      </c>
      <c r="C356" s="138"/>
      <c r="D356" s="138" t="s">
        <v>783</v>
      </c>
      <c r="E356" s="155">
        <f>E357+E359</f>
        <v>0</v>
      </c>
      <c r="F356" s="155">
        <f t="shared" ref="F356:P356" si="395">F357+F359</f>
        <v>0</v>
      </c>
      <c r="G356" s="155">
        <f t="shared" si="395"/>
        <v>0</v>
      </c>
      <c r="H356" s="155">
        <f t="shared" si="395"/>
        <v>0</v>
      </c>
      <c r="I356" s="155">
        <f t="shared" si="395"/>
        <v>0</v>
      </c>
      <c r="J356" s="155">
        <f t="shared" si="395"/>
        <v>0</v>
      </c>
      <c r="K356" s="155">
        <f t="shared" si="395"/>
        <v>0</v>
      </c>
      <c r="L356" s="155">
        <f t="shared" si="395"/>
        <v>0</v>
      </c>
      <c r="M356" s="155">
        <f t="shared" si="395"/>
        <v>0</v>
      </c>
      <c r="N356" s="155">
        <f t="shared" si="395"/>
        <v>0</v>
      </c>
      <c r="O356" s="155">
        <f t="shared" si="395"/>
        <v>0</v>
      </c>
      <c r="P356" s="155">
        <f t="shared" si="395"/>
        <v>0</v>
      </c>
      <c r="Q356" s="20"/>
      <c r="R356" s="46"/>
    </row>
    <row r="357" spans="1:18" ht="184.5" hidden="1" thickTop="1" thickBot="1" x14ac:dyDescent="0.7">
      <c r="A357" s="811" t="s">
        <v>968</v>
      </c>
      <c r="B357" s="811" t="s">
        <v>335</v>
      </c>
      <c r="C357" s="811" t="s">
        <v>169</v>
      </c>
      <c r="D357" s="160" t="s">
        <v>435</v>
      </c>
      <c r="E357" s="812">
        <f t="shared" ref="E357" si="396">F357</f>
        <v>0</v>
      </c>
      <c r="F357" s="782"/>
      <c r="G357" s="782"/>
      <c r="H357" s="782"/>
      <c r="I357" s="782"/>
      <c r="J357" s="812">
        <f t="shared" ref="J357" si="397">L357+O357</f>
        <v>0</v>
      </c>
      <c r="K357" s="782"/>
      <c r="L357" s="782"/>
      <c r="M357" s="782"/>
      <c r="N357" s="782"/>
      <c r="O357" s="783">
        <f>K357</f>
        <v>0</v>
      </c>
      <c r="P357" s="810">
        <f>E357+J357</f>
        <v>0</v>
      </c>
      <c r="Q357" s="20"/>
      <c r="R357" s="46"/>
    </row>
    <row r="358" spans="1:18" ht="93" hidden="1" thickTop="1" thickBot="1" x14ac:dyDescent="0.25">
      <c r="A358" s="811"/>
      <c r="B358" s="811"/>
      <c r="C358" s="811"/>
      <c r="D358" s="161" t="s">
        <v>436</v>
      </c>
      <c r="E358" s="812"/>
      <c r="F358" s="782"/>
      <c r="G358" s="782"/>
      <c r="H358" s="782"/>
      <c r="I358" s="782"/>
      <c r="J358" s="812"/>
      <c r="K358" s="782"/>
      <c r="L358" s="782"/>
      <c r="M358" s="782"/>
      <c r="N358" s="782"/>
      <c r="O358" s="783"/>
      <c r="P358" s="810"/>
      <c r="Q358" s="20"/>
      <c r="R358" s="46"/>
    </row>
    <row r="359" spans="1:18" ht="48" hidden="1" thickTop="1" thickBot="1" x14ac:dyDescent="0.25">
      <c r="A359" s="126" t="s">
        <v>1152</v>
      </c>
      <c r="B359" s="126" t="s">
        <v>255</v>
      </c>
      <c r="C359" s="126" t="s">
        <v>169</v>
      </c>
      <c r="D359" s="153" t="s">
        <v>253</v>
      </c>
      <c r="E359" s="125">
        <f>F359</f>
        <v>0</v>
      </c>
      <c r="F359" s="132"/>
      <c r="G359" s="132"/>
      <c r="H359" s="132"/>
      <c r="I359" s="132"/>
      <c r="J359" s="125">
        <f t="shared" ref="J359" si="398">L359+O359</f>
        <v>0</v>
      </c>
      <c r="K359" s="132"/>
      <c r="L359" s="132"/>
      <c r="M359" s="132"/>
      <c r="N359" s="132"/>
      <c r="O359" s="130">
        <f>K359</f>
        <v>0</v>
      </c>
      <c r="P359" s="125">
        <f t="shared" ref="P359" si="399">E359+J359</f>
        <v>0</v>
      </c>
      <c r="Q359" s="20"/>
      <c r="R359" s="46"/>
    </row>
    <row r="360" spans="1:18" ht="120" customHeight="1" thickTop="1" thickBot="1" x14ac:dyDescent="0.25">
      <c r="A360" s="624" t="s">
        <v>159</v>
      </c>
      <c r="B360" s="624"/>
      <c r="C360" s="624"/>
      <c r="D360" s="625" t="s">
        <v>875</v>
      </c>
      <c r="E360" s="626">
        <f>E361</f>
        <v>10199407</v>
      </c>
      <c r="F360" s="627">
        <f t="shared" ref="F360:G360" si="400">F361</f>
        <v>10199407</v>
      </c>
      <c r="G360" s="627">
        <f t="shared" si="400"/>
        <v>7790040</v>
      </c>
      <c r="H360" s="627">
        <f>H361</f>
        <v>361559</v>
      </c>
      <c r="I360" s="627">
        <f t="shared" ref="I360" si="401">I361</f>
        <v>0</v>
      </c>
      <c r="J360" s="626">
        <f>J361</f>
        <v>137700</v>
      </c>
      <c r="K360" s="627">
        <f>K361</f>
        <v>137700</v>
      </c>
      <c r="L360" s="627">
        <f>L361</f>
        <v>0</v>
      </c>
      <c r="M360" s="627">
        <f t="shared" ref="M360" si="402">M361</f>
        <v>0</v>
      </c>
      <c r="N360" s="627">
        <f>N361</f>
        <v>0</v>
      </c>
      <c r="O360" s="626">
        <f>O361</f>
        <v>137700</v>
      </c>
      <c r="P360" s="627">
        <f t="shared" ref="P360" si="403">P361</f>
        <v>10337107</v>
      </c>
      <c r="Q360" s="20"/>
    </row>
    <row r="361" spans="1:18" ht="120" customHeight="1" thickTop="1" thickBot="1" x14ac:dyDescent="0.25">
      <c r="A361" s="588" t="s">
        <v>160</v>
      </c>
      <c r="B361" s="588"/>
      <c r="C361" s="588"/>
      <c r="D361" s="589" t="s">
        <v>876</v>
      </c>
      <c r="E361" s="590">
        <f>E362+E366</f>
        <v>10199407</v>
      </c>
      <c r="F361" s="590">
        <f>F362+F366</f>
        <v>10199407</v>
      </c>
      <c r="G361" s="590">
        <f>G362+G366</f>
        <v>7790040</v>
      </c>
      <c r="H361" s="590">
        <f>H362+H366</f>
        <v>361559</v>
      </c>
      <c r="I361" s="590">
        <f>I362+I366</f>
        <v>0</v>
      </c>
      <c r="J361" s="590">
        <f>L361+O361</f>
        <v>137700</v>
      </c>
      <c r="K361" s="590">
        <f>K362+K366</f>
        <v>137700</v>
      </c>
      <c r="L361" s="590">
        <f>L362+L366</f>
        <v>0</v>
      </c>
      <c r="M361" s="590">
        <f>M362+M366</f>
        <v>0</v>
      </c>
      <c r="N361" s="590">
        <f>N362+N366</f>
        <v>0</v>
      </c>
      <c r="O361" s="590">
        <f>O362+O366</f>
        <v>137700</v>
      </c>
      <c r="P361" s="590">
        <f>E361+J361</f>
        <v>10337107</v>
      </c>
      <c r="Q361" s="452" t="b">
        <f>P361=P363+P369+P368</f>
        <v>1</v>
      </c>
      <c r="R361" s="46"/>
    </row>
    <row r="362" spans="1:18" ht="47.25" thickTop="1" thickBot="1" x14ac:dyDescent="0.25">
      <c r="A362" s="298" t="s">
        <v>806</v>
      </c>
      <c r="B362" s="298" t="s">
        <v>672</v>
      </c>
      <c r="C362" s="298"/>
      <c r="D362" s="298" t="s">
        <v>673</v>
      </c>
      <c r="E362" s="310">
        <f>SUM(E363:E365)</f>
        <v>10199407</v>
      </c>
      <c r="F362" s="310">
        <f t="shared" ref="F362:N362" si="404">SUM(F363:F365)</f>
        <v>10199407</v>
      </c>
      <c r="G362" s="310">
        <f t="shared" si="404"/>
        <v>7790040</v>
      </c>
      <c r="H362" s="310">
        <f t="shared" si="404"/>
        <v>361559</v>
      </c>
      <c r="I362" s="310">
        <f t="shared" si="404"/>
        <v>0</v>
      </c>
      <c r="J362" s="310">
        <f t="shared" si="404"/>
        <v>37700</v>
      </c>
      <c r="K362" s="310">
        <f t="shared" si="404"/>
        <v>37700</v>
      </c>
      <c r="L362" s="310">
        <f t="shared" si="404"/>
        <v>0</v>
      </c>
      <c r="M362" s="310">
        <f t="shared" si="404"/>
        <v>0</v>
      </c>
      <c r="N362" s="310">
        <f t="shared" si="404"/>
        <v>0</v>
      </c>
      <c r="O362" s="310">
        <f>SUM(O363:O365)</f>
        <v>37700</v>
      </c>
      <c r="P362" s="310">
        <f>SUM(P363:P365)</f>
        <v>10237107</v>
      </c>
      <c r="Q362" s="47"/>
      <c r="R362" s="46"/>
    </row>
    <row r="363" spans="1:18" ht="93" thickTop="1" thickBot="1" x14ac:dyDescent="0.25">
      <c r="A363" s="101" t="s">
        <v>414</v>
      </c>
      <c r="B363" s="101" t="s">
        <v>235</v>
      </c>
      <c r="C363" s="101" t="s">
        <v>233</v>
      </c>
      <c r="D363" s="101" t="s">
        <v>234</v>
      </c>
      <c r="E363" s="310">
        <f>F363</f>
        <v>10199407</v>
      </c>
      <c r="F363" s="425">
        <f>(8959407)+1240000</f>
        <v>10199407</v>
      </c>
      <c r="G363" s="425">
        <f>(6740040)+1050000</f>
        <v>7790040</v>
      </c>
      <c r="H363" s="425">
        <f>(341559)+20000</f>
        <v>361559</v>
      </c>
      <c r="I363" s="425"/>
      <c r="J363" s="310">
        <f>L363+O363</f>
        <v>37700</v>
      </c>
      <c r="K363" s="425">
        <f>(0)+37700</f>
        <v>37700</v>
      </c>
      <c r="L363" s="425"/>
      <c r="M363" s="425"/>
      <c r="N363" s="425"/>
      <c r="O363" s="422">
        <f>K363</f>
        <v>37700</v>
      </c>
      <c r="P363" s="310">
        <f>E363+J363</f>
        <v>10237107</v>
      </c>
      <c r="Q363" s="47"/>
      <c r="R363" s="46"/>
    </row>
    <row r="364" spans="1:18" ht="93" hidden="1" thickTop="1" thickBot="1" x14ac:dyDescent="0.25">
      <c r="A364" s="126" t="s">
        <v>622</v>
      </c>
      <c r="B364" s="126" t="s">
        <v>358</v>
      </c>
      <c r="C364" s="126" t="s">
        <v>616</v>
      </c>
      <c r="D364" s="126" t="s">
        <v>617</v>
      </c>
      <c r="E364" s="150">
        <f>F364</f>
        <v>0</v>
      </c>
      <c r="F364" s="127"/>
      <c r="G364" s="127"/>
      <c r="H364" s="127"/>
      <c r="I364" s="127"/>
      <c r="J364" s="125">
        <f t="shared" ref="J364:J365" si="405">L364+O364</f>
        <v>0</v>
      </c>
      <c r="K364" s="127"/>
      <c r="L364" s="128"/>
      <c r="M364" s="128"/>
      <c r="N364" s="128"/>
      <c r="O364" s="130">
        <f t="shared" ref="O364:O365" si="406">K364</f>
        <v>0</v>
      </c>
      <c r="P364" s="125">
        <f t="shared" ref="P364" si="407">+J364+E364</f>
        <v>0</v>
      </c>
      <c r="Q364" s="47"/>
      <c r="R364" s="46"/>
    </row>
    <row r="365" spans="1:18" ht="48" hidden="1" thickTop="1" thickBot="1" x14ac:dyDescent="0.25">
      <c r="A365" s="126" t="s">
        <v>1218</v>
      </c>
      <c r="B365" s="126" t="s">
        <v>43</v>
      </c>
      <c r="C365" s="126" t="s">
        <v>42</v>
      </c>
      <c r="D365" s="126" t="s">
        <v>246</v>
      </c>
      <c r="E365" s="125">
        <f t="shared" ref="E365" si="408">F365</f>
        <v>0</v>
      </c>
      <c r="F365" s="132"/>
      <c r="G365" s="132"/>
      <c r="H365" s="132"/>
      <c r="I365" s="132"/>
      <c r="J365" s="125">
        <f t="shared" si="405"/>
        <v>0</v>
      </c>
      <c r="K365" s="132"/>
      <c r="L365" s="132"/>
      <c r="M365" s="132"/>
      <c r="N365" s="132"/>
      <c r="O365" s="130">
        <f t="shared" si="406"/>
        <v>0</v>
      </c>
      <c r="P365" s="125">
        <f>E365+J365</f>
        <v>0</v>
      </c>
      <c r="Q365" s="47"/>
      <c r="R365" s="46"/>
    </row>
    <row r="366" spans="1:18" ht="47.25" thickTop="1" thickBot="1" x14ac:dyDescent="0.25">
      <c r="A366" s="298" t="s">
        <v>891</v>
      </c>
      <c r="B366" s="298" t="s">
        <v>735</v>
      </c>
      <c r="C366" s="101"/>
      <c r="D366" s="298" t="s">
        <v>780</v>
      </c>
      <c r="E366" s="310">
        <f>E367</f>
        <v>0</v>
      </c>
      <c r="F366" s="310">
        <f t="shared" ref="F366:P366" si="409">F367</f>
        <v>0</v>
      </c>
      <c r="G366" s="310">
        <f t="shared" si="409"/>
        <v>0</v>
      </c>
      <c r="H366" s="310">
        <f t="shared" si="409"/>
        <v>0</v>
      </c>
      <c r="I366" s="310">
        <f t="shared" si="409"/>
        <v>0</v>
      </c>
      <c r="J366" s="310">
        <f t="shared" si="409"/>
        <v>100000</v>
      </c>
      <c r="K366" s="310">
        <f t="shared" si="409"/>
        <v>100000</v>
      </c>
      <c r="L366" s="310">
        <f t="shared" si="409"/>
        <v>0</v>
      </c>
      <c r="M366" s="310">
        <f t="shared" si="409"/>
        <v>0</v>
      </c>
      <c r="N366" s="310">
        <f t="shared" si="409"/>
        <v>0</v>
      </c>
      <c r="O366" s="310">
        <f t="shared" si="409"/>
        <v>100000</v>
      </c>
      <c r="P366" s="310">
        <f t="shared" si="409"/>
        <v>100000</v>
      </c>
      <c r="Q366" s="47"/>
      <c r="R366" s="46"/>
    </row>
    <row r="367" spans="1:18" ht="47.25" thickTop="1" thickBot="1" x14ac:dyDescent="0.25">
      <c r="A367" s="593" t="s">
        <v>892</v>
      </c>
      <c r="B367" s="593" t="s">
        <v>788</v>
      </c>
      <c r="C367" s="593"/>
      <c r="D367" s="593" t="s">
        <v>1623</v>
      </c>
      <c r="E367" s="595">
        <f>SUM(E368:E369)</f>
        <v>0</v>
      </c>
      <c r="F367" s="595">
        <f t="shared" ref="F367:P367" si="410">SUM(F368:F369)</f>
        <v>0</v>
      </c>
      <c r="G367" s="595">
        <f t="shared" si="410"/>
        <v>0</v>
      </c>
      <c r="H367" s="595">
        <f t="shared" si="410"/>
        <v>0</v>
      </c>
      <c r="I367" s="595">
        <f t="shared" si="410"/>
        <v>0</v>
      </c>
      <c r="J367" s="595">
        <f t="shared" si="410"/>
        <v>100000</v>
      </c>
      <c r="K367" s="595">
        <f t="shared" si="410"/>
        <v>100000</v>
      </c>
      <c r="L367" s="595">
        <f t="shared" si="410"/>
        <v>0</v>
      </c>
      <c r="M367" s="595">
        <f t="shared" si="410"/>
        <v>0</v>
      </c>
      <c r="N367" s="595">
        <f t="shared" si="410"/>
        <v>0</v>
      </c>
      <c r="O367" s="595">
        <f t="shared" si="410"/>
        <v>100000</v>
      </c>
      <c r="P367" s="595">
        <f t="shared" si="410"/>
        <v>100000</v>
      </c>
      <c r="Q367" s="47"/>
      <c r="R367" s="46"/>
    </row>
    <row r="368" spans="1:18" ht="93" thickTop="1" thickBot="1" x14ac:dyDescent="0.25">
      <c r="A368" s="101" t="s">
        <v>893</v>
      </c>
      <c r="B368" s="101" t="s">
        <v>894</v>
      </c>
      <c r="C368" s="101" t="s">
        <v>302</v>
      </c>
      <c r="D368" s="101" t="s">
        <v>895</v>
      </c>
      <c r="E368" s="299">
        <f>F368</f>
        <v>0</v>
      </c>
      <c r="F368" s="308"/>
      <c r="G368" s="308"/>
      <c r="H368" s="308"/>
      <c r="I368" s="308"/>
      <c r="J368" s="310">
        <f t="shared" ref="J368" si="411">L368+O368</f>
        <v>100000</v>
      </c>
      <c r="K368" s="308">
        <f>(0)+100000</f>
        <v>100000</v>
      </c>
      <c r="L368" s="421"/>
      <c r="M368" s="421"/>
      <c r="N368" s="421"/>
      <c r="O368" s="422">
        <f t="shared" ref="O368" si="412">K368</f>
        <v>100000</v>
      </c>
      <c r="P368" s="310">
        <f t="shared" ref="P368" si="413">+J368+E368</f>
        <v>100000</v>
      </c>
      <c r="Q368" s="47"/>
      <c r="R368" s="46"/>
    </row>
    <row r="369" spans="1:18" ht="93" hidden="1" thickTop="1" thickBot="1" x14ac:dyDescent="0.25">
      <c r="A369" s="709" t="s">
        <v>1581</v>
      </c>
      <c r="B369" s="709" t="s">
        <v>1583</v>
      </c>
      <c r="C369" s="709" t="s">
        <v>302</v>
      </c>
      <c r="D369" s="709" t="s">
        <v>1582</v>
      </c>
      <c r="E369" s="722">
        <f>F369</f>
        <v>0</v>
      </c>
      <c r="F369" s="717"/>
      <c r="G369" s="717"/>
      <c r="H369" s="717"/>
      <c r="I369" s="717"/>
      <c r="J369" s="710">
        <f t="shared" ref="J369" si="414">L369+O369</f>
        <v>0</v>
      </c>
      <c r="K369" s="717">
        <f>((1000000-200000)-100000)-700000</f>
        <v>0</v>
      </c>
      <c r="L369" s="723"/>
      <c r="M369" s="723"/>
      <c r="N369" s="723"/>
      <c r="O369" s="712">
        <f t="shared" ref="O369" si="415">K369</f>
        <v>0</v>
      </c>
      <c r="P369" s="710">
        <f t="shared" ref="P369" si="416">+J369+E369</f>
        <v>0</v>
      </c>
      <c r="Q369" s="47"/>
      <c r="R369" s="46"/>
    </row>
    <row r="370" spans="1:18" ht="120" customHeight="1" thickTop="1" thickBot="1" x14ac:dyDescent="0.25">
      <c r="A370" s="624" t="s">
        <v>439</v>
      </c>
      <c r="B370" s="624"/>
      <c r="C370" s="624"/>
      <c r="D370" s="625" t="s">
        <v>441</v>
      </c>
      <c r="E370" s="626">
        <f>E371</f>
        <v>175230008</v>
      </c>
      <c r="F370" s="627">
        <f t="shared" ref="F370:G370" si="417">F371</f>
        <v>175230008</v>
      </c>
      <c r="G370" s="627">
        <f t="shared" si="417"/>
        <v>4790308</v>
      </c>
      <c r="H370" s="627">
        <f>H371</f>
        <v>190233</v>
      </c>
      <c r="I370" s="627">
        <f t="shared" ref="I370" si="418">I371</f>
        <v>0</v>
      </c>
      <c r="J370" s="626">
        <f>J371</f>
        <v>17689954</v>
      </c>
      <c r="K370" s="627">
        <f>K371</f>
        <v>17689954</v>
      </c>
      <c r="L370" s="627">
        <f>L371</f>
        <v>0</v>
      </c>
      <c r="M370" s="627">
        <f t="shared" ref="M370" si="419">M371</f>
        <v>0</v>
      </c>
      <c r="N370" s="627">
        <f>N371</f>
        <v>0</v>
      </c>
      <c r="O370" s="626">
        <f>O371</f>
        <v>17689954</v>
      </c>
      <c r="P370" s="627">
        <f t="shared" ref="P370" si="420">P371</f>
        <v>192919962</v>
      </c>
      <c r="Q370" s="20"/>
    </row>
    <row r="371" spans="1:18" ht="120" customHeight="1" thickTop="1" thickBot="1" x14ac:dyDescent="0.25">
      <c r="A371" s="588" t="s">
        <v>440</v>
      </c>
      <c r="B371" s="588"/>
      <c r="C371" s="588"/>
      <c r="D371" s="589" t="s">
        <v>442</v>
      </c>
      <c r="E371" s="590">
        <f t="shared" ref="E371:O371" si="421">E372+E375+E384+E387</f>
        <v>175230008</v>
      </c>
      <c r="F371" s="590">
        <f t="shared" si="421"/>
        <v>175230008</v>
      </c>
      <c r="G371" s="590">
        <f t="shared" si="421"/>
        <v>4790308</v>
      </c>
      <c r="H371" s="590">
        <f t="shared" si="421"/>
        <v>190233</v>
      </c>
      <c r="I371" s="590">
        <f t="shared" si="421"/>
        <v>0</v>
      </c>
      <c r="J371" s="590">
        <f t="shared" si="421"/>
        <v>17689954</v>
      </c>
      <c r="K371" s="590">
        <f t="shared" si="421"/>
        <v>17689954</v>
      </c>
      <c r="L371" s="590">
        <f t="shared" si="421"/>
        <v>0</v>
      </c>
      <c r="M371" s="590">
        <f t="shared" si="421"/>
        <v>0</v>
      </c>
      <c r="N371" s="590">
        <f t="shared" si="421"/>
        <v>0</v>
      </c>
      <c r="O371" s="590">
        <f t="shared" si="421"/>
        <v>17689954</v>
      </c>
      <c r="P371" s="590">
        <f>E371+J371</f>
        <v>192919962</v>
      </c>
      <c r="Q371" s="452" t="b">
        <f>P371=P373+P378+P380+P386+P383</f>
        <v>1</v>
      </c>
      <c r="R371" s="46"/>
    </row>
    <row r="372" spans="1:18" ht="47.25" thickTop="1" thickBot="1" x14ac:dyDescent="0.25">
      <c r="A372" s="298" t="s">
        <v>807</v>
      </c>
      <c r="B372" s="298" t="s">
        <v>672</v>
      </c>
      <c r="C372" s="298"/>
      <c r="D372" s="298" t="s">
        <v>673</v>
      </c>
      <c r="E372" s="310">
        <f>SUM(E373:E374)</f>
        <v>9720348</v>
      </c>
      <c r="F372" s="310">
        <f t="shared" ref="F372" si="422">SUM(F373:F374)</f>
        <v>9720348</v>
      </c>
      <c r="G372" s="310">
        <f t="shared" ref="G372" si="423">SUM(G373:G374)</f>
        <v>4790308</v>
      </c>
      <c r="H372" s="310">
        <f t="shared" ref="H372" si="424">SUM(H373:H374)</f>
        <v>190233</v>
      </c>
      <c r="I372" s="310">
        <f t="shared" ref="I372" si="425">SUM(I373:I374)</f>
        <v>0</v>
      </c>
      <c r="J372" s="310">
        <f t="shared" ref="J372" si="426">SUM(J373:J374)</f>
        <v>89954</v>
      </c>
      <c r="K372" s="310">
        <f t="shared" ref="K372" si="427">SUM(K373:K374)</f>
        <v>89954</v>
      </c>
      <c r="L372" s="310">
        <f t="shared" ref="L372" si="428">SUM(L373:L374)</f>
        <v>0</v>
      </c>
      <c r="M372" s="310">
        <f t="shared" ref="M372" si="429">SUM(M373:M374)</f>
        <v>0</v>
      </c>
      <c r="N372" s="310">
        <f t="shared" ref="N372" si="430">SUM(N373:N374)</f>
        <v>0</v>
      </c>
      <c r="O372" s="310">
        <f t="shared" ref="O372" si="431">SUM(O373:O374)</f>
        <v>89954</v>
      </c>
      <c r="P372" s="310">
        <f t="shared" ref="P372" si="432">SUM(P373:P374)</f>
        <v>9810302</v>
      </c>
      <c r="Q372" s="47"/>
      <c r="R372" s="46"/>
    </row>
    <row r="373" spans="1:18" ht="93" thickTop="1" thickBot="1" x14ac:dyDescent="0.25">
      <c r="A373" s="101" t="s">
        <v>443</v>
      </c>
      <c r="B373" s="101" t="s">
        <v>235</v>
      </c>
      <c r="C373" s="101" t="s">
        <v>233</v>
      </c>
      <c r="D373" s="101" t="s">
        <v>234</v>
      </c>
      <c r="E373" s="310">
        <f>F373</f>
        <v>9720348</v>
      </c>
      <c r="F373" s="425">
        <f>(9875113)-154765</f>
        <v>9720348</v>
      </c>
      <c r="G373" s="425">
        <f>(4685908)+104400</f>
        <v>4790308</v>
      </c>
      <c r="H373" s="425">
        <v>190233</v>
      </c>
      <c r="I373" s="425"/>
      <c r="J373" s="310">
        <f>L373+O373</f>
        <v>89954</v>
      </c>
      <c r="K373" s="425">
        <v>89954</v>
      </c>
      <c r="L373" s="425"/>
      <c r="M373" s="425"/>
      <c r="N373" s="425"/>
      <c r="O373" s="422">
        <f>K373</f>
        <v>89954</v>
      </c>
      <c r="P373" s="310">
        <f>E373+J373</f>
        <v>9810302</v>
      </c>
      <c r="Q373" s="47"/>
      <c r="R373" s="46"/>
    </row>
    <row r="374" spans="1:18" ht="93" hidden="1" thickTop="1" thickBot="1" x14ac:dyDescent="0.25">
      <c r="A374" s="126" t="s">
        <v>623</v>
      </c>
      <c r="B374" s="126" t="s">
        <v>358</v>
      </c>
      <c r="C374" s="126" t="s">
        <v>616</v>
      </c>
      <c r="D374" s="126" t="s">
        <v>617</v>
      </c>
      <c r="E374" s="125">
        <f>F374</f>
        <v>0</v>
      </c>
      <c r="F374" s="132">
        <v>0</v>
      </c>
      <c r="G374" s="132"/>
      <c r="H374" s="132"/>
      <c r="I374" s="132"/>
      <c r="J374" s="125">
        <f t="shared" ref="J374" si="433">L374+O374</f>
        <v>0</v>
      </c>
      <c r="K374" s="132"/>
      <c r="L374" s="132"/>
      <c r="M374" s="132"/>
      <c r="N374" s="132"/>
      <c r="O374" s="130">
        <f t="shared" ref="O374" si="434">K374</f>
        <v>0</v>
      </c>
      <c r="P374" s="125">
        <f t="shared" ref="P374" si="435">+J374+E374</f>
        <v>0</v>
      </c>
      <c r="Q374" s="47"/>
      <c r="R374" s="46"/>
    </row>
    <row r="375" spans="1:18" ht="60" customHeight="1" thickTop="1" thickBot="1" x14ac:dyDescent="0.25">
      <c r="A375" s="298" t="s">
        <v>808</v>
      </c>
      <c r="B375" s="298" t="s">
        <v>735</v>
      </c>
      <c r="C375" s="101"/>
      <c r="D375" s="298" t="s">
        <v>780</v>
      </c>
      <c r="E375" s="310">
        <f>E376+E382</f>
        <v>164709660</v>
      </c>
      <c r="F375" s="310">
        <f t="shared" ref="F375:P375" si="436">F376+F382</f>
        <v>164709660</v>
      </c>
      <c r="G375" s="310">
        <f t="shared" si="436"/>
        <v>0</v>
      </c>
      <c r="H375" s="310">
        <f t="shared" si="436"/>
        <v>0</v>
      </c>
      <c r="I375" s="310">
        <f t="shared" si="436"/>
        <v>0</v>
      </c>
      <c r="J375" s="310">
        <f t="shared" si="436"/>
        <v>17600000</v>
      </c>
      <c r="K375" s="310">
        <f t="shared" si="436"/>
        <v>17600000</v>
      </c>
      <c r="L375" s="310">
        <f t="shared" si="436"/>
        <v>0</v>
      </c>
      <c r="M375" s="310">
        <f t="shared" si="436"/>
        <v>0</v>
      </c>
      <c r="N375" s="310">
        <f t="shared" si="436"/>
        <v>0</v>
      </c>
      <c r="O375" s="310">
        <f t="shared" si="436"/>
        <v>17600000</v>
      </c>
      <c r="P375" s="310">
        <f t="shared" si="436"/>
        <v>182309660</v>
      </c>
      <c r="Q375" s="47"/>
      <c r="R375" s="50"/>
    </row>
    <row r="376" spans="1:18" ht="47.25" thickTop="1" thickBot="1" x14ac:dyDescent="0.25">
      <c r="A376" s="593" t="s">
        <v>809</v>
      </c>
      <c r="B376" s="593" t="s">
        <v>791</v>
      </c>
      <c r="C376" s="593"/>
      <c r="D376" s="593" t="s">
        <v>792</v>
      </c>
      <c r="E376" s="595">
        <f>E379+E381+E377</f>
        <v>164709660</v>
      </c>
      <c r="F376" s="595">
        <f t="shared" ref="F376:P376" si="437">F379+F381+F377</f>
        <v>164709660</v>
      </c>
      <c r="G376" s="595">
        <f t="shared" si="437"/>
        <v>0</v>
      </c>
      <c r="H376" s="595">
        <f t="shared" si="437"/>
        <v>0</v>
      </c>
      <c r="I376" s="595">
        <f t="shared" si="437"/>
        <v>0</v>
      </c>
      <c r="J376" s="595">
        <f t="shared" si="437"/>
        <v>0</v>
      </c>
      <c r="K376" s="595">
        <f t="shared" si="437"/>
        <v>0</v>
      </c>
      <c r="L376" s="595">
        <f t="shared" si="437"/>
        <v>0</v>
      </c>
      <c r="M376" s="595">
        <f t="shared" si="437"/>
        <v>0</v>
      </c>
      <c r="N376" s="595">
        <f t="shared" si="437"/>
        <v>0</v>
      </c>
      <c r="O376" s="595">
        <f t="shared" si="437"/>
        <v>0</v>
      </c>
      <c r="P376" s="595">
        <f t="shared" si="437"/>
        <v>164709660</v>
      </c>
      <c r="Q376" s="47"/>
      <c r="R376" s="50"/>
    </row>
    <row r="377" spans="1:18" ht="93" thickTop="1" thickBot="1" x14ac:dyDescent="0.25">
      <c r="A377" s="598" t="s">
        <v>986</v>
      </c>
      <c r="B377" s="598" t="s">
        <v>987</v>
      </c>
      <c r="C377" s="598"/>
      <c r="D377" s="598" t="s">
        <v>985</v>
      </c>
      <c r="E377" s="599">
        <f>E378</f>
        <v>2450000</v>
      </c>
      <c r="F377" s="599">
        <f t="shared" ref="F377:O377" si="438">F378</f>
        <v>2450000</v>
      </c>
      <c r="G377" s="599">
        <f t="shared" si="438"/>
        <v>0</v>
      </c>
      <c r="H377" s="599">
        <f t="shared" si="438"/>
        <v>0</v>
      </c>
      <c r="I377" s="599">
        <f t="shared" si="438"/>
        <v>0</v>
      </c>
      <c r="J377" s="599">
        <f t="shared" si="438"/>
        <v>0</v>
      </c>
      <c r="K377" s="599">
        <f t="shared" si="438"/>
        <v>0</v>
      </c>
      <c r="L377" s="599">
        <f t="shared" si="438"/>
        <v>0</v>
      </c>
      <c r="M377" s="599">
        <f t="shared" si="438"/>
        <v>0</v>
      </c>
      <c r="N377" s="599">
        <f t="shared" si="438"/>
        <v>0</v>
      </c>
      <c r="O377" s="599">
        <f t="shared" si="438"/>
        <v>0</v>
      </c>
      <c r="P377" s="599">
        <f t="shared" ref="F377:P379" si="439">P378</f>
        <v>2450000</v>
      </c>
      <c r="Q377" s="47"/>
      <c r="R377" s="50"/>
    </row>
    <row r="378" spans="1:18" ht="60.75" customHeight="1" thickTop="1" thickBot="1" x14ac:dyDescent="0.25">
      <c r="A378" s="101" t="s">
        <v>462</v>
      </c>
      <c r="B378" s="101" t="s">
        <v>407</v>
      </c>
      <c r="C378" s="101" t="s">
        <v>408</v>
      </c>
      <c r="D378" s="101" t="s">
        <v>409</v>
      </c>
      <c r="E378" s="310">
        <f>F378</f>
        <v>2450000</v>
      </c>
      <c r="F378" s="425">
        <f>(((300000)+250000)+1062000-662000)+1500000</f>
        <v>2450000</v>
      </c>
      <c r="G378" s="425"/>
      <c r="H378" s="425"/>
      <c r="I378" s="425"/>
      <c r="J378" s="310">
        <f>L378+O378</f>
        <v>0</v>
      </c>
      <c r="K378" s="425"/>
      <c r="L378" s="425"/>
      <c r="M378" s="425"/>
      <c r="N378" s="425"/>
      <c r="O378" s="422">
        <f>K378</f>
        <v>0</v>
      </c>
      <c r="P378" s="310">
        <f>E378+J378</f>
        <v>2450000</v>
      </c>
      <c r="Q378" s="47"/>
      <c r="R378" s="50"/>
    </row>
    <row r="379" spans="1:18" ht="93" thickTop="1" thickBot="1" x14ac:dyDescent="0.25">
      <c r="A379" s="598" t="s">
        <v>810</v>
      </c>
      <c r="B379" s="598" t="s">
        <v>811</v>
      </c>
      <c r="C379" s="598"/>
      <c r="D379" s="598" t="s">
        <v>812</v>
      </c>
      <c r="E379" s="599">
        <f>E380</f>
        <v>162259660</v>
      </c>
      <c r="F379" s="599">
        <f t="shared" si="439"/>
        <v>162259660</v>
      </c>
      <c r="G379" s="599">
        <f t="shared" si="439"/>
        <v>0</v>
      </c>
      <c r="H379" s="599">
        <f t="shared" si="439"/>
        <v>0</v>
      </c>
      <c r="I379" s="599">
        <f t="shared" si="439"/>
        <v>0</v>
      </c>
      <c r="J379" s="599">
        <f t="shared" si="439"/>
        <v>0</v>
      </c>
      <c r="K379" s="599">
        <f t="shared" si="439"/>
        <v>0</v>
      </c>
      <c r="L379" s="599">
        <f t="shared" si="439"/>
        <v>0</v>
      </c>
      <c r="M379" s="599">
        <f t="shared" si="439"/>
        <v>0</v>
      </c>
      <c r="N379" s="599">
        <f t="shared" si="439"/>
        <v>0</v>
      </c>
      <c r="O379" s="599">
        <f t="shared" si="439"/>
        <v>0</v>
      </c>
      <c r="P379" s="599">
        <f t="shared" si="439"/>
        <v>162259660</v>
      </c>
      <c r="Q379" s="47"/>
      <c r="R379" s="50"/>
    </row>
    <row r="380" spans="1:18" ht="66.75" customHeight="1" thickTop="1" thickBot="1" x14ac:dyDescent="0.25">
      <c r="A380" s="101" t="s">
        <v>463</v>
      </c>
      <c r="B380" s="101" t="s">
        <v>289</v>
      </c>
      <c r="C380" s="101" t="s">
        <v>1306</v>
      </c>
      <c r="D380" s="101" t="s">
        <v>290</v>
      </c>
      <c r="E380" s="310">
        <f>F380</f>
        <v>162259660</v>
      </c>
      <c r="F380" s="425">
        <f>((194066858)-10500000)-21307198</f>
        <v>162259660</v>
      </c>
      <c r="G380" s="425"/>
      <c r="H380" s="425"/>
      <c r="I380" s="425"/>
      <c r="J380" s="310">
        <f>L380+O380</f>
        <v>0</v>
      </c>
      <c r="K380" s="425"/>
      <c r="L380" s="425"/>
      <c r="M380" s="425"/>
      <c r="N380" s="425"/>
      <c r="O380" s="422">
        <f>K380</f>
        <v>0</v>
      </c>
      <c r="P380" s="310">
        <f>E380+J380</f>
        <v>162259660</v>
      </c>
      <c r="Q380" s="47"/>
      <c r="R380" s="50"/>
    </row>
    <row r="381" spans="1:18" ht="48" hidden="1" thickTop="1" thickBot="1" x14ac:dyDescent="0.25">
      <c r="A381" s="126" t="s">
        <v>1060</v>
      </c>
      <c r="B381" s="126" t="s">
        <v>1061</v>
      </c>
      <c r="C381" s="126" t="s">
        <v>293</v>
      </c>
      <c r="D381" s="126" t="s">
        <v>1059</v>
      </c>
      <c r="E381" s="125">
        <f>F381</f>
        <v>0</v>
      </c>
      <c r="F381" s="132"/>
      <c r="G381" s="132"/>
      <c r="H381" s="132"/>
      <c r="I381" s="132"/>
      <c r="J381" s="125">
        <f>L381+O381</f>
        <v>0</v>
      </c>
      <c r="K381" s="132"/>
      <c r="L381" s="132"/>
      <c r="M381" s="132"/>
      <c r="N381" s="132"/>
      <c r="O381" s="130">
        <f>K381</f>
        <v>0</v>
      </c>
      <c r="P381" s="125">
        <f>E381+J381</f>
        <v>0</v>
      </c>
      <c r="Q381" s="47"/>
      <c r="R381" s="50"/>
    </row>
    <row r="382" spans="1:18" ht="63" customHeight="1" thickTop="1" thickBot="1" x14ac:dyDescent="0.25">
      <c r="A382" s="593" t="s">
        <v>1133</v>
      </c>
      <c r="B382" s="593" t="s">
        <v>679</v>
      </c>
      <c r="C382" s="593"/>
      <c r="D382" s="593" t="s">
        <v>677</v>
      </c>
      <c r="E382" s="595">
        <f>E383</f>
        <v>0</v>
      </c>
      <c r="F382" s="595">
        <f t="shared" ref="F382:P382" si="440">F383</f>
        <v>0</v>
      </c>
      <c r="G382" s="595">
        <f t="shared" si="440"/>
        <v>0</v>
      </c>
      <c r="H382" s="595">
        <f t="shared" si="440"/>
        <v>0</v>
      </c>
      <c r="I382" s="595">
        <f t="shared" si="440"/>
        <v>0</v>
      </c>
      <c r="J382" s="595">
        <f t="shared" si="440"/>
        <v>17600000</v>
      </c>
      <c r="K382" s="595">
        <f t="shared" si="440"/>
        <v>17600000</v>
      </c>
      <c r="L382" s="595">
        <f t="shared" si="440"/>
        <v>0</v>
      </c>
      <c r="M382" s="595">
        <f t="shared" si="440"/>
        <v>0</v>
      </c>
      <c r="N382" s="595">
        <f t="shared" si="440"/>
        <v>0</v>
      </c>
      <c r="O382" s="595">
        <f t="shared" si="440"/>
        <v>17600000</v>
      </c>
      <c r="P382" s="595">
        <f t="shared" si="440"/>
        <v>17600000</v>
      </c>
      <c r="Q382" s="47"/>
      <c r="R382" s="50"/>
    </row>
    <row r="383" spans="1:18" ht="66.75" customHeight="1" thickTop="1" thickBot="1" x14ac:dyDescent="0.25">
      <c r="A383" s="101" t="s">
        <v>1134</v>
      </c>
      <c r="B383" s="101" t="s">
        <v>196</v>
      </c>
      <c r="C383" s="101" t="s">
        <v>169</v>
      </c>
      <c r="D383" s="101" t="s">
        <v>1135</v>
      </c>
      <c r="E383" s="310">
        <f>F383</f>
        <v>0</v>
      </c>
      <c r="F383" s="425">
        <v>0</v>
      </c>
      <c r="G383" s="425"/>
      <c r="H383" s="425"/>
      <c r="I383" s="425"/>
      <c r="J383" s="310">
        <f>L383+O383</f>
        <v>17600000</v>
      </c>
      <c r="K383" s="425">
        <f>(((0)+2000000)+3000000)+12600000</f>
        <v>17600000</v>
      </c>
      <c r="L383" s="425"/>
      <c r="M383" s="425"/>
      <c r="N383" s="425"/>
      <c r="O383" s="422">
        <f>K383</f>
        <v>17600000</v>
      </c>
      <c r="P383" s="310">
        <f>E383+J383</f>
        <v>17600000</v>
      </c>
      <c r="Q383" s="47"/>
      <c r="R383" s="50"/>
    </row>
    <row r="384" spans="1:18" ht="47.25" thickTop="1" thickBot="1" x14ac:dyDescent="0.25">
      <c r="A384" s="298" t="s">
        <v>1178</v>
      </c>
      <c r="B384" s="298" t="s">
        <v>684</v>
      </c>
      <c r="C384" s="298"/>
      <c r="D384" s="298" t="s">
        <v>685</v>
      </c>
      <c r="E384" s="310">
        <f>E385</f>
        <v>800000</v>
      </c>
      <c r="F384" s="310">
        <f t="shared" ref="F384:P384" si="441">F385</f>
        <v>800000</v>
      </c>
      <c r="G384" s="310">
        <f t="shared" si="441"/>
        <v>0</v>
      </c>
      <c r="H384" s="310">
        <f t="shared" si="441"/>
        <v>0</v>
      </c>
      <c r="I384" s="310">
        <f t="shared" si="441"/>
        <v>0</v>
      </c>
      <c r="J384" s="310">
        <f t="shared" si="441"/>
        <v>0</v>
      </c>
      <c r="K384" s="310">
        <f t="shared" si="441"/>
        <v>0</v>
      </c>
      <c r="L384" s="310">
        <f t="shared" si="441"/>
        <v>0</v>
      </c>
      <c r="M384" s="310">
        <f t="shared" si="441"/>
        <v>0</v>
      </c>
      <c r="N384" s="310">
        <f t="shared" si="441"/>
        <v>0</v>
      </c>
      <c r="O384" s="310">
        <f t="shared" si="441"/>
        <v>0</v>
      </c>
      <c r="P384" s="310">
        <f t="shared" si="441"/>
        <v>800000</v>
      </c>
      <c r="Q384" s="47"/>
      <c r="R384" s="50"/>
    </row>
    <row r="385" spans="1:18" ht="47.25" thickTop="1" thickBot="1" x14ac:dyDescent="0.25">
      <c r="A385" s="593" t="s">
        <v>1179</v>
      </c>
      <c r="B385" s="593" t="s">
        <v>1145</v>
      </c>
      <c r="C385" s="593"/>
      <c r="D385" s="593" t="s">
        <v>1143</v>
      </c>
      <c r="E385" s="595">
        <f>E386</f>
        <v>800000</v>
      </c>
      <c r="F385" s="595">
        <f>F386</f>
        <v>800000</v>
      </c>
      <c r="G385" s="595">
        <f t="shared" ref="G385:O385" si="442">G386</f>
        <v>0</v>
      </c>
      <c r="H385" s="595">
        <f t="shared" si="442"/>
        <v>0</v>
      </c>
      <c r="I385" s="595">
        <f t="shared" si="442"/>
        <v>0</v>
      </c>
      <c r="J385" s="595">
        <f t="shared" si="442"/>
        <v>0</v>
      </c>
      <c r="K385" s="595">
        <f t="shared" si="442"/>
        <v>0</v>
      </c>
      <c r="L385" s="595">
        <f t="shared" si="442"/>
        <v>0</v>
      </c>
      <c r="M385" s="595">
        <f t="shared" si="442"/>
        <v>0</v>
      </c>
      <c r="N385" s="595">
        <f t="shared" si="442"/>
        <v>0</v>
      </c>
      <c r="O385" s="595">
        <f t="shared" si="442"/>
        <v>0</v>
      </c>
      <c r="P385" s="595">
        <f>P386</f>
        <v>800000</v>
      </c>
      <c r="Q385" s="47"/>
      <c r="R385" s="50"/>
    </row>
    <row r="386" spans="1:18" ht="48" thickTop="1" thickBot="1" x14ac:dyDescent="0.25">
      <c r="A386" s="101" t="s">
        <v>1180</v>
      </c>
      <c r="B386" s="101" t="s">
        <v>1181</v>
      </c>
      <c r="C386" s="101" t="s">
        <v>1147</v>
      </c>
      <c r="D386" s="101" t="s">
        <v>1182</v>
      </c>
      <c r="E386" s="310">
        <f>F386</f>
        <v>800000</v>
      </c>
      <c r="F386" s="425">
        <f>(1475300)-675300</f>
        <v>800000</v>
      </c>
      <c r="G386" s="425"/>
      <c r="H386" s="425"/>
      <c r="I386" s="425"/>
      <c r="J386" s="310">
        <f>L386+O386</f>
        <v>0</v>
      </c>
      <c r="K386" s="425"/>
      <c r="L386" s="425"/>
      <c r="M386" s="425"/>
      <c r="N386" s="425"/>
      <c r="O386" s="422">
        <f>K386</f>
        <v>0</v>
      </c>
      <c r="P386" s="310">
        <f>E386+J386</f>
        <v>800000</v>
      </c>
      <c r="Q386" s="47"/>
      <c r="R386" s="50"/>
    </row>
    <row r="387" spans="1:18" ht="47.25" hidden="1" thickTop="1" thickBot="1" x14ac:dyDescent="0.25">
      <c r="A387" s="123" t="s">
        <v>1279</v>
      </c>
      <c r="B387" s="123" t="s">
        <v>689</v>
      </c>
      <c r="C387" s="123"/>
      <c r="D387" s="123" t="s">
        <v>690</v>
      </c>
      <c r="E387" s="125">
        <f t="shared" ref="E387:P387" si="443">E388</f>
        <v>0</v>
      </c>
      <c r="F387" s="125">
        <f t="shared" si="443"/>
        <v>0</v>
      </c>
      <c r="G387" s="125">
        <f t="shared" si="443"/>
        <v>0</v>
      </c>
      <c r="H387" s="125">
        <f t="shared" si="443"/>
        <v>0</v>
      </c>
      <c r="I387" s="125">
        <f t="shared" si="443"/>
        <v>0</v>
      </c>
      <c r="J387" s="125">
        <f t="shared" si="443"/>
        <v>0</v>
      </c>
      <c r="K387" s="125">
        <f t="shared" si="443"/>
        <v>0</v>
      </c>
      <c r="L387" s="125">
        <f t="shared" si="443"/>
        <v>0</v>
      </c>
      <c r="M387" s="125">
        <f t="shared" si="443"/>
        <v>0</v>
      </c>
      <c r="N387" s="125">
        <f t="shared" si="443"/>
        <v>0</v>
      </c>
      <c r="O387" s="125">
        <f t="shared" si="443"/>
        <v>0</v>
      </c>
      <c r="P387" s="125">
        <f t="shared" si="443"/>
        <v>0</v>
      </c>
      <c r="Q387" s="47"/>
      <c r="R387" s="50"/>
    </row>
    <row r="388" spans="1:18" ht="91.5" hidden="1" thickTop="1" thickBot="1" x14ac:dyDescent="0.25">
      <c r="A388" s="134" t="s">
        <v>1280</v>
      </c>
      <c r="B388" s="134" t="s">
        <v>509</v>
      </c>
      <c r="C388" s="134" t="s">
        <v>43</v>
      </c>
      <c r="D388" s="134" t="s">
        <v>510</v>
      </c>
      <c r="E388" s="135">
        <f t="shared" ref="E388" si="444">F388</f>
        <v>0</v>
      </c>
      <c r="F388" s="135">
        <v>0</v>
      </c>
      <c r="G388" s="135"/>
      <c r="H388" s="135"/>
      <c r="I388" s="135"/>
      <c r="J388" s="135">
        <f>L388+O388</f>
        <v>0</v>
      </c>
      <c r="K388" s="132"/>
      <c r="L388" s="135"/>
      <c r="M388" s="135"/>
      <c r="N388" s="135"/>
      <c r="O388" s="135">
        <f>(K388+0)</f>
        <v>0</v>
      </c>
      <c r="P388" s="135">
        <f>E388+J388</f>
        <v>0</v>
      </c>
      <c r="Q388" s="47"/>
      <c r="R388" s="50"/>
    </row>
    <row r="389" spans="1:18" ht="120" customHeight="1" thickTop="1" thickBot="1" x14ac:dyDescent="0.25">
      <c r="A389" s="624" t="s">
        <v>165</v>
      </c>
      <c r="B389" s="624"/>
      <c r="C389" s="624"/>
      <c r="D389" s="625" t="s">
        <v>350</v>
      </c>
      <c r="E389" s="626">
        <f>E390</f>
        <v>14908894.029999999</v>
      </c>
      <c r="F389" s="627">
        <f t="shared" ref="F389:G389" si="445">F390</f>
        <v>14908894.029999999</v>
      </c>
      <c r="G389" s="627">
        <f t="shared" si="445"/>
        <v>0</v>
      </c>
      <c r="H389" s="627">
        <f>H390</f>
        <v>0</v>
      </c>
      <c r="I389" s="627">
        <f t="shared" ref="I389" si="446">I390</f>
        <v>0</v>
      </c>
      <c r="J389" s="626">
        <f>J390</f>
        <v>292500</v>
      </c>
      <c r="K389" s="627">
        <f>K390</f>
        <v>292500</v>
      </c>
      <c r="L389" s="627">
        <f>L390</f>
        <v>0</v>
      </c>
      <c r="M389" s="627">
        <f t="shared" ref="M389" si="447">M390</f>
        <v>0</v>
      </c>
      <c r="N389" s="627">
        <f>N390</f>
        <v>0</v>
      </c>
      <c r="O389" s="626">
        <f>O390</f>
        <v>292500</v>
      </c>
      <c r="P389" s="627">
        <f t="shared" ref="P389" si="448">P390</f>
        <v>15201394.029999999</v>
      </c>
      <c r="Q389" s="20"/>
    </row>
    <row r="390" spans="1:18" ht="120" customHeight="1" thickTop="1" thickBot="1" x14ac:dyDescent="0.25">
      <c r="A390" s="588" t="s">
        <v>166</v>
      </c>
      <c r="B390" s="588"/>
      <c r="C390" s="588"/>
      <c r="D390" s="589" t="s">
        <v>351</v>
      </c>
      <c r="E390" s="590">
        <f>E394+E406+E403+E391</f>
        <v>14908894.029999999</v>
      </c>
      <c r="F390" s="590">
        <f>F394+F406+F403+F391</f>
        <v>14908894.029999999</v>
      </c>
      <c r="G390" s="590">
        <f>G394+G406+G403+G391</f>
        <v>0</v>
      </c>
      <c r="H390" s="590">
        <f>H394+H406+H403+H391</f>
        <v>0</v>
      </c>
      <c r="I390" s="590">
        <f>I394+I406+I403+I391</f>
        <v>0</v>
      </c>
      <c r="J390" s="590">
        <f>L390+O390</f>
        <v>292500</v>
      </c>
      <c r="K390" s="590">
        <f>K394+K406+K403+K391</f>
        <v>292500</v>
      </c>
      <c r="L390" s="590">
        <f>L394+L406+L403+L391</f>
        <v>0</v>
      </c>
      <c r="M390" s="590">
        <f>M394+M406+M403+M391</f>
        <v>0</v>
      </c>
      <c r="N390" s="590">
        <f>N394+N406+N403+N391</f>
        <v>0</v>
      </c>
      <c r="O390" s="590">
        <f>O394+O406+O403+O391</f>
        <v>292500</v>
      </c>
      <c r="P390" s="590">
        <f>E390+J390</f>
        <v>15201394.029999999</v>
      </c>
      <c r="Q390" s="452" t="b">
        <f>P390=P392+P393+P396+P398+P399+P405+P402</f>
        <v>1</v>
      </c>
      <c r="R390" s="46"/>
    </row>
    <row r="391" spans="1:18" ht="63" customHeight="1" thickTop="1" thickBot="1" x14ac:dyDescent="0.25">
      <c r="A391" s="298" t="s">
        <v>1258</v>
      </c>
      <c r="B391" s="298" t="s">
        <v>698</v>
      </c>
      <c r="C391" s="298"/>
      <c r="D391" s="298" t="s">
        <v>699</v>
      </c>
      <c r="E391" s="310">
        <f t="shared" ref="E391:P391" si="449">SUM(E392:E393)</f>
        <v>1292100</v>
      </c>
      <c r="F391" s="310">
        <f t="shared" si="449"/>
        <v>1292100</v>
      </c>
      <c r="G391" s="310">
        <f t="shared" si="449"/>
        <v>0</v>
      </c>
      <c r="H391" s="310">
        <f t="shared" si="449"/>
        <v>0</v>
      </c>
      <c r="I391" s="310">
        <f t="shared" si="449"/>
        <v>0</v>
      </c>
      <c r="J391" s="310">
        <f t="shared" si="449"/>
        <v>292500</v>
      </c>
      <c r="K391" s="310">
        <f t="shared" si="449"/>
        <v>292500</v>
      </c>
      <c r="L391" s="310">
        <f t="shared" si="449"/>
        <v>0</v>
      </c>
      <c r="M391" s="310">
        <f t="shared" si="449"/>
        <v>0</v>
      </c>
      <c r="N391" s="310">
        <f t="shared" si="449"/>
        <v>0</v>
      </c>
      <c r="O391" s="310">
        <f t="shared" si="449"/>
        <v>292500</v>
      </c>
      <c r="P391" s="310">
        <f t="shared" si="449"/>
        <v>1584600</v>
      </c>
      <c r="Q391" s="47"/>
      <c r="R391" s="46"/>
    </row>
    <row r="392" spans="1:18" ht="93" hidden="1" thickTop="1" thickBot="1" x14ac:dyDescent="0.25">
      <c r="A392" s="700" t="s">
        <v>1259</v>
      </c>
      <c r="B392" s="700" t="s">
        <v>1159</v>
      </c>
      <c r="C392" s="700" t="s">
        <v>205</v>
      </c>
      <c r="D392" s="701" t="s">
        <v>1160</v>
      </c>
      <c r="E392" s="310">
        <f t="shared" ref="E392:E393" si="450">F392</f>
        <v>0</v>
      </c>
      <c r="F392" s="425">
        <f>(175000)-175000</f>
        <v>0</v>
      </c>
      <c r="G392" s="425"/>
      <c r="H392" s="425"/>
      <c r="I392" s="425"/>
      <c r="J392" s="310">
        <f>L392+O392</f>
        <v>0</v>
      </c>
      <c r="K392" s="425">
        <f>(100000)-100000</f>
        <v>0</v>
      </c>
      <c r="L392" s="425"/>
      <c r="M392" s="425"/>
      <c r="N392" s="425"/>
      <c r="O392" s="422">
        <f>K392</f>
        <v>0</v>
      </c>
      <c r="P392" s="310">
        <f>E392+J392</f>
        <v>0</v>
      </c>
      <c r="Q392" s="47"/>
      <c r="R392" s="46"/>
    </row>
    <row r="393" spans="1:18" ht="63.75" customHeight="1" thickTop="1" thickBot="1" x14ac:dyDescent="0.25">
      <c r="A393" s="101" t="s">
        <v>1500</v>
      </c>
      <c r="B393" s="101" t="s">
        <v>328</v>
      </c>
      <c r="C393" s="101" t="s">
        <v>190</v>
      </c>
      <c r="D393" s="600" t="s">
        <v>329</v>
      </c>
      <c r="E393" s="310">
        <f t="shared" si="450"/>
        <v>1292100</v>
      </c>
      <c r="F393" s="425">
        <f>(300000)+82500+325000+584600</f>
        <v>1292100</v>
      </c>
      <c r="G393" s="425"/>
      <c r="H393" s="425"/>
      <c r="I393" s="425"/>
      <c r="J393" s="310">
        <f t="shared" ref="J393" si="451">L393+O393</f>
        <v>292500</v>
      </c>
      <c r="K393" s="425">
        <f>(125000)+25000+175000-32500</f>
        <v>292500</v>
      </c>
      <c r="L393" s="425"/>
      <c r="M393" s="425"/>
      <c r="N393" s="425"/>
      <c r="O393" s="422">
        <f t="shared" ref="O393" si="452">K393</f>
        <v>292500</v>
      </c>
      <c r="P393" s="310">
        <f t="shared" ref="P393" si="453">E393+J393</f>
        <v>1584600</v>
      </c>
      <c r="Q393" s="47"/>
      <c r="R393" s="46"/>
    </row>
    <row r="394" spans="1:18" ht="60" customHeight="1" thickTop="1" thickBot="1" x14ac:dyDescent="0.25">
      <c r="A394" s="298" t="s">
        <v>813</v>
      </c>
      <c r="B394" s="298" t="s">
        <v>735</v>
      </c>
      <c r="C394" s="101"/>
      <c r="D394" s="298" t="s">
        <v>780</v>
      </c>
      <c r="E394" s="639">
        <f t="shared" ref="E394:P394" si="454">E397+E395</f>
        <v>13616794.029999999</v>
      </c>
      <c r="F394" s="639">
        <f t="shared" si="454"/>
        <v>13616794.029999999</v>
      </c>
      <c r="G394" s="639">
        <f t="shared" si="454"/>
        <v>0</v>
      </c>
      <c r="H394" s="639">
        <f t="shared" si="454"/>
        <v>0</v>
      </c>
      <c r="I394" s="639">
        <f t="shared" si="454"/>
        <v>0</v>
      </c>
      <c r="J394" s="639">
        <f t="shared" si="454"/>
        <v>0</v>
      </c>
      <c r="K394" s="639">
        <f t="shared" si="454"/>
        <v>0</v>
      </c>
      <c r="L394" s="639">
        <f t="shared" si="454"/>
        <v>0</v>
      </c>
      <c r="M394" s="639">
        <f t="shared" si="454"/>
        <v>0</v>
      </c>
      <c r="N394" s="639">
        <f t="shared" si="454"/>
        <v>0</v>
      </c>
      <c r="O394" s="639">
        <f t="shared" si="454"/>
        <v>0</v>
      </c>
      <c r="P394" s="639">
        <f t="shared" si="454"/>
        <v>13616794.029999999</v>
      </c>
      <c r="Q394" s="47"/>
      <c r="R394" s="46"/>
    </row>
    <row r="395" spans="1:18" ht="63" customHeight="1" thickTop="1" thickBot="1" x14ac:dyDescent="0.25">
      <c r="A395" s="593" t="s">
        <v>983</v>
      </c>
      <c r="B395" s="593" t="s">
        <v>788</v>
      </c>
      <c r="C395" s="593"/>
      <c r="D395" s="593" t="s">
        <v>1623</v>
      </c>
      <c r="E395" s="643">
        <f>E396</f>
        <v>260000</v>
      </c>
      <c r="F395" s="643">
        <f>F396</f>
        <v>260000</v>
      </c>
      <c r="G395" s="643">
        <f t="shared" ref="G395:O395" si="455">G396</f>
        <v>0</v>
      </c>
      <c r="H395" s="643">
        <f t="shared" si="455"/>
        <v>0</v>
      </c>
      <c r="I395" s="643">
        <f t="shared" si="455"/>
        <v>0</v>
      </c>
      <c r="J395" s="643">
        <f t="shared" si="455"/>
        <v>0</v>
      </c>
      <c r="K395" s="643">
        <f t="shared" si="455"/>
        <v>0</v>
      </c>
      <c r="L395" s="643">
        <f t="shared" si="455"/>
        <v>0</v>
      </c>
      <c r="M395" s="643">
        <f t="shared" si="455"/>
        <v>0</v>
      </c>
      <c r="N395" s="643">
        <f t="shared" si="455"/>
        <v>0</v>
      </c>
      <c r="O395" s="643">
        <f t="shared" si="455"/>
        <v>0</v>
      </c>
      <c r="P395" s="643">
        <f>P396</f>
        <v>260000</v>
      </c>
      <c r="Q395" s="47"/>
      <c r="R395" s="46"/>
    </row>
    <row r="396" spans="1:18" ht="57.75" customHeight="1" thickTop="1" thickBot="1" x14ac:dyDescent="0.25">
      <c r="A396" s="101" t="s">
        <v>984</v>
      </c>
      <c r="B396" s="101" t="s">
        <v>347</v>
      </c>
      <c r="C396" s="101" t="s">
        <v>169</v>
      </c>
      <c r="D396" s="101" t="s">
        <v>260</v>
      </c>
      <c r="E396" s="310">
        <f t="shared" ref="E396" si="456">F396</f>
        <v>260000</v>
      </c>
      <c r="F396" s="425">
        <f>((1260000)+4500000)-5500000</f>
        <v>260000</v>
      </c>
      <c r="G396" s="425"/>
      <c r="H396" s="425"/>
      <c r="I396" s="425"/>
      <c r="J396" s="310">
        <f t="shared" ref="J396" si="457">L396+O396</f>
        <v>0</v>
      </c>
      <c r="K396" s="425">
        <f>((0)+5000000-1000000)-4000000</f>
        <v>0</v>
      </c>
      <c r="L396" s="425"/>
      <c r="M396" s="425"/>
      <c r="N396" s="425"/>
      <c r="O396" s="422">
        <f>K396</f>
        <v>0</v>
      </c>
      <c r="P396" s="310">
        <f t="shared" ref="P396" si="458">E396+J396</f>
        <v>260000</v>
      </c>
      <c r="Q396" s="47"/>
      <c r="R396" s="46"/>
    </row>
    <row r="397" spans="1:18" ht="63" customHeight="1" thickTop="1" thickBot="1" x14ac:dyDescent="0.25">
      <c r="A397" s="593" t="s">
        <v>814</v>
      </c>
      <c r="B397" s="593" t="s">
        <v>679</v>
      </c>
      <c r="C397" s="593"/>
      <c r="D397" s="593" t="s">
        <v>677</v>
      </c>
      <c r="E397" s="643">
        <f>SUM(E398:E402)-E401</f>
        <v>13356794.029999999</v>
      </c>
      <c r="F397" s="643">
        <f t="shared" ref="F397:P397" si="459">SUM(F398:F402)-F401</f>
        <v>13356794.029999999</v>
      </c>
      <c r="G397" s="643">
        <f t="shared" si="459"/>
        <v>0</v>
      </c>
      <c r="H397" s="643">
        <f t="shared" si="459"/>
        <v>0</v>
      </c>
      <c r="I397" s="643">
        <f t="shared" si="459"/>
        <v>0</v>
      </c>
      <c r="J397" s="643">
        <f>SUM(J398:J402)-J401</f>
        <v>0</v>
      </c>
      <c r="K397" s="643">
        <f t="shared" si="459"/>
        <v>0</v>
      </c>
      <c r="L397" s="643">
        <f t="shared" si="459"/>
        <v>0</v>
      </c>
      <c r="M397" s="643">
        <f t="shared" si="459"/>
        <v>0</v>
      </c>
      <c r="N397" s="643">
        <f t="shared" si="459"/>
        <v>0</v>
      </c>
      <c r="O397" s="643">
        <f t="shared" si="459"/>
        <v>0</v>
      </c>
      <c r="P397" s="643">
        <f t="shared" si="459"/>
        <v>13356794.029999999</v>
      </c>
      <c r="Q397" s="47"/>
      <c r="R397" s="46"/>
    </row>
    <row r="398" spans="1:18" ht="69.75" customHeight="1" thickTop="1" thickBot="1" x14ac:dyDescent="0.25">
      <c r="A398" s="101" t="s">
        <v>258</v>
      </c>
      <c r="B398" s="101" t="s">
        <v>259</v>
      </c>
      <c r="C398" s="101" t="s">
        <v>257</v>
      </c>
      <c r="D398" s="101" t="s">
        <v>256</v>
      </c>
      <c r="E398" s="310">
        <f t="shared" ref="E398:E402" si="460">F398</f>
        <v>12758000</v>
      </c>
      <c r="F398" s="425">
        <f>(((4040000)+6130000-2000000)+2188000)+2400000</f>
        <v>12758000</v>
      </c>
      <c r="G398" s="425"/>
      <c r="H398" s="425"/>
      <c r="I398" s="425"/>
      <c r="J398" s="310">
        <f t="shared" ref="J398:J402" si="461">L398+O398</f>
        <v>0</v>
      </c>
      <c r="K398" s="425"/>
      <c r="L398" s="425"/>
      <c r="M398" s="425"/>
      <c r="N398" s="425"/>
      <c r="O398" s="422">
        <f>K398</f>
        <v>0</v>
      </c>
      <c r="P398" s="310">
        <f t="shared" ref="P398:P402" si="462">E398+J398</f>
        <v>12758000</v>
      </c>
      <c r="Q398" s="20"/>
      <c r="R398" s="46"/>
    </row>
    <row r="399" spans="1:18" ht="60.75" customHeight="1" thickTop="1" thickBot="1" x14ac:dyDescent="0.25">
      <c r="A399" s="101" t="s">
        <v>250</v>
      </c>
      <c r="B399" s="101" t="s">
        <v>252</v>
      </c>
      <c r="C399" s="101" t="s">
        <v>212</v>
      </c>
      <c r="D399" s="101" t="s">
        <v>251</v>
      </c>
      <c r="E399" s="310">
        <f t="shared" si="460"/>
        <v>398794.03</v>
      </c>
      <c r="F399" s="425">
        <f>(985000)-586205.97</f>
        <v>398794.03</v>
      </c>
      <c r="G399" s="425"/>
      <c r="H399" s="425"/>
      <c r="I399" s="425"/>
      <c r="J399" s="310">
        <f t="shared" si="461"/>
        <v>0</v>
      </c>
      <c r="K399" s="425"/>
      <c r="L399" s="425"/>
      <c r="M399" s="425"/>
      <c r="N399" s="425"/>
      <c r="O399" s="422">
        <f>K399</f>
        <v>0</v>
      </c>
      <c r="P399" s="310">
        <f t="shared" si="462"/>
        <v>398794.03</v>
      </c>
      <c r="Q399" s="20"/>
      <c r="R399" s="46"/>
    </row>
    <row r="400" spans="1:18" ht="48" hidden="1" thickTop="1" thickBot="1" x14ac:dyDescent="0.25">
      <c r="A400" s="126" t="s">
        <v>1253</v>
      </c>
      <c r="B400" s="126" t="s">
        <v>211</v>
      </c>
      <c r="C400" s="126" t="s">
        <v>212</v>
      </c>
      <c r="D400" s="126" t="s">
        <v>41</v>
      </c>
      <c r="E400" s="125">
        <f t="shared" ref="E400" si="463">F400</f>
        <v>0</v>
      </c>
      <c r="F400" s="132">
        <f>(200000)-200000</f>
        <v>0</v>
      </c>
      <c r="G400" s="132"/>
      <c r="H400" s="132"/>
      <c r="I400" s="132"/>
      <c r="J400" s="125">
        <f t="shared" ref="J400" si="464">L400+O400</f>
        <v>0</v>
      </c>
      <c r="K400" s="132">
        <f>(100000)-100000</f>
        <v>0</v>
      </c>
      <c r="L400" s="132"/>
      <c r="M400" s="132"/>
      <c r="N400" s="132"/>
      <c r="O400" s="130">
        <f>K400</f>
        <v>0</v>
      </c>
      <c r="P400" s="125">
        <f t="shared" ref="P400" si="465">E400+J400</f>
        <v>0</v>
      </c>
      <c r="Q400" s="20"/>
      <c r="R400" s="46"/>
    </row>
    <row r="401" spans="1:18" ht="74.25" customHeight="1" thickTop="1" thickBot="1" x14ac:dyDescent="0.25">
      <c r="A401" s="598" t="s">
        <v>815</v>
      </c>
      <c r="B401" s="598" t="s">
        <v>682</v>
      </c>
      <c r="C401" s="598"/>
      <c r="D401" s="598" t="s">
        <v>680</v>
      </c>
      <c r="E401" s="599">
        <f>E402</f>
        <v>200000</v>
      </c>
      <c r="F401" s="599">
        <f t="shared" ref="F401:P401" si="466">F402</f>
        <v>200000</v>
      </c>
      <c r="G401" s="599">
        <f t="shared" si="466"/>
        <v>0</v>
      </c>
      <c r="H401" s="599">
        <f t="shared" si="466"/>
        <v>0</v>
      </c>
      <c r="I401" s="599">
        <f t="shared" si="466"/>
        <v>0</v>
      </c>
      <c r="J401" s="599">
        <f t="shared" si="466"/>
        <v>0</v>
      </c>
      <c r="K401" s="599">
        <f t="shared" si="466"/>
        <v>0</v>
      </c>
      <c r="L401" s="599">
        <f t="shared" si="466"/>
        <v>0</v>
      </c>
      <c r="M401" s="599">
        <f t="shared" si="466"/>
        <v>0</v>
      </c>
      <c r="N401" s="599">
        <f t="shared" si="466"/>
        <v>0</v>
      </c>
      <c r="O401" s="599">
        <f t="shared" si="466"/>
        <v>0</v>
      </c>
      <c r="P401" s="599">
        <f t="shared" si="466"/>
        <v>200000</v>
      </c>
      <c r="Q401" s="20"/>
      <c r="R401" s="46"/>
    </row>
    <row r="402" spans="1:18" ht="87" customHeight="1" thickTop="1" thickBot="1" x14ac:dyDescent="0.25">
      <c r="A402" s="101" t="s">
        <v>254</v>
      </c>
      <c r="B402" s="101" t="s">
        <v>255</v>
      </c>
      <c r="C402" s="101" t="s">
        <v>169</v>
      </c>
      <c r="D402" s="101" t="s">
        <v>253</v>
      </c>
      <c r="E402" s="310">
        <f t="shared" si="460"/>
        <v>200000</v>
      </c>
      <c r="F402" s="425">
        <v>200000</v>
      </c>
      <c r="G402" s="425"/>
      <c r="H402" s="425"/>
      <c r="I402" s="425"/>
      <c r="J402" s="310">
        <f t="shared" si="461"/>
        <v>0</v>
      </c>
      <c r="K402" s="425"/>
      <c r="L402" s="425"/>
      <c r="M402" s="425"/>
      <c r="N402" s="425"/>
      <c r="O402" s="422">
        <f>K402</f>
        <v>0</v>
      </c>
      <c r="P402" s="310">
        <f t="shared" si="462"/>
        <v>200000</v>
      </c>
      <c r="Q402" s="20"/>
      <c r="R402" s="46"/>
    </row>
    <row r="403" spans="1:18" ht="47.25" hidden="1" thickTop="1" thickBot="1" x14ac:dyDescent="0.25">
      <c r="A403" s="702" t="s">
        <v>1255</v>
      </c>
      <c r="B403" s="702" t="s">
        <v>684</v>
      </c>
      <c r="C403" s="702"/>
      <c r="D403" s="702" t="s">
        <v>685</v>
      </c>
      <c r="E403" s="310">
        <f t="shared" ref="E403:P404" si="467">E404</f>
        <v>0</v>
      </c>
      <c r="F403" s="310">
        <f t="shared" si="467"/>
        <v>0</v>
      </c>
      <c r="G403" s="310">
        <f t="shared" si="467"/>
        <v>0</v>
      </c>
      <c r="H403" s="310">
        <f t="shared" si="467"/>
        <v>0</v>
      </c>
      <c r="I403" s="310">
        <f t="shared" si="467"/>
        <v>0</v>
      </c>
      <c r="J403" s="310">
        <f t="shared" si="467"/>
        <v>0</v>
      </c>
      <c r="K403" s="310">
        <f t="shared" si="467"/>
        <v>0</v>
      </c>
      <c r="L403" s="310">
        <f t="shared" si="467"/>
        <v>0</v>
      </c>
      <c r="M403" s="310">
        <f t="shared" si="467"/>
        <v>0</v>
      </c>
      <c r="N403" s="310">
        <f t="shared" si="467"/>
        <v>0</v>
      </c>
      <c r="O403" s="310">
        <f t="shared" si="467"/>
        <v>0</v>
      </c>
      <c r="P403" s="310">
        <f t="shared" si="467"/>
        <v>0</v>
      </c>
      <c r="Q403" s="20"/>
      <c r="R403" s="46"/>
    </row>
    <row r="404" spans="1:18" ht="47.25" hidden="1" thickTop="1" thickBot="1" x14ac:dyDescent="0.25">
      <c r="A404" s="703" t="s">
        <v>1256</v>
      </c>
      <c r="B404" s="703" t="s">
        <v>1145</v>
      </c>
      <c r="C404" s="703"/>
      <c r="D404" s="703" t="s">
        <v>1143</v>
      </c>
      <c r="E404" s="595">
        <f t="shared" si="467"/>
        <v>0</v>
      </c>
      <c r="F404" s="595">
        <f t="shared" si="467"/>
        <v>0</v>
      </c>
      <c r="G404" s="595">
        <f t="shared" si="467"/>
        <v>0</v>
      </c>
      <c r="H404" s="595">
        <f t="shared" si="467"/>
        <v>0</v>
      </c>
      <c r="I404" s="595">
        <f t="shared" si="467"/>
        <v>0</v>
      </c>
      <c r="J404" s="595">
        <f t="shared" si="467"/>
        <v>0</v>
      </c>
      <c r="K404" s="595">
        <f t="shared" si="467"/>
        <v>0</v>
      </c>
      <c r="L404" s="595">
        <f t="shared" si="467"/>
        <v>0</v>
      </c>
      <c r="M404" s="595">
        <f t="shared" si="467"/>
        <v>0</v>
      </c>
      <c r="N404" s="595">
        <f t="shared" si="467"/>
        <v>0</v>
      </c>
      <c r="O404" s="595">
        <f t="shared" si="467"/>
        <v>0</v>
      </c>
      <c r="P404" s="595">
        <f t="shared" si="467"/>
        <v>0</v>
      </c>
      <c r="Q404" s="20"/>
      <c r="R404" s="46"/>
    </row>
    <row r="405" spans="1:18" ht="48" hidden="1" thickTop="1" thickBot="1" x14ac:dyDescent="0.25">
      <c r="A405" s="700" t="s">
        <v>1257</v>
      </c>
      <c r="B405" s="700" t="s">
        <v>1149</v>
      </c>
      <c r="C405" s="700" t="s">
        <v>1147</v>
      </c>
      <c r="D405" s="700" t="s">
        <v>1146</v>
      </c>
      <c r="E405" s="310">
        <f>F405</f>
        <v>0</v>
      </c>
      <c r="F405" s="425">
        <f>(200000)-200000</f>
        <v>0</v>
      </c>
      <c r="G405" s="425"/>
      <c r="H405" s="425"/>
      <c r="I405" s="425"/>
      <c r="J405" s="310">
        <f>L405+O405</f>
        <v>0</v>
      </c>
      <c r="K405" s="425">
        <f>(100000)-100000</f>
        <v>0</v>
      </c>
      <c r="L405" s="425"/>
      <c r="M405" s="425"/>
      <c r="N405" s="425"/>
      <c r="O405" s="422">
        <f>K405</f>
        <v>0</v>
      </c>
      <c r="P405" s="310">
        <f>E405+J405</f>
        <v>0</v>
      </c>
      <c r="Q405" s="20"/>
      <c r="R405" s="46"/>
    </row>
    <row r="406" spans="1:18" ht="47.25" hidden="1" thickTop="1" thickBot="1" x14ac:dyDescent="0.25">
      <c r="A406" s="123" t="s">
        <v>888</v>
      </c>
      <c r="B406" s="123" t="s">
        <v>689</v>
      </c>
      <c r="C406" s="123"/>
      <c r="D406" s="123" t="s">
        <v>690</v>
      </c>
      <c r="E406" s="125">
        <f>E407</f>
        <v>0</v>
      </c>
      <c r="F406" s="125">
        <f t="shared" ref="F406:P407" si="468">F407</f>
        <v>0</v>
      </c>
      <c r="G406" s="125">
        <f t="shared" si="468"/>
        <v>0</v>
      </c>
      <c r="H406" s="125">
        <f t="shared" si="468"/>
        <v>0</v>
      </c>
      <c r="I406" s="125">
        <f t="shared" si="468"/>
        <v>0</v>
      </c>
      <c r="J406" s="125">
        <f t="shared" si="468"/>
        <v>0</v>
      </c>
      <c r="K406" s="125">
        <f t="shared" si="468"/>
        <v>0</v>
      </c>
      <c r="L406" s="125">
        <f t="shared" si="468"/>
        <v>0</v>
      </c>
      <c r="M406" s="125">
        <f t="shared" si="468"/>
        <v>0</v>
      </c>
      <c r="N406" s="125">
        <f t="shared" si="468"/>
        <v>0</v>
      </c>
      <c r="O406" s="125">
        <f t="shared" si="468"/>
        <v>0</v>
      </c>
      <c r="P406" s="125">
        <f t="shared" si="468"/>
        <v>0</v>
      </c>
      <c r="Q406" s="20"/>
      <c r="R406" s="46"/>
    </row>
    <row r="407" spans="1:18" ht="91.5" hidden="1" thickTop="1" thickBot="1" x14ac:dyDescent="0.25">
      <c r="A407" s="134" t="s">
        <v>889</v>
      </c>
      <c r="B407" s="134" t="s">
        <v>692</v>
      </c>
      <c r="C407" s="134"/>
      <c r="D407" s="134" t="s">
        <v>693</v>
      </c>
      <c r="E407" s="135">
        <f>E408</f>
        <v>0</v>
      </c>
      <c r="F407" s="135">
        <f t="shared" si="468"/>
        <v>0</v>
      </c>
      <c r="G407" s="135">
        <f t="shared" si="468"/>
        <v>0</v>
      </c>
      <c r="H407" s="135">
        <f t="shared" si="468"/>
        <v>0</v>
      </c>
      <c r="I407" s="135">
        <f t="shared" si="468"/>
        <v>0</v>
      </c>
      <c r="J407" s="135">
        <f t="shared" si="468"/>
        <v>0</v>
      </c>
      <c r="K407" s="135">
        <f t="shared" si="468"/>
        <v>0</v>
      </c>
      <c r="L407" s="135">
        <f t="shared" si="468"/>
        <v>0</v>
      </c>
      <c r="M407" s="135">
        <f t="shared" si="468"/>
        <v>0</v>
      </c>
      <c r="N407" s="135">
        <f t="shared" si="468"/>
        <v>0</v>
      </c>
      <c r="O407" s="135">
        <f t="shared" si="468"/>
        <v>0</v>
      </c>
      <c r="P407" s="135">
        <f t="shared" si="468"/>
        <v>0</v>
      </c>
      <c r="Q407" s="20"/>
      <c r="R407" s="46"/>
    </row>
    <row r="408" spans="1:18" ht="48" hidden="1" thickTop="1" thickBot="1" x14ac:dyDescent="0.25">
      <c r="A408" s="126" t="s">
        <v>890</v>
      </c>
      <c r="B408" s="126" t="s">
        <v>359</v>
      </c>
      <c r="C408" s="126" t="s">
        <v>43</v>
      </c>
      <c r="D408" s="126" t="s">
        <v>360</v>
      </c>
      <c r="E408" s="125">
        <f t="shared" ref="E408" si="469">F408</f>
        <v>0</v>
      </c>
      <c r="F408" s="132"/>
      <c r="G408" s="132"/>
      <c r="H408" s="132"/>
      <c r="I408" s="132"/>
      <c r="J408" s="125">
        <f>L408+O408</f>
        <v>0</v>
      </c>
      <c r="K408" s="132"/>
      <c r="L408" s="132"/>
      <c r="M408" s="132"/>
      <c r="N408" s="132"/>
      <c r="O408" s="130">
        <f>K408</f>
        <v>0</v>
      </c>
      <c r="P408" s="125">
        <f>E408+J408</f>
        <v>0</v>
      </c>
      <c r="Q408" s="20"/>
      <c r="R408" s="46"/>
    </row>
    <row r="409" spans="1:18" ht="120" customHeight="1" thickTop="1" thickBot="1" x14ac:dyDescent="0.25">
      <c r="A409" s="624" t="s">
        <v>163</v>
      </c>
      <c r="B409" s="624"/>
      <c r="C409" s="624"/>
      <c r="D409" s="625" t="s">
        <v>869</v>
      </c>
      <c r="E409" s="626">
        <f>E410</f>
        <v>8381208</v>
      </c>
      <c r="F409" s="627">
        <f t="shared" ref="F409:G409" si="470">F410</f>
        <v>8381208</v>
      </c>
      <c r="G409" s="627">
        <f t="shared" si="470"/>
        <v>6480214</v>
      </c>
      <c r="H409" s="627">
        <f>H410</f>
        <v>185513</v>
      </c>
      <c r="I409" s="627">
        <f t="shared" ref="I409" si="471">I410</f>
        <v>0</v>
      </c>
      <c r="J409" s="626">
        <f>J410</f>
        <v>5478677.6299999999</v>
      </c>
      <c r="K409" s="627">
        <f>K410</f>
        <v>30000</v>
      </c>
      <c r="L409" s="627">
        <f>L410</f>
        <v>1252467.6299999999</v>
      </c>
      <c r="M409" s="627">
        <f t="shared" ref="M409" si="472">M410</f>
        <v>0</v>
      </c>
      <c r="N409" s="627">
        <f>N410</f>
        <v>0</v>
      </c>
      <c r="O409" s="626">
        <f>O410</f>
        <v>4226210</v>
      </c>
      <c r="P409" s="627">
        <f t="shared" ref="P409" si="473">P410</f>
        <v>13859885.629999999</v>
      </c>
      <c r="Q409" s="20"/>
    </row>
    <row r="410" spans="1:18" ht="120" customHeight="1" thickTop="1" thickBot="1" x14ac:dyDescent="0.25">
      <c r="A410" s="588" t="s">
        <v>164</v>
      </c>
      <c r="B410" s="588"/>
      <c r="C410" s="588"/>
      <c r="D410" s="589" t="s">
        <v>868</v>
      </c>
      <c r="E410" s="590">
        <f>E411+E414+E417</f>
        <v>8381208</v>
      </c>
      <c r="F410" s="590">
        <f t="shared" ref="F410:P410" si="474">F411+F414+F417</f>
        <v>8381208</v>
      </c>
      <c r="G410" s="590">
        <f>G411+G414+G417</f>
        <v>6480214</v>
      </c>
      <c r="H410" s="590">
        <f t="shared" si="474"/>
        <v>185513</v>
      </c>
      <c r="I410" s="590">
        <f t="shared" si="474"/>
        <v>0</v>
      </c>
      <c r="J410" s="590">
        <f>J411+J414+J417</f>
        <v>5478677.6299999999</v>
      </c>
      <c r="K410" s="590">
        <f t="shared" si="474"/>
        <v>30000</v>
      </c>
      <c r="L410" s="590">
        <f>L411+L414+L417</f>
        <v>1252467.6299999999</v>
      </c>
      <c r="M410" s="590">
        <f t="shared" si="474"/>
        <v>0</v>
      </c>
      <c r="N410" s="590">
        <f t="shared" si="474"/>
        <v>0</v>
      </c>
      <c r="O410" s="590">
        <f t="shared" si="474"/>
        <v>4226210</v>
      </c>
      <c r="P410" s="590">
        <f t="shared" si="474"/>
        <v>13859885.629999999</v>
      </c>
      <c r="Q410" s="452" t="b">
        <f>P410=P412+P416</f>
        <v>1</v>
      </c>
      <c r="R410" s="46"/>
    </row>
    <row r="411" spans="1:18" ht="47.25" thickTop="1" thickBot="1" x14ac:dyDescent="0.25">
      <c r="A411" s="298" t="s">
        <v>816</v>
      </c>
      <c r="B411" s="298" t="s">
        <v>672</v>
      </c>
      <c r="C411" s="298"/>
      <c r="D411" s="298" t="s">
        <v>673</v>
      </c>
      <c r="E411" s="310">
        <f>SUM(E412:E413)</f>
        <v>8381208</v>
      </c>
      <c r="F411" s="310">
        <f t="shared" ref="F411" si="475">SUM(F412:F413)</f>
        <v>8381208</v>
      </c>
      <c r="G411" s="310">
        <f t="shared" ref="G411" si="476">SUM(G412:G413)</f>
        <v>6480214</v>
      </c>
      <c r="H411" s="310">
        <f t="shared" ref="H411" si="477">SUM(H412:H413)</f>
        <v>185513</v>
      </c>
      <c r="I411" s="310">
        <f t="shared" ref="I411" si="478">SUM(I412:I413)</f>
        <v>0</v>
      </c>
      <c r="J411" s="310">
        <f t="shared" ref="J411" si="479">SUM(J412:J413)</f>
        <v>30000</v>
      </c>
      <c r="K411" s="310">
        <f t="shared" ref="K411" si="480">SUM(K412:K413)</f>
        <v>30000</v>
      </c>
      <c r="L411" s="310">
        <f t="shared" ref="L411" si="481">SUM(L412:L413)</f>
        <v>0</v>
      </c>
      <c r="M411" s="310">
        <f t="shared" ref="M411" si="482">SUM(M412:M413)</f>
        <v>0</v>
      </c>
      <c r="N411" s="310">
        <f t="shared" ref="N411" si="483">SUM(N412:N413)</f>
        <v>0</v>
      </c>
      <c r="O411" s="310">
        <f>SUM(O412:O413)</f>
        <v>30000</v>
      </c>
      <c r="P411" s="310">
        <f t="shared" ref="P411" si="484">SUM(P412:P413)</f>
        <v>8411208</v>
      </c>
      <c r="Q411" s="47"/>
      <c r="R411" s="46"/>
    </row>
    <row r="412" spans="1:18" ht="93" thickTop="1" thickBot="1" x14ac:dyDescent="0.25">
      <c r="A412" s="101" t="s">
        <v>417</v>
      </c>
      <c r="B412" s="101" t="s">
        <v>235</v>
      </c>
      <c r="C412" s="101" t="s">
        <v>233</v>
      </c>
      <c r="D412" s="101" t="s">
        <v>234</v>
      </c>
      <c r="E412" s="310">
        <f>F412</f>
        <v>8381208</v>
      </c>
      <c r="F412" s="425">
        <f>((7755428)-30000)+655780</f>
        <v>8381208</v>
      </c>
      <c r="G412" s="425">
        <f>(5939914)+540300</f>
        <v>6480214</v>
      </c>
      <c r="H412" s="425">
        <f>(150433)+24900+10180</f>
        <v>185513</v>
      </c>
      <c r="I412" s="425"/>
      <c r="J412" s="310">
        <f t="shared" ref="J412:J416" si="485">L412+O412</f>
        <v>30000</v>
      </c>
      <c r="K412" s="425">
        <f>(0)+30000</f>
        <v>30000</v>
      </c>
      <c r="L412" s="425"/>
      <c r="M412" s="425"/>
      <c r="N412" s="425"/>
      <c r="O412" s="422">
        <f>K412</f>
        <v>30000</v>
      </c>
      <c r="P412" s="310">
        <f t="shared" ref="P412:P416" si="486">E412+J412</f>
        <v>8411208</v>
      </c>
      <c r="Q412" s="47"/>
      <c r="R412" s="46"/>
    </row>
    <row r="413" spans="1:18" ht="93" hidden="1" thickTop="1" thickBot="1" x14ac:dyDescent="0.25">
      <c r="A413" s="41" t="s">
        <v>624</v>
      </c>
      <c r="B413" s="41" t="s">
        <v>358</v>
      </c>
      <c r="C413" s="41" t="s">
        <v>616</v>
      </c>
      <c r="D413" s="41" t="s">
        <v>617</v>
      </c>
      <c r="E413" s="150">
        <f>F413</f>
        <v>0</v>
      </c>
      <c r="F413" s="127">
        <v>0</v>
      </c>
      <c r="G413" s="127"/>
      <c r="H413" s="127"/>
      <c r="I413" s="127"/>
      <c r="J413" s="125">
        <f t="shared" si="485"/>
        <v>0</v>
      </c>
      <c r="K413" s="127"/>
      <c r="L413" s="128"/>
      <c r="M413" s="128"/>
      <c r="N413" s="128"/>
      <c r="O413" s="130">
        <f t="shared" ref="O413" si="487">K413</f>
        <v>0</v>
      </c>
      <c r="P413" s="125">
        <f t="shared" ref="P413" si="488">+J413+E413</f>
        <v>0</v>
      </c>
      <c r="Q413" s="47"/>
      <c r="R413" s="46"/>
    </row>
    <row r="414" spans="1:18" ht="47.25" thickTop="1" thickBot="1" x14ac:dyDescent="0.25">
      <c r="A414" s="298" t="s">
        <v>817</v>
      </c>
      <c r="B414" s="298" t="s">
        <v>684</v>
      </c>
      <c r="C414" s="298"/>
      <c r="D414" s="298" t="s">
        <v>685</v>
      </c>
      <c r="E414" s="299">
        <f>E415</f>
        <v>0</v>
      </c>
      <c r="F414" s="299">
        <f t="shared" ref="F414:P415" si="489">F415</f>
        <v>0</v>
      </c>
      <c r="G414" s="299">
        <f t="shared" si="489"/>
        <v>0</v>
      </c>
      <c r="H414" s="299">
        <f t="shared" si="489"/>
        <v>0</v>
      </c>
      <c r="I414" s="299">
        <f t="shared" si="489"/>
        <v>0</v>
      </c>
      <c r="J414" s="299">
        <f t="shared" si="489"/>
        <v>5448677.6299999999</v>
      </c>
      <c r="K414" s="299">
        <f t="shared" si="489"/>
        <v>0</v>
      </c>
      <c r="L414" s="299">
        <f t="shared" si="489"/>
        <v>1252467.6299999999</v>
      </c>
      <c r="M414" s="299">
        <f t="shared" si="489"/>
        <v>0</v>
      </c>
      <c r="N414" s="299">
        <f t="shared" si="489"/>
        <v>0</v>
      </c>
      <c r="O414" s="299">
        <f t="shared" si="489"/>
        <v>4196210</v>
      </c>
      <c r="P414" s="299">
        <f t="shared" si="489"/>
        <v>5448677.6299999999</v>
      </c>
      <c r="Q414" s="47"/>
      <c r="R414" s="46"/>
    </row>
    <row r="415" spans="1:18" ht="47.25" thickTop="1" thickBot="1" x14ac:dyDescent="0.25">
      <c r="A415" s="593" t="s">
        <v>818</v>
      </c>
      <c r="B415" s="593" t="s">
        <v>819</v>
      </c>
      <c r="C415" s="593"/>
      <c r="D415" s="593" t="s">
        <v>820</v>
      </c>
      <c r="E415" s="596">
        <f>E416</f>
        <v>0</v>
      </c>
      <c r="F415" s="596">
        <f t="shared" si="489"/>
        <v>0</v>
      </c>
      <c r="G415" s="596">
        <f t="shared" si="489"/>
        <v>0</v>
      </c>
      <c r="H415" s="596">
        <f t="shared" si="489"/>
        <v>0</v>
      </c>
      <c r="I415" s="596">
        <f t="shared" si="489"/>
        <v>0</v>
      </c>
      <c r="J415" s="596">
        <f t="shared" si="489"/>
        <v>5448677.6299999999</v>
      </c>
      <c r="K415" s="596">
        <f t="shared" ref="K415:P415" si="490">K416</f>
        <v>0</v>
      </c>
      <c r="L415" s="596">
        <f t="shared" si="490"/>
        <v>1252467.6299999999</v>
      </c>
      <c r="M415" s="596">
        <f t="shared" si="490"/>
        <v>0</v>
      </c>
      <c r="N415" s="596">
        <f t="shared" si="490"/>
        <v>0</v>
      </c>
      <c r="O415" s="596">
        <f t="shared" si="490"/>
        <v>4196210</v>
      </c>
      <c r="P415" s="596">
        <f t="shared" si="490"/>
        <v>5448677.6299999999</v>
      </c>
      <c r="Q415" s="47"/>
      <c r="R415" s="46"/>
    </row>
    <row r="416" spans="1:18" ht="48" thickTop="1" thickBot="1" x14ac:dyDescent="0.25">
      <c r="A416" s="101" t="s">
        <v>1089</v>
      </c>
      <c r="B416" s="101" t="s">
        <v>1090</v>
      </c>
      <c r="C416" s="101" t="s">
        <v>51</v>
      </c>
      <c r="D416" s="101" t="s">
        <v>1091</v>
      </c>
      <c r="E416" s="310">
        <v>0</v>
      </c>
      <c r="F416" s="425"/>
      <c r="G416" s="425"/>
      <c r="H416" s="425"/>
      <c r="I416" s="425"/>
      <c r="J416" s="310">
        <f t="shared" si="485"/>
        <v>5448677.6299999999</v>
      </c>
      <c r="K416" s="310"/>
      <c r="L416" s="425">
        <f>((95000+150000+100000+200000+140000+90000+60000+60000+80000+30000+60000+40000)+248677.63)-101210</f>
        <v>1252467.6299999999</v>
      </c>
      <c r="M416" s="425"/>
      <c r="N416" s="425"/>
      <c r="O416" s="422">
        <f>((K416+100000+170000+625000)+3200000)+101210</f>
        <v>4196210</v>
      </c>
      <c r="P416" s="310">
        <f t="shared" si="486"/>
        <v>5448677.6299999999</v>
      </c>
      <c r="Q416" s="452" t="b">
        <f>J416='d9'!F27</f>
        <v>1</v>
      </c>
    </row>
    <row r="417" spans="1:19" ht="47.25" hidden="1" thickTop="1" thickBot="1" x14ac:dyDescent="0.25">
      <c r="A417" s="123" t="s">
        <v>1207</v>
      </c>
      <c r="B417" s="123" t="s">
        <v>689</v>
      </c>
      <c r="C417" s="123"/>
      <c r="D417" s="123" t="s">
        <v>690</v>
      </c>
      <c r="E417" s="125">
        <f t="shared" ref="E417:L417" si="491">E418</f>
        <v>0</v>
      </c>
      <c r="F417" s="125">
        <f t="shared" si="491"/>
        <v>0</v>
      </c>
      <c r="G417" s="125">
        <f t="shared" si="491"/>
        <v>0</v>
      </c>
      <c r="H417" s="125">
        <f t="shared" si="491"/>
        <v>0</v>
      </c>
      <c r="I417" s="125">
        <f t="shared" si="491"/>
        <v>0</v>
      </c>
      <c r="J417" s="125">
        <f t="shared" si="491"/>
        <v>0</v>
      </c>
      <c r="K417" s="125">
        <f t="shared" si="491"/>
        <v>0</v>
      </c>
      <c r="L417" s="125">
        <f t="shared" si="491"/>
        <v>0</v>
      </c>
      <c r="M417" s="125">
        <f t="shared" ref="M417:P417" si="492">M418</f>
        <v>0</v>
      </c>
      <c r="N417" s="125">
        <f t="shared" si="492"/>
        <v>0</v>
      </c>
      <c r="O417" s="125">
        <f t="shared" si="492"/>
        <v>0</v>
      </c>
      <c r="P417" s="125">
        <f t="shared" si="492"/>
        <v>0</v>
      </c>
      <c r="Q417" s="47"/>
    </row>
    <row r="418" spans="1:19" ht="91.5" hidden="1" thickTop="1" thickBot="1" x14ac:dyDescent="0.25">
      <c r="A418" s="134" t="s">
        <v>1206</v>
      </c>
      <c r="B418" s="134" t="s">
        <v>509</v>
      </c>
      <c r="C418" s="134" t="s">
        <v>43</v>
      </c>
      <c r="D418" s="134" t="s">
        <v>510</v>
      </c>
      <c r="E418" s="135">
        <f t="shared" ref="E418" si="493">F418</f>
        <v>0</v>
      </c>
      <c r="F418" s="135">
        <v>0</v>
      </c>
      <c r="G418" s="135"/>
      <c r="H418" s="135"/>
      <c r="I418" s="135"/>
      <c r="J418" s="135">
        <f>L418+O418</f>
        <v>0</v>
      </c>
      <c r="K418" s="132">
        <v>0</v>
      </c>
      <c r="L418" s="135"/>
      <c r="M418" s="135"/>
      <c r="N418" s="135"/>
      <c r="O418" s="135">
        <f>(K418+0)</f>
        <v>0</v>
      </c>
      <c r="P418" s="135">
        <f>E418+J418</f>
        <v>0</v>
      </c>
      <c r="Q418" s="47"/>
    </row>
    <row r="419" spans="1:19" ht="120" customHeight="1" thickTop="1" thickBot="1" x14ac:dyDescent="0.25">
      <c r="A419" s="624" t="s">
        <v>161</v>
      </c>
      <c r="B419" s="624"/>
      <c r="C419" s="624"/>
      <c r="D419" s="625" t="s">
        <v>878</v>
      </c>
      <c r="E419" s="626">
        <f>E420</f>
        <v>11990216</v>
      </c>
      <c r="F419" s="627">
        <f t="shared" ref="F419:G419" si="494">F420</f>
        <v>11990216</v>
      </c>
      <c r="G419" s="627">
        <f t="shared" si="494"/>
        <v>9003897</v>
      </c>
      <c r="H419" s="627">
        <f>H420</f>
        <v>316230</v>
      </c>
      <c r="I419" s="627">
        <f t="shared" ref="I419" si="495">I420</f>
        <v>0</v>
      </c>
      <c r="J419" s="626">
        <f>J420</f>
        <v>122000</v>
      </c>
      <c r="K419" s="627">
        <f>K420</f>
        <v>122000</v>
      </c>
      <c r="L419" s="627">
        <f>L420</f>
        <v>0</v>
      </c>
      <c r="M419" s="627">
        <f t="shared" ref="M419" si="496">M420</f>
        <v>0</v>
      </c>
      <c r="N419" s="627">
        <f>N420</f>
        <v>0</v>
      </c>
      <c r="O419" s="626">
        <f>O420</f>
        <v>122000</v>
      </c>
      <c r="P419" s="627">
        <f t="shared" ref="P419" si="497">P420</f>
        <v>12112216</v>
      </c>
      <c r="Q419" s="20"/>
    </row>
    <row r="420" spans="1:19" ht="120" customHeight="1" thickTop="1" thickBot="1" x14ac:dyDescent="0.25">
      <c r="A420" s="588" t="s">
        <v>162</v>
      </c>
      <c r="B420" s="588"/>
      <c r="C420" s="588"/>
      <c r="D420" s="589" t="s">
        <v>877</v>
      </c>
      <c r="E420" s="590">
        <f>E421+E423</f>
        <v>11990216</v>
      </c>
      <c r="F420" s="590">
        <f t="shared" ref="F420:I420" si="498">F421+F423</f>
        <v>11990216</v>
      </c>
      <c r="G420" s="590">
        <f t="shared" si="498"/>
        <v>9003897</v>
      </c>
      <c r="H420" s="590">
        <f t="shared" si="498"/>
        <v>316230</v>
      </c>
      <c r="I420" s="590">
        <f t="shared" si="498"/>
        <v>0</v>
      </c>
      <c r="J420" s="590">
        <f>L420+O420</f>
        <v>122000</v>
      </c>
      <c r="K420" s="590">
        <f t="shared" ref="K420:O420" si="499">K421+K423</f>
        <v>122000</v>
      </c>
      <c r="L420" s="590">
        <f t="shared" si="499"/>
        <v>0</v>
      </c>
      <c r="M420" s="590">
        <f t="shared" si="499"/>
        <v>0</v>
      </c>
      <c r="N420" s="590">
        <f t="shared" si="499"/>
        <v>0</v>
      </c>
      <c r="O420" s="590">
        <f t="shared" si="499"/>
        <v>122000</v>
      </c>
      <c r="P420" s="590">
        <f>E420+J420</f>
        <v>12112216</v>
      </c>
      <c r="Q420" s="452" t="b">
        <f>P420=P422+P425+P427</f>
        <v>1</v>
      </c>
      <c r="R420" s="45"/>
    </row>
    <row r="421" spans="1:19" ht="47.25" thickTop="1" thickBot="1" x14ac:dyDescent="0.25">
      <c r="A421" s="298" t="s">
        <v>821</v>
      </c>
      <c r="B421" s="298" t="s">
        <v>672</v>
      </c>
      <c r="C421" s="298"/>
      <c r="D421" s="298" t="s">
        <v>673</v>
      </c>
      <c r="E421" s="310">
        <f>SUM(E422)</f>
        <v>11700216</v>
      </c>
      <c r="F421" s="310">
        <f t="shared" ref="F421:P421" si="500">SUM(F422)</f>
        <v>11700216</v>
      </c>
      <c r="G421" s="310">
        <f t="shared" si="500"/>
        <v>9003897</v>
      </c>
      <c r="H421" s="310">
        <f t="shared" si="500"/>
        <v>316230</v>
      </c>
      <c r="I421" s="310">
        <f t="shared" si="500"/>
        <v>0</v>
      </c>
      <c r="J421" s="310">
        <f t="shared" si="500"/>
        <v>112000</v>
      </c>
      <c r="K421" s="310">
        <f t="shared" si="500"/>
        <v>112000</v>
      </c>
      <c r="L421" s="310">
        <f t="shared" si="500"/>
        <v>0</v>
      </c>
      <c r="M421" s="310">
        <f t="shared" si="500"/>
        <v>0</v>
      </c>
      <c r="N421" s="310">
        <f t="shared" si="500"/>
        <v>0</v>
      </c>
      <c r="O421" s="310">
        <f t="shared" si="500"/>
        <v>112000</v>
      </c>
      <c r="P421" s="310">
        <f t="shared" si="500"/>
        <v>11812216</v>
      </c>
      <c r="Q421" s="47"/>
      <c r="R421" s="45"/>
    </row>
    <row r="422" spans="1:19" ht="93" thickTop="1" thickBot="1" x14ac:dyDescent="0.25">
      <c r="A422" s="101" t="s">
        <v>413</v>
      </c>
      <c r="B422" s="101" t="s">
        <v>235</v>
      </c>
      <c r="C422" s="101" t="s">
        <v>233</v>
      </c>
      <c r="D422" s="101" t="s">
        <v>234</v>
      </c>
      <c r="E422" s="310">
        <f>F422</f>
        <v>11700216</v>
      </c>
      <c r="F422" s="425">
        <f>((10104896)+25000)+1570320</f>
        <v>11700216</v>
      </c>
      <c r="G422" s="425">
        <f>(7782677)+1221220</f>
        <v>9003897</v>
      </c>
      <c r="H422" s="425">
        <f>(278230)+38000</f>
        <v>316230</v>
      </c>
      <c r="I422" s="425"/>
      <c r="J422" s="310">
        <f>L422+O422</f>
        <v>112000</v>
      </c>
      <c r="K422" s="425">
        <f>(0)+112000</f>
        <v>112000</v>
      </c>
      <c r="L422" s="425"/>
      <c r="M422" s="425"/>
      <c r="N422" s="425"/>
      <c r="O422" s="422">
        <f>K422</f>
        <v>112000</v>
      </c>
      <c r="P422" s="310">
        <f>E422+J422</f>
        <v>11812216</v>
      </c>
      <c r="Q422" s="20"/>
      <c r="R422" s="45"/>
    </row>
    <row r="423" spans="1:19" ht="47.25" thickTop="1" thickBot="1" x14ac:dyDescent="0.25">
      <c r="A423" s="298" t="s">
        <v>822</v>
      </c>
      <c r="B423" s="298" t="s">
        <v>735</v>
      </c>
      <c r="C423" s="101"/>
      <c r="D423" s="298" t="s">
        <v>780</v>
      </c>
      <c r="E423" s="310">
        <f t="shared" ref="E423:P423" si="501">E424+E426</f>
        <v>290000</v>
      </c>
      <c r="F423" s="310">
        <f t="shared" si="501"/>
        <v>290000</v>
      </c>
      <c r="G423" s="310">
        <f t="shared" si="501"/>
        <v>0</v>
      </c>
      <c r="H423" s="310">
        <f t="shared" si="501"/>
        <v>0</v>
      </c>
      <c r="I423" s="310">
        <f t="shared" si="501"/>
        <v>0</v>
      </c>
      <c r="J423" s="310">
        <f t="shared" si="501"/>
        <v>10000</v>
      </c>
      <c r="K423" s="310">
        <f t="shared" si="501"/>
        <v>10000</v>
      </c>
      <c r="L423" s="310">
        <f t="shared" si="501"/>
        <v>0</v>
      </c>
      <c r="M423" s="310">
        <f t="shared" si="501"/>
        <v>0</v>
      </c>
      <c r="N423" s="310">
        <f t="shared" si="501"/>
        <v>0</v>
      </c>
      <c r="O423" s="310">
        <f t="shared" si="501"/>
        <v>10000</v>
      </c>
      <c r="P423" s="310">
        <f t="shared" si="501"/>
        <v>300000</v>
      </c>
      <c r="Q423" s="20"/>
      <c r="R423" s="47"/>
    </row>
    <row r="424" spans="1:19" ht="47.25" thickTop="1" thickBot="1" x14ac:dyDescent="0.25">
      <c r="A424" s="593" t="s">
        <v>823</v>
      </c>
      <c r="B424" s="593" t="s">
        <v>824</v>
      </c>
      <c r="C424" s="593"/>
      <c r="D424" s="593" t="s">
        <v>825</v>
      </c>
      <c r="E424" s="595">
        <f>SUM(E425)</f>
        <v>290000</v>
      </c>
      <c r="F424" s="595">
        <f t="shared" ref="F424:P424" si="502">SUM(F425)</f>
        <v>290000</v>
      </c>
      <c r="G424" s="595">
        <f t="shared" si="502"/>
        <v>0</v>
      </c>
      <c r="H424" s="595">
        <f t="shared" si="502"/>
        <v>0</v>
      </c>
      <c r="I424" s="595">
        <f t="shared" si="502"/>
        <v>0</v>
      </c>
      <c r="J424" s="595">
        <f t="shared" si="502"/>
        <v>0</v>
      </c>
      <c r="K424" s="595">
        <f t="shared" si="502"/>
        <v>0</v>
      </c>
      <c r="L424" s="595">
        <f t="shared" si="502"/>
        <v>0</v>
      </c>
      <c r="M424" s="595">
        <f t="shared" si="502"/>
        <v>0</v>
      </c>
      <c r="N424" s="595">
        <f t="shared" si="502"/>
        <v>0</v>
      </c>
      <c r="O424" s="595">
        <f t="shared" si="502"/>
        <v>0</v>
      </c>
      <c r="P424" s="595">
        <f t="shared" si="502"/>
        <v>290000</v>
      </c>
      <c r="Q424" s="20"/>
      <c r="R424" s="47"/>
    </row>
    <row r="425" spans="1:19" ht="48" thickTop="1" thickBot="1" x14ac:dyDescent="0.25">
      <c r="A425" s="101" t="s">
        <v>304</v>
      </c>
      <c r="B425" s="101" t="s">
        <v>305</v>
      </c>
      <c r="C425" s="101" t="s">
        <v>306</v>
      </c>
      <c r="D425" s="101" t="s">
        <v>456</v>
      </c>
      <c r="E425" s="310">
        <f>F425</f>
        <v>290000</v>
      </c>
      <c r="F425" s="425">
        <f>((90000)+50000)+150000</f>
        <v>290000</v>
      </c>
      <c r="G425" s="425"/>
      <c r="H425" s="425"/>
      <c r="I425" s="425"/>
      <c r="J425" s="310">
        <f>L425+O425</f>
        <v>0</v>
      </c>
      <c r="K425" s="425"/>
      <c r="L425" s="425"/>
      <c r="M425" s="425"/>
      <c r="N425" s="425"/>
      <c r="O425" s="422">
        <f>(K425)</f>
        <v>0</v>
      </c>
      <c r="P425" s="310">
        <f>E425+J425</f>
        <v>290000</v>
      </c>
      <c r="Q425" s="20"/>
      <c r="R425" s="45"/>
    </row>
    <row r="426" spans="1:19" ht="47.25" thickTop="1" thickBot="1" x14ac:dyDescent="0.25">
      <c r="A426" s="593" t="s">
        <v>826</v>
      </c>
      <c r="B426" s="593" t="s">
        <v>679</v>
      </c>
      <c r="C426" s="101"/>
      <c r="D426" s="593" t="s">
        <v>827</v>
      </c>
      <c r="E426" s="595">
        <f>SUM(E427)</f>
        <v>0</v>
      </c>
      <c r="F426" s="595">
        <f t="shared" ref="F426:P426" si="503">SUM(F427)</f>
        <v>0</v>
      </c>
      <c r="G426" s="595">
        <f t="shared" si="503"/>
        <v>0</v>
      </c>
      <c r="H426" s="595">
        <f t="shared" si="503"/>
        <v>0</v>
      </c>
      <c r="I426" s="595">
        <f t="shared" si="503"/>
        <v>0</v>
      </c>
      <c r="J426" s="595">
        <f t="shared" si="503"/>
        <v>10000</v>
      </c>
      <c r="K426" s="595">
        <f t="shared" si="503"/>
        <v>10000</v>
      </c>
      <c r="L426" s="595">
        <f t="shared" si="503"/>
        <v>0</v>
      </c>
      <c r="M426" s="595">
        <f t="shared" si="503"/>
        <v>0</v>
      </c>
      <c r="N426" s="595">
        <f t="shared" si="503"/>
        <v>0</v>
      </c>
      <c r="O426" s="595">
        <f t="shared" si="503"/>
        <v>10000</v>
      </c>
      <c r="P426" s="595">
        <f t="shared" si="503"/>
        <v>10000</v>
      </c>
      <c r="Q426" s="20"/>
    </row>
    <row r="427" spans="1:19" ht="48" thickTop="1" thickBot="1" x14ac:dyDescent="0.25">
      <c r="A427" s="101" t="s">
        <v>364</v>
      </c>
      <c r="B427" s="101" t="s">
        <v>365</v>
      </c>
      <c r="C427" s="101" t="s">
        <v>169</v>
      </c>
      <c r="D427" s="101" t="s">
        <v>366</v>
      </c>
      <c r="E427" s="310">
        <f>F427</f>
        <v>0</v>
      </c>
      <c r="F427" s="425"/>
      <c r="G427" s="425"/>
      <c r="H427" s="425"/>
      <c r="I427" s="425"/>
      <c r="J427" s="310">
        <f>L427+O427</f>
        <v>10000</v>
      </c>
      <c r="K427" s="425">
        <v>10000</v>
      </c>
      <c r="L427" s="425"/>
      <c r="M427" s="425"/>
      <c r="N427" s="425"/>
      <c r="O427" s="422">
        <f>K427</f>
        <v>10000</v>
      </c>
      <c r="P427" s="310">
        <f>E427+J427</f>
        <v>10000</v>
      </c>
      <c r="Q427" s="20"/>
      <c r="R427" s="45"/>
    </row>
    <row r="428" spans="1:19" ht="120" customHeight="1" thickTop="1" thickBot="1" x14ac:dyDescent="0.25">
      <c r="A428" s="624" t="s">
        <v>167</v>
      </c>
      <c r="B428" s="624"/>
      <c r="C428" s="624"/>
      <c r="D428" s="625" t="s">
        <v>27</v>
      </c>
      <c r="E428" s="626">
        <f>E429</f>
        <v>188391308.38</v>
      </c>
      <c r="F428" s="627">
        <f t="shared" ref="F428:G428" si="504">F429</f>
        <v>188391308.38</v>
      </c>
      <c r="G428" s="627">
        <f t="shared" si="504"/>
        <v>10321430</v>
      </c>
      <c r="H428" s="627">
        <f>H429</f>
        <v>282050</v>
      </c>
      <c r="I428" s="627">
        <f t="shared" ref="I428" si="505">I429</f>
        <v>0</v>
      </c>
      <c r="J428" s="626">
        <f>J429</f>
        <v>95000</v>
      </c>
      <c r="K428" s="627">
        <f>K429</f>
        <v>95000</v>
      </c>
      <c r="L428" s="627">
        <f>L429</f>
        <v>0</v>
      </c>
      <c r="M428" s="627">
        <f t="shared" ref="M428" si="506">M429</f>
        <v>0</v>
      </c>
      <c r="N428" s="627">
        <f>N429</f>
        <v>0</v>
      </c>
      <c r="O428" s="626">
        <f>O429</f>
        <v>95000</v>
      </c>
      <c r="P428" s="627">
        <f t="shared" ref="P428" si="507">P429</f>
        <v>188486308.38</v>
      </c>
      <c r="Q428" s="20"/>
    </row>
    <row r="429" spans="1:19" ht="120" customHeight="1" thickTop="1" thickBot="1" x14ac:dyDescent="0.25">
      <c r="A429" s="588" t="s">
        <v>168</v>
      </c>
      <c r="B429" s="588"/>
      <c r="C429" s="588"/>
      <c r="D429" s="589" t="s">
        <v>40</v>
      </c>
      <c r="E429" s="590">
        <f>E430+E436+E443+E433</f>
        <v>188391308.38</v>
      </c>
      <c r="F429" s="590">
        <f t="shared" ref="F429:P429" si="508">F430+F436+F443+F433</f>
        <v>188391308.38</v>
      </c>
      <c r="G429" s="590">
        <f t="shared" si="508"/>
        <v>10321430</v>
      </c>
      <c r="H429" s="590">
        <f t="shared" si="508"/>
        <v>282050</v>
      </c>
      <c r="I429" s="590">
        <f t="shared" si="508"/>
        <v>0</v>
      </c>
      <c r="J429" s="590">
        <f t="shared" si="508"/>
        <v>95000</v>
      </c>
      <c r="K429" s="590">
        <f t="shared" si="508"/>
        <v>95000</v>
      </c>
      <c r="L429" s="590">
        <f t="shared" si="508"/>
        <v>0</v>
      </c>
      <c r="M429" s="590">
        <f t="shared" si="508"/>
        <v>0</v>
      </c>
      <c r="N429" s="590">
        <f t="shared" si="508"/>
        <v>0</v>
      </c>
      <c r="O429" s="590">
        <f t="shared" si="508"/>
        <v>95000</v>
      </c>
      <c r="P429" s="590">
        <f t="shared" si="508"/>
        <v>188486308.38</v>
      </c>
      <c r="Q429" s="452" t="b">
        <f>P429=P431+P437+P439+P445</f>
        <v>1</v>
      </c>
      <c r="R429" s="45"/>
    </row>
    <row r="430" spans="1:19" ht="47.25" thickTop="1" thickBot="1" x14ac:dyDescent="0.25">
      <c r="A430" s="298" t="s">
        <v>828</v>
      </c>
      <c r="B430" s="298" t="s">
        <v>672</v>
      </c>
      <c r="C430" s="298"/>
      <c r="D430" s="298" t="s">
        <v>673</v>
      </c>
      <c r="E430" s="310">
        <f>SUM(E431:E432)</f>
        <v>13202321</v>
      </c>
      <c r="F430" s="310">
        <f t="shared" ref="F430:P430" si="509">SUM(F431:F432)</f>
        <v>13202321</v>
      </c>
      <c r="G430" s="310">
        <f t="shared" si="509"/>
        <v>10321430</v>
      </c>
      <c r="H430" s="310">
        <f t="shared" si="509"/>
        <v>282050</v>
      </c>
      <c r="I430" s="310">
        <f t="shared" si="509"/>
        <v>0</v>
      </c>
      <c r="J430" s="310">
        <f t="shared" si="509"/>
        <v>95000</v>
      </c>
      <c r="K430" s="310">
        <f t="shared" si="509"/>
        <v>95000</v>
      </c>
      <c r="L430" s="310">
        <f t="shared" si="509"/>
        <v>0</v>
      </c>
      <c r="M430" s="310">
        <f t="shared" si="509"/>
        <v>0</v>
      </c>
      <c r="N430" s="310">
        <f t="shared" si="509"/>
        <v>0</v>
      </c>
      <c r="O430" s="310">
        <f t="shared" si="509"/>
        <v>95000</v>
      </c>
      <c r="P430" s="310">
        <f t="shared" si="509"/>
        <v>13297321</v>
      </c>
      <c r="Q430" s="47"/>
      <c r="R430" s="50"/>
    </row>
    <row r="431" spans="1:19" ht="93" thickTop="1" thickBot="1" x14ac:dyDescent="0.25">
      <c r="A431" s="101" t="s">
        <v>415</v>
      </c>
      <c r="B431" s="101" t="s">
        <v>235</v>
      </c>
      <c r="C431" s="101" t="s">
        <v>233</v>
      </c>
      <c r="D431" s="101" t="s">
        <v>234</v>
      </c>
      <c r="E431" s="310">
        <f>F431</f>
        <v>13202321</v>
      </c>
      <c r="F431" s="425">
        <f>(13025321)+272000-95000</f>
        <v>13202321</v>
      </c>
      <c r="G431" s="425">
        <f>(10181430)+140000</f>
        <v>10321430</v>
      </c>
      <c r="H431" s="425">
        <v>282050</v>
      </c>
      <c r="I431" s="425"/>
      <c r="J431" s="310">
        <f>L431+O431</f>
        <v>95000</v>
      </c>
      <c r="K431" s="425">
        <v>95000</v>
      </c>
      <c r="L431" s="425"/>
      <c r="M431" s="425"/>
      <c r="N431" s="425"/>
      <c r="O431" s="422">
        <f>K431</f>
        <v>95000</v>
      </c>
      <c r="P431" s="310">
        <f>E431+J431</f>
        <v>13297321</v>
      </c>
      <c r="Q431" s="47"/>
      <c r="R431" s="50"/>
      <c r="S431" s="47"/>
    </row>
    <row r="432" spans="1:19" ht="93" hidden="1" thickTop="1" thickBot="1" x14ac:dyDescent="0.25">
      <c r="A432" s="126" t="s">
        <v>625</v>
      </c>
      <c r="B432" s="126" t="s">
        <v>358</v>
      </c>
      <c r="C432" s="126" t="s">
        <v>616</v>
      </c>
      <c r="D432" s="126" t="s">
        <v>617</v>
      </c>
      <c r="E432" s="150">
        <f>F432</f>
        <v>0</v>
      </c>
      <c r="F432" s="127"/>
      <c r="G432" s="127"/>
      <c r="H432" s="127"/>
      <c r="I432" s="127"/>
      <c r="J432" s="125">
        <f t="shared" ref="J432" si="510">L432+O432</f>
        <v>0</v>
      </c>
      <c r="K432" s="127"/>
      <c r="L432" s="128"/>
      <c r="M432" s="128"/>
      <c r="N432" s="128"/>
      <c r="O432" s="130">
        <f t="shared" ref="O432" si="511">K432</f>
        <v>0</v>
      </c>
      <c r="P432" s="125">
        <f t="shared" ref="P432" si="512">+J432+E432</f>
        <v>0</v>
      </c>
      <c r="Q432" s="47"/>
      <c r="R432" s="50"/>
    </row>
    <row r="433" spans="1:18" ht="47.25" hidden="1" thickTop="1" thickBot="1" x14ac:dyDescent="0.25">
      <c r="A433" s="134" t="s">
        <v>1163</v>
      </c>
      <c r="B433" s="134" t="s">
        <v>679</v>
      </c>
      <c r="C433" s="134"/>
      <c r="D433" s="134" t="s">
        <v>677</v>
      </c>
      <c r="E433" s="162">
        <f>E434</f>
        <v>0</v>
      </c>
      <c r="F433" s="162">
        <f t="shared" ref="F433:P434" si="513">F434</f>
        <v>0</v>
      </c>
      <c r="G433" s="162">
        <f t="shared" si="513"/>
        <v>0</v>
      </c>
      <c r="H433" s="162">
        <f t="shared" si="513"/>
        <v>0</v>
      </c>
      <c r="I433" s="162">
        <f t="shared" si="513"/>
        <v>0</v>
      </c>
      <c r="J433" s="162">
        <f t="shared" si="513"/>
        <v>0</v>
      </c>
      <c r="K433" s="162">
        <f t="shared" si="513"/>
        <v>0</v>
      </c>
      <c r="L433" s="162">
        <f t="shared" si="513"/>
        <v>0</v>
      </c>
      <c r="M433" s="162">
        <f t="shared" si="513"/>
        <v>0</v>
      </c>
      <c r="N433" s="162">
        <f t="shared" si="513"/>
        <v>0</v>
      </c>
      <c r="O433" s="162">
        <f t="shared" si="513"/>
        <v>0</v>
      </c>
      <c r="P433" s="162">
        <f t="shared" si="513"/>
        <v>0</v>
      </c>
      <c r="Q433" s="47"/>
      <c r="R433" s="50"/>
    </row>
    <row r="434" spans="1:18" ht="48" hidden="1" thickTop="1" thickBot="1" x14ac:dyDescent="0.25">
      <c r="A434" s="138" t="s">
        <v>1164</v>
      </c>
      <c r="B434" s="138" t="s">
        <v>682</v>
      </c>
      <c r="C434" s="138"/>
      <c r="D434" s="138" t="s">
        <v>680</v>
      </c>
      <c r="E434" s="139">
        <f>E435</f>
        <v>0</v>
      </c>
      <c r="F434" s="139">
        <f t="shared" si="513"/>
        <v>0</v>
      </c>
      <c r="G434" s="139">
        <f t="shared" si="513"/>
        <v>0</v>
      </c>
      <c r="H434" s="139">
        <f t="shared" si="513"/>
        <v>0</v>
      </c>
      <c r="I434" s="139">
        <f t="shared" si="513"/>
        <v>0</v>
      </c>
      <c r="J434" s="139">
        <f t="shared" si="513"/>
        <v>0</v>
      </c>
      <c r="K434" s="139">
        <f t="shared" si="513"/>
        <v>0</v>
      </c>
      <c r="L434" s="139">
        <f t="shared" si="513"/>
        <v>0</v>
      </c>
      <c r="M434" s="139">
        <f t="shared" si="513"/>
        <v>0</v>
      </c>
      <c r="N434" s="139">
        <f t="shared" si="513"/>
        <v>0</v>
      </c>
      <c r="O434" s="139">
        <f t="shared" si="513"/>
        <v>0</v>
      </c>
      <c r="P434" s="139">
        <f t="shared" si="513"/>
        <v>0</v>
      </c>
      <c r="Q434" s="47"/>
      <c r="R434" s="50"/>
    </row>
    <row r="435" spans="1:18" ht="48" hidden="1" thickTop="1" thickBot="1" x14ac:dyDescent="0.25">
      <c r="A435" s="126" t="s">
        <v>1165</v>
      </c>
      <c r="B435" s="126" t="s">
        <v>255</v>
      </c>
      <c r="C435" s="126" t="s">
        <v>169</v>
      </c>
      <c r="D435" s="126" t="s">
        <v>253</v>
      </c>
      <c r="E435" s="125">
        <f t="shared" ref="E435" si="514">F435</f>
        <v>0</v>
      </c>
      <c r="F435" s="132"/>
      <c r="G435" s="132"/>
      <c r="H435" s="132"/>
      <c r="I435" s="132"/>
      <c r="J435" s="125">
        <f t="shared" ref="J435" si="515">L435+O435</f>
        <v>0</v>
      </c>
      <c r="K435" s="132"/>
      <c r="L435" s="132"/>
      <c r="M435" s="132"/>
      <c r="N435" s="132"/>
      <c r="O435" s="130">
        <f>K435</f>
        <v>0</v>
      </c>
      <c r="P435" s="125">
        <f t="shared" ref="P435" si="516">E435+J435</f>
        <v>0</v>
      </c>
      <c r="Q435" s="47"/>
      <c r="R435" s="50"/>
    </row>
    <row r="436" spans="1:18" ht="47.25" thickTop="1" thickBot="1" x14ac:dyDescent="0.25">
      <c r="A436" s="298" t="s">
        <v>829</v>
      </c>
      <c r="B436" s="298" t="s">
        <v>684</v>
      </c>
      <c r="C436" s="298"/>
      <c r="D436" s="298" t="s">
        <v>685</v>
      </c>
      <c r="E436" s="299">
        <f t="shared" ref="E436:P436" si="517">E437+E438+E440</f>
        <v>8998187.379999999</v>
      </c>
      <c r="F436" s="299">
        <f t="shared" si="517"/>
        <v>8998187.379999999</v>
      </c>
      <c r="G436" s="299">
        <f t="shared" si="517"/>
        <v>0</v>
      </c>
      <c r="H436" s="299">
        <f t="shared" si="517"/>
        <v>0</v>
      </c>
      <c r="I436" s="299">
        <f t="shared" si="517"/>
        <v>0</v>
      </c>
      <c r="J436" s="299">
        <f t="shared" si="517"/>
        <v>0</v>
      </c>
      <c r="K436" s="299">
        <f t="shared" si="517"/>
        <v>0</v>
      </c>
      <c r="L436" s="299">
        <f t="shared" si="517"/>
        <v>0</v>
      </c>
      <c r="M436" s="299">
        <f t="shared" si="517"/>
        <v>0</v>
      </c>
      <c r="N436" s="299">
        <f t="shared" si="517"/>
        <v>0</v>
      </c>
      <c r="O436" s="299">
        <f t="shared" si="517"/>
        <v>0</v>
      </c>
      <c r="P436" s="299">
        <f t="shared" si="517"/>
        <v>8998187.379999999</v>
      </c>
      <c r="Q436" s="47"/>
      <c r="R436" s="50"/>
    </row>
    <row r="437" spans="1:18" ht="47.25" thickTop="1" thickBot="1" x14ac:dyDescent="0.25">
      <c r="A437" s="644">
        <v>3718600</v>
      </c>
      <c r="B437" s="644">
        <v>8600</v>
      </c>
      <c r="C437" s="593" t="s">
        <v>358</v>
      </c>
      <c r="D437" s="644" t="s">
        <v>447</v>
      </c>
      <c r="E437" s="595">
        <f>F437</f>
        <v>773346</v>
      </c>
      <c r="F437" s="595">
        <v>773346</v>
      </c>
      <c r="G437" s="595"/>
      <c r="H437" s="595"/>
      <c r="I437" s="595"/>
      <c r="J437" s="595">
        <f>L437+O437</f>
        <v>0</v>
      </c>
      <c r="K437" s="595"/>
      <c r="L437" s="595"/>
      <c r="M437" s="595"/>
      <c r="N437" s="595"/>
      <c r="O437" s="656">
        <f>K437</f>
        <v>0</v>
      </c>
      <c r="P437" s="595">
        <f>E437+J437</f>
        <v>773346</v>
      </c>
      <c r="Q437" s="20"/>
    </row>
    <row r="438" spans="1:18" ht="47.25" thickTop="1" thickBot="1" x14ac:dyDescent="0.25">
      <c r="A438" s="644">
        <v>3718700</v>
      </c>
      <c r="B438" s="644">
        <v>8700</v>
      </c>
      <c r="C438" s="593"/>
      <c r="D438" s="644" t="s">
        <v>830</v>
      </c>
      <c r="E438" s="595">
        <f t="shared" ref="E438:P438" si="518">E439</f>
        <v>8224841.3799999999</v>
      </c>
      <c r="F438" s="595">
        <f t="shared" si="518"/>
        <v>8224841.3799999999</v>
      </c>
      <c r="G438" s="595">
        <f t="shared" si="518"/>
        <v>0</v>
      </c>
      <c r="H438" s="595">
        <f t="shared" si="518"/>
        <v>0</v>
      </c>
      <c r="I438" s="595">
        <f t="shared" si="518"/>
        <v>0</v>
      </c>
      <c r="J438" s="595">
        <f t="shared" si="518"/>
        <v>0</v>
      </c>
      <c r="K438" s="595">
        <f t="shared" si="518"/>
        <v>0</v>
      </c>
      <c r="L438" s="595">
        <f t="shared" si="518"/>
        <v>0</v>
      </c>
      <c r="M438" s="595">
        <f t="shared" si="518"/>
        <v>0</v>
      </c>
      <c r="N438" s="595">
        <f t="shared" si="518"/>
        <v>0</v>
      </c>
      <c r="O438" s="595">
        <f t="shared" si="518"/>
        <v>0</v>
      </c>
      <c r="P438" s="595">
        <f t="shared" si="518"/>
        <v>8224841.3799999999</v>
      </c>
      <c r="Q438" s="20"/>
    </row>
    <row r="439" spans="1:18" ht="69" customHeight="1" thickTop="1" thickBot="1" x14ac:dyDescent="0.25">
      <c r="A439" s="311">
        <v>3718710</v>
      </c>
      <c r="B439" s="311">
        <v>8710</v>
      </c>
      <c r="C439" s="101" t="s">
        <v>42</v>
      </c>
      <c r="D439" s="600" t="s">
        <v>631</v>
      </c>
      <c r="E439" s="310">
        <f>F439</f>
        <v>8224841.3799999999</v>
      </c>
      <c r="F439" s="425">
        <f>((12074519-2000000-3500000)+2263267-150000-200000-799600)+536655.38</f>
        <v>8224841.3799999999</v>
      </c>
      <c r="G439" s="425"/>
      <c r="H439" s="425"/>
      <c r="I439" s="425"/>
      <c r="J439" s="310">
        <f>L439+O439</f>
        <v>0</v>
      </c>
      <c r="K439" s="425"/>
      <c r="L439" s="425"/>
      <c r="M439" s="425"/>
      <c r="N439" s="425"/>
      <c r="O439" s="422">
        <f>K439</f>
        <v>0</v>
      </c>
      <c r="P439" s="310">
        <f>E439+J439</f>
        <v>8224841.3799999999</v>
      </c>
      <c r="Q439" s="20"/>
    </row>
    <row r="440" spans="1:18" ht="47.25" hidden="1" thickTop="1" thickBot="1" x14ac:dyDescent="0.25">
      <c r="A440" s="163">
        <v>3718800</v>
      </c>
      <c r="B440" s="163">
        <v>8800</v>
      </c>
      <c r="C440" s="134"/>
      <c r="D440" s="163" t="s">
        <v>838</v>
      </c>
      <c r="E440" s="135">
        <f>E441</f>
        <v>0</v>
      </c>
      <c r="F440" s="135">
        <f>F441</f>
        <v>0</v>
      </c>
      <c r="G440" s="135">
        <f t="shared" ref="G440:P441" si="519">G441</f>
        <v>0</v>
      </c>
      <c r="H440" s="135">
        <f t="shared" si="519"/>
        <v>0</v>
      </c>
      <c r="I440" s="135">
        <f t="shared" si="519"/>
        <v>0</v>
      </c>
      <c r="J440" s="135">
        <f t="shared" si="519"/>
        <v>0</v>
      </c>
      <c r="K440" s="135">
        <f t="shared" si="519"/>
        <v>0</v>
      </c>
      <c r="L440" s="135">
        <f t="shared" si="519"/>
        <v>0</v>
      </c>
      <c r="M440" s="135">
        <f t="shared" si="519"/>
        <v>0</v>
      </c>
      <c r="N440" s="135">
        <f t="shared" si="519"/>
        <v>0</v>
      </c>
      <c r="O440" s="135">
        <f t="shared" si="519"/>
        <v>0</v>
      </c>
      <c r="P440" s="135">
        <f t="shared" si="519"/>
        <v>0</v>
      </c>
      <c r="Q440" s="20"/>
    </row>
    <row r="441" spans="1:18" ht="93" hidden="1" thickTop="1" thickBot="1" x14ac:dyDescent="0.25">
      <c r="A441" s="164">
        <v>3718880</v>
      </c>
      <c r="B441" s="164">
        <v>8880</v>
      </c>
      <c r="C441" s="138"/>
      <c r="D441" s="151" t="s">
        <v>1115</v>
      </c>
      <c r="E441" s="139">
        <f>E442</f>
        <v>0</v>
      </c>
      <c r="F441" s="139">
        <f t="shared" ref="F441" si="520">F442</f>
        <v>0</v>
      </c>
      <c r="G441" s="139">
        <f t="shared" si="519"/>
        <v>0</v>
      </c>
      <c r="H441" s="139">
        <f t="shared" si="519"/>
        <v>0</v>
      </c>
      <c r="I441" s="139">
        <f t="shared" si="519"/>
        <v>0</v>
      </c>
      <c r="J441" s="139">
        <f t="shared" si="519"/>
        <v>0</v>
      </c>
      <c r="K441" s="139">
        <f t="shared" si="519"/>
        <v>0</v>
      </c>
      <c r="L441" s="139">
        <f t="shared" si="519"/>
        <v>0</v>
      </c>
      <c r="M441" s="139">
        <f t="shared" si="519"/>
        <v>0</v>
      </c>
      <c r="N441" s="139">
        <f t="shared" si="519"/>
        <v>0</v>
      </c>
      <c r="O441" s="139">
        <f t="shared" si="519"/>
        <v>0</v>
      </c>
      <c r="P441" s="139">
        <f t="shared" si="519"/>
        <v>0</v>
      </c>
      <c r="Q441" s="20"/>
    </row>
    <row r="442" spans="1:18" ht="93" hidden="1" thickTop="1" thickBot="1" x14ac:dyDescent="0.25">
      <c r="A442" s="126">
        <v>3718881</v>
      </c>
      <c r="B442" s="126">
        <v>8881</v>
      </c>
      <c r="C442" s="126" t="s">
        <v>169</v>
      </c>
      <c r="D442" s="126" t="s">
        <v>1116</v>
      </c>
      <c r="E442" s="150">
        <f>F442</f>
        <v>0</v>
      </c>
      <c r="F442" s="127">
        <f>(2500000)-2500000</f>
        <v>0</v>
      </c>
      <c r="G442" s="127"/>
      <c r="H442" s="127"/>
      <c r="I442" s="127"/>
      <c r="J442" s="125">
        <f t="shared" ref="J442" si="521">L442+O442</f>
        <v>0</v>
      </c>
      <c r="K442" s="127"/>
      <c r="L442" s="128"/>
      <c r="M442" s="128"/>
      <c r="N442" s="128"/>
      <c r="O442" s="130">
        <f t="shared" ref="O442" si="522">K442</f>
        <v>0</v>
      </c>
      <c r="P442" s="125">
        <f t="shared" ref="P442" si="523">+J442+E442</f>
        <v>0</v>
      </c>
      <c r="Q442" s="20"/>
    </row>
    <row r="443" spans="1:18" ht="47.25" thickTop="1" thickBot="1" x14ac:dyDescent="0.25">
      <c r="A443" s="298" t="s">
        <v>831</v>
      </c>
      <c r="B443" s="298" t="s">
        <v>689</v>
      </c>
      <c r="C443" s="298"/>
      <c r="D443" s="298" t="s">
        <v>690</v>
      </c>
      <c r="E443" s="310">
        <f>E444</f>
        <v>166190800</v>
      </c>
      <c r="F443" s="310">
        <f t="shared" ref="F443:P444" si="524">F444</f>
        <v>166190800</v>
      </c>
      <c r="G443" s="310">
        <f t="shared" si="524"/>
        <v>0</v>
      </c>
      <c r="H443" s="310">
        <f t="shared" si="524"/>
        <v>0</v>
      </c>
      <c r="I443" s="310">
        <f t="shared" si="524"/>
        <v>0</v>
      </c>
      <c r="J443" s="310">
        <f t="shared" si="524"/>
        <v>0</v>
      </c>
      <c r="K443" s="310">
        <f t="shared" si="524"/>
        <v>0</v>
      </c>
      <c r="L443" s="310">
        <f t="shared" si="524"/>
        <v>0</v>
      </c>
      <c r="M443" s="310">
        <f t="shared" si="524"/>
        <v>0</v>
      </c>
      <c r="N443" s="310">
        <f t="shared" si="524"/>
        <v>0</v>
      </c>
      <c r="O443" s="310">
        <f t="shared" si="524"/>
        <v>0</v>
      </c>
      <c r="P443" s="310">
        <f t="shared" si="524"/>
        <v>166190800</v>
      </c>
      <c r="Q443" s="20"/>
    </row>
    <row r="444" spans="1:18" ht="47.25" thickTop="1" thickBot="1" x14ac:dyDescent="0.25">
      <c r="A444" s="644">
        <v>3719100</v>
      </c>
      <c r="B444" s="593" t="s">
        <v>833</v>
      </c>
      <c r="C444" s="593"/>
      <c r="D444" s="593" t="s">
        <v>832</v>
      </c>
      <c r="E444" s="595">
        <f>E445</f>
        <v>166190800</v>
      </c>
      <c r="F444" s="595">
        <f t="shared" si="524"/>
        <v>166190800</v>
      </c>
      <c r="G444" s="595">
        <f t="shared" si="524"/>
        <v>0</v>
      </c>
      <c r="H444" s="595">
        <f t="shared" si="524"/>
        <v>0</v>
      </c>
      <c r="I444" s="595">
        <f t="shared" si="524"/>
        <v>0</v>
      </c>
      <c r="J444" s="595">
        <f t="shared" si="524"/>
        <v>0</v>
      </c>
      <c r="K444" s="595">
        <f t="shared" si="524"/>
        <v>0</v>
      </c>
      <c r="L444" s="595">
        <f t="shared" si="524"/>
        <v>0</v>
      </c>
      <c r="M444" s="595">
        <f t="shared" si="524"/>
        <v>0</v>
      </c>
      <c r="N444" s="595">
        <f t="shared" si="524"/>
        <v>0</v>
      </c>
      <c r="O444" s="595">
        <f t="shared" si="524"/>
        <v>0</v>
      </c>
      <c r="P444" s="595">
        <f t="shared" si="524"/>
        <v>166190800</v>
      </c>
      <c r="Q444" s="20"/>
    </row>
    <row r="445" spans="1:18" ht="48" thickTop="1" thickBot="1" x14ac:dyDescent="0.25">
      <c r="A445" s="311">
        <v>3719110</v>
      </c>
      <c r="B445" s="311">
        <v>9110</v>
      </c>
      <c r="C445" s="101" t="s">
        <v>43</v>
      </c>
      <c r="D445" s="600" t="s">
        <v>446</v>
      </c>
      <c r="E445" s="310">
        <f>F445</f>
        <v>166190800</v>
      </c>
      <c r="F445" s="425">
        <v>166190800</v>
      </c>
      <c r="G445" s="425"/>
      <c r="H445" s="425"/>
      <c r="I445" s="425"/>
      <c r="J445" s="310">
        <f>L445+O445</f>
        <v>0</v>
      </c>
      <c r="K445" s="425"/>
      <c r="L445" s="425"/>
      <c r="M445" s="425"/>
      <c r="N445" s="425"/>
      <c r="O445" s="422">
        <f>K445</f>
        <v>0</v>
      </c>
      <c r="P445" s="310">
        <f>E445+J445</f>
        <v>166190800</v>
      </c>
      <c r="Q445" s="20"/>
    </row>
    <row r="446" spans="1:18" ht="111" customHeight="1" thickTop="1" thickBot="1" x14ac:dyDescent="0.25">
      <c r="A446" s="677" t="s">
        <v>377</v>
      </c>
      <c r="B446" s="677" t="s">
        <v>377</v>
      </c>
      <c r="C446" s="677" t="s">
        <v>377</v>
      </c>
      <c r="D446" s="677" t="s">
        <v>387</v>
      </c>
      <c r="E446" s="678">
        <f t="shared" ref="E446:P446" si="525">E16+E50+E232+E115+E149+E211++E335+E361+E429+E390+E410+E420+E371+E301+E269</f>
        <v>4468339252.9700003</v>
      </c>
      <c r="F446" s="678">
        <f t="shared" si="525"/>
        <v>4468339252.9700003</v>
      </c>
      <c r="G446" s="678">
        <f t="shared" si="525"/>
        <v>1992988140</v>
      </c>
      <c r="H446" s="678">
        <f t="shared" si="525"/>
        <v>207211476.17999998</v>
      </c>
      <c r="I446" s="678">
        <f t="shared" si="525"/>
        <v>0</v>
      </c>
      <c r="J446" s="678">
        <f t="shared" si="525"/>
        <v>1107214241.0899999</v>
      </c>
      <c r="K446" s="678">
        <f t="shared" si="525"/>
        <v>767989157.57999992</v>
      </c>
      <c r="L446" s="678">
        <f t="shared" si="525"/>
        <v>321054850.29999995</v>
      </c>
      <c r="M446" s="678">
        <f t="shared" si="525"/>
        <v>74032628</v>
      </c>
      <c r="N446" s="678">
        <f t="shared" si="525"/>
        <v>35851093</v>
      </c>
      <c r="O446" s="678">
        <f t="shared" si="525"/>
        <v>786159390.78999996</v>
      </c>
      <c r="P446" s="678">
        <f t="shared" si="525"/>
        <v>5575553494.0600004</v>
      </c>
      <c r="Q446" s="79" t="b">
        <f>P446=J446+E446</f>
        <v>1</v>
      </c>
    </row>
    <row r="447" spans="1:18" ht="46.5" thickTop="1" x14ac:dyDescent="0.2">
      <c r="A447" s="786" t="s">
        <v>1430</v>
      </c>
      <c r="B447" s="787"/>
      <c r="C447" s="787"/>
      <c r="D447" s="787"/>
      <c r="E447" s="787"/>
      <c r="F447" s="787"/>
      <c r="G447" s="787"/>
      <c r="H447" s="787"/>
      <c r="I447" s="787"/>
      <c r="J447" s="787"/>
      <c r="K447" s="787"/>
      <c r="L447" s="787"/>
      <c r="M447" s="787"/>
      <c r="N447" s="787"/>
      <c r="O447" s="787"/>
      <c r="P447" s="787"/>
      <c r="Q447" s="56"/>
    </row>
    <row r="448" spans="1:18" ht="60.75" hidden="1" x14ac:dyDescent="0.2">
      <c r="A448" s="15"/>
      <c r="B448" s="16"/>
      <c r="C448" s="16"/>
      <c r="D448" s="16"/>
      <c r="E448" s="468">
        <f>F448</f>
        <v>4468339252.9700003</v>
      </c>
      <c r="F448" s="468">
        <f>((((3276526950+522248400)+28847677)+151378656.38-2000000+2000000)+97082657.69-56563.33-10000)+392321475.23</f>
        <v>4468339252.9700003</v>
      </c>
      <c r="G448" s="468">
        <f>(((((2103868+106818628+100276862+811737240+3269881+60343879+123795559+54280883)+428184320)+38620705)+8196800+12718010+2868850+725184)+204672000+2588000+6426228+1374430+993700)+3591318+6009620+1448200+2495500+8315600+1132875</f>
        <v>1992988140</v>
      </c>
      <c r="H448" s="468">
        <f>(((5000+61019+5861100+3994556+174499778+209980+4040641+8706450+4639939)+230000+36091.86+71185.22)+47320.5+45348.93+68436.67)+176154+338476+4180000</f>
        <v>207211476.18000001</v>
      </c>
      <c r="I448" s="468">
        <v>0</v>
      </c>
      <c r="J448" s="468">
        <f>((((476429079+'d2'!E43+'d4'!O29)+78699327)+195977268.48+2000000-2000000)+201670933.84+9705057+10000)+148609575.77</f>
        <v>1107214241.0900002</v>
      </c>
      <c r="K448" s="468">
        <f>((((476429079+'d2'!F43-'d4'!P29-268412475-5500000-2000000)+78699327-42063000)+195977268.48-7941156.97-1662549.7-3165484.81-1500074.4-200000-248677.63-3200000+2000000-2000000)+201670933.84-731698+7905090+10000)+148609575.77-800000</f>
        <v>767989157.58000004</v>
      </c>
      <c r="L448" s="468">
        <f>((((2289715+237626300+10030550+11983500+4350000+1105000)+42063000)+7941156.97+1662549.7-26000+200000+248677.63)+731698+254051)-101210+695862</f>
        <v>321054850.30000001</v>
      </c>
      <c r="M448" s="468">
        <f>(891107+59655330+4670511+8781040)+34640</f>
        <v>74032628</v>
      </c>
      <c r="N448" s="468">
        <f>(527653+34018360+774200+330880)+200000</f>
        <v>35851093</v>
      </c>
      <c r="O448" s="468">
        <f>((((476429079+'d2'!F43-'d4'!O29-268412475-5500000-2000000+895000+150000+6094110+20000+368300+1000000)+78699327-42063000)+195977268.48-7941156.97-1662549.7+26000-200000-248677.63+2000000-2000000)+201670933.84-731698+9451006+10000)+148609575.77-800000+101210+104138</f>
        <v>786159390.78999996</v>
      </c>
      <c r="P448" s="468">
        <f>((((3752956029-3887000+522248400)+107547004)+347355924.86)+298753591.53+9648493.67)+540931051</f>
        <v>5575553494.0599995</v>
      </c>
      <c r="Q448" s="79" t="b">
        <f>E448+J448=P448</f>
        <v>1</v>
      </c>
      <c r="R448" s="56"/>
    </row>
    <row r="449" spans="1:18" ht="45.75" hidden="1" x14ac:dyDescent="0.65">
      <c r="A449" s="15"/>
      <c r="B449" s="16"/>
      <c r="C449" s="16"/>
      <c r="D449" s="788" t="s">
        <v>1649</v>
      </c>
      <c r="E449" s="788"/>
      <c r="F449" s="303"/>
      <c r="G449" s="2"/>
      <c r="H449" s="3"/>
      <c r="I449" s="2"/>
      <c r="J449" s="3"/>
      <c r="K449" s="2" t="s">
        <v>1650</v>
      </c>
      <c r="L449" s="2"/>
      <c r="M449" s="2"/>
      <c r="N449" s="2"/>
      <c r="O449" s="2"/>
      <c r="P449" s="2"/>
      <c r="Q449" s="56"/>
    </row>
    <row r="450" spans="1:18" ht="45.75" hidden="1" x14ac:dyDescent="0.65">
      <c r="A450" s="165"/>
      <c r="B450" s="166"/>
      <c r="C450" s="166"/>
      <c r="D450" s="3" t="s">
        <v>1376</v>
      </c>
      <c r="E450" s="303"/>
      <c r="F450" s="303"/>
      <c r="G450" s="2"/>
      <c r="H450" s="3"/>
      <c r="I450" s="2"/>
      <c r="J450" s="3"/>
      <c r="K450" s="3" t="s">
        <v>1377</v>
      </c>
      <c r="L450" s="193"/>
      <c r="M450" s="193"/>
      <c r="N450" s="193"/>
      <c r="O450" s="193"/>
      <c r="P450" s="193"/>
      <c r="Q450" s="56"/>
    </row>
    <row r="451" spans="1:18" ht="106.5" customHeight="1" x14ac:dyDescent="0.65">
      <c r="A451" s="165"/>
      <c r="B451" s="166"/>
      <c r="C451" s="166"/>
      <c r="D451" s="951" t="s">
        <v>1751</v>
      </c>
      <c r="E451" s="303"/>
      <c r="F451" s="303"/>
      <c r="G451" s="2"/>
      <c r="H451" s="3"/>
      <c r="I451" s="2"/>
      <c r="J451" s="3"/>
      <c r="K451" s="334" t="s">
        <v>1750</v>
      </c>
      <c r="L451" s="193"/>
      <c r="M451" s="193"/>
      <c r="N451" s="193"/>
      <c r="O451" s="193"/>
      <c r="P451" s="193"/>
      <c r="Q451" s="56"/>
    </row>
    <row r="452" spans="1:18" ht="26.45" customHeight="1" x14ac:dyDescent="0.65">
      <c r="A452" s="15"/>
      <c r="B452" s="16"/>
      <c r="C452" s="16"/>
      <c r="D452" s="778"/>
      <c r="E452" s="778"/>
      <c r="F452" s="778"/>
      <c r="G452" s="778"/>
      <c r="H452" s="778"/>
      <c r="I452" s="778"/>
      <c r="J452" s="778"/>
      <c r="K452" s="778"/>
      <c r="L452" s="778"/>
      <c r="M452" s="778"/>
      <c r="N452" s="778"/>
      <c r="O452" s="778"/>
      <c r="P452" s="778"/>
      <c r="Q452" s="83"/>
    </row>
    <row r="453" spans="1:18" ht="50.25" customHeight="1" thickBot="1" x14ac:dyDescent="0.7">
      <c r="A453" s="15"/>
      <c r="B453" s="16"/>
      <c r="C453" s="16"/>
      <c r="D453" s="784" t="s">
        <v>516</v>
      </c>
      <c r="E453" s="785"/>
      <c r="F453" s="785"/>
      <c r="G453" s="334"/>
      <c r="H453" s="334"/>
      <c r="I453" s="2"/>
      <c r="J453" s="2"/>
      <c r="K453" s="3" t="s">
        <v>1290</v>
      </c>
      <c r="L453" s="2"/>
      <c r="M453" s="2"/>
      <c r="N453" s="2"/>
      <c r="O453" s="2"/>
      <c r="P453" s="2"/>
      <c r="Q453" s="83"/>
    </row>
    <row r="454" spans="1:18" ht="47.25" thickTop="1" thickBot="1" x14ac:dyDescent="0.7">
      <c r="A454" s="19"/>
      <c r="B454" s="19"/>
      <c r="C454" s="19"/>
      <c r="D454" s="776"/>
      <c r="E454" s="776"/>
      <c r="F454" s="776"/>
      <c r="G454" s="776"/>
      <c r="H454" s="776"/>
      <c r="I454" s="776"/>
      <c r="J454" s="776"/>
      <c r="K454" s="776"/>
      <c r="L454" s="776"/>
      <c r="M454" s="776"/>
      <c r="N454" s="776"/>
      <c r="O454" s="776"/>
      <c r="P454" s="776"/>
      <c r="Q454" s="84"/>
    </row>
    <row r="455" spans="1:18" ht="95.25" customHeight="1" thickTop="1" x14ac:dyDescent="0.55000000000000004">
      <c r="E455" s="516"/>
      <c r="G455" s="58"/>
      <c r="H455" s="58"/>
      <c r="I455" s="91"/>
      <c r="J455" s="92"/>
      <c r="K455" s="92"/>
      <c r="L455" s="91"/>
      <c r="M455" s="91"/>
      <c r="N455" s="91"/>
      <c r="O455" s="91"/>
      <c r="P455" s="92"/>
      <c r="Q455" s="82"/>
    </row>
    <row r="456" spans="1:18" x14ac:dyDescent="0.2">
      <c r="E456" s="59"/>
      <c r="F456" s="60"/>
      <c r="G456" s="58"/>
      <c r="H456" s="58"/>
      <c r="I456" s="91"/>
      <c r="J456" s="93"/>
      <c r="K456" s="93"/>
      <c r="L456" s="91"/>
      <c r="M456" s="91"/>
      <c r="N456" s="91"/>
      <c r="O456" s="91"/>
      <c r="P456" s="92"/>
    </row>
    <row r="457" spans="1:18" x14ac:dyDescent="0.2">
      <c r="E457" s="59"/>
      <c r="F457" s="60"/>
      <c r="G457" s="58"/>
      <c r="H457" s="58"/>
      <c r="I457" s="91"/>
      <c r="J457" s="93"/>
      <c r="K457" s="93"/>
      <c r="L457" s="91"/>
      <c r="M457" s="91"/>
      <c r="N457" s="91"/>
      <c r="O457" s="91"/>
      <c r="P457" s="92"/>
    </row>
    <row r="458" spans="1:18" ht="60.75" x14ac:dyDescent="0.2">
      <c r="E458" s="516" t="b">
        <f>E448=E446</f>
        <v>1</v>
      </c>
      <c r="F458" s="516" t="b">
        <f>F448=F446</f>
        <v>1</v>
      </c>
      <c r="G458" s="516" t="b">
        <f>G448=G446</f>
        <v>1</v>
      </c>
      <c r="H458" s="516" t="b">
        <f t="shared" ref="H458:O458" si="526">H448=H446</f>
        <v>1</v>
      </c>
      <c r="I458" s="516" t="b">
        <f>I448=I446</f>
        <v>1</v>
      </c>
      <c r="J458" s="516" t="b">
        <f>J448=J446</f>
        <v>1</v>
      </c>
      <c r="K458" s="516" t="b">
        <f>K448=K446</f>
        <v>1</v>
      </c>
      <c r="L458" s="516" t="b">
        <f t="shared" si="526"/>
        <v>1</v>
      </c>
      <c r="M458" s="516" t="b">
        <f t="shared" si="526"/>
        <v>1</v>
      </c>
      <c r="N458" s="516" t="b">
        <f>N448=N446</f>
        <v>1</v>
      </c>
      <c r="O458" s="516" t="b">
        <f t="shared" si="526"/>
        <v>1</v>
      </c>
      <c r="P458" s="516" t="b">
        <f>P448=P446</f>
        <v>1</v>
      </c>
    </row>
    <row r="459" spans="1:18" ht="61.5" x14ac:dyDescent="0.2">
      <c r="E459" s="516" t="b">
        <f>E446=F446</f>
        <v>1</v>
      </c>
      <c r="F459" s="517">
        <f>F439/E446</f>
        <v>1.8406931332559722E-3</v>
      </c>
      <c r="G459" s="86"/>
      <c r="H459" s="87"/>
      <c r="I459" s="88"/>
      <c r="J459" s="516" t="b">
        <f>J448=L448+O448</f>
        <v>1</v>
      </c>
      <c r="K459" s="94"/>
      <c r="L459" s="79"/>
      <c r="M459" s="88"/>
      <c r="N459" s="88"/>
      <c r="O459" s="79"/>
      <c r="P459" s="516" t="b">
        <f>E446+J446=P446</f>
        <v>1</v>
      </c>
    </row>
    <row r="460" spans="1:18" ht="60.75" x14ac:dyDescent="0.2">
      <c r="E460" s="89"/>
      <c r="F460" s="90"/>
      <c r="G460" s="518">
        <f>G448-G446</f>
        <v>0</v>
      </c>
      <c r="H460" s="518">
        <f>H448-H446</f>
        <v>0</v>
      </c>
      <c r="I460" s="89"/>
      <c r="J460" s="59"/>
      <c r="K460" s="59"/>
    </row>
    <row r="461" spans="1:18" ht="61.5" x14ac:dyDescent="0.2">
      <c r="A461" s="21"/>
      <c r="B461" s="21"/>
      <c r="C461" s="21"/>
      <c r="D461" s="22"/>
      <c r="E461" s="37">
        <f>E446-E448</f>
        <v>0</v>
      </c>
      <c r="F461" s="517">
        <f>400000/E446</f>
        <v>8.9518717660958579E-5</v>
      </c>
      <c r="G461" s="86"/>
      <c r="H461" s="61"/>
      <c r="I461" s="22"/>
      <c r="J461" s="37">
        <f>J446-J448</f>
        <v>0</v>
      </c>
      <c r="K461" s="37">
        <f>K446-K448</f>
        <v>0</v>
      </c>
      <c r="L461" s="37"/>
      <c r="M461" s="37"/>
      <c r="N461" s="37"/>
      <c r="O461" s="37">
        <f>O446-O448</f>
        <v>0</v>
      </c>
      <c r="P461" s="37">
        <f>P446-P448</f>
        <v>0</v>
      </c>
    </row>
    <row r="462" spans="1:18" ht="61.5" x14ac:dyDescent="0.2">
      <c r="D462" s="22"/>
      <c r="E462" s="37"/>
      <c r="F462" s="63"/>
      <c r="G462" s="55"/>
      <c r="H462" s="61"/>
      <c r="I462" s="22"/>
      <c r="J462" s="37"/>
      <c r="K462" s="37"/>
      <c r="L462" s="64"/>
      <c r="P462" s="55"/>
      <c r="Q462" s="85"/>
      <c r="R462" s="65"/>
    </row>
    <row r="463" spans="1:18" ht="60.75" x14ac:dyDescent="0.2">
      <c r="A463" s="21"/>
      <c r="B463" s="21"/>
      <c r="C463" s="21"/>
      <c r="D463" s="22"/>
      <c r="E463" s="26">
        <f>E446+K446-E161-E163-E174-E97-K77-E71-E65-E59-E58-'d1'!C118</f>
        <v>4378991705.5500002</v>
      </c>
      <c r="F463" s="26"/>
      <c r="G463" s="26"/>
      <c r="H463" s="26"/>
      <c r="I463" s="66"/>
      <c r="J463" s="26"/>
      <c r="K463" s="26"/>
      <c r="L463" s="26"/>
      <c r="M463" s="26"/>
      <c r="N463" s="26"/>
      <c r="O463" s="26"/>
      <c r="P463" s="26"/>
      <c r="Q463" s="85"/>
      <c r="R463" s="65"/>
    </row>
    <row r="464" spans="1:18" ht="60.75" x14ac:dyDescent="0.2">
      <c r="D464" s="22"/>
      <c r="E464" s="37"/>
      <c r="F464" s="67"/>
      <c r="O464" s="55"/>
      <c r="P464" s="55"/>
    </row>
    <row r="465" spans="1:16" ht="60.75" x14ac:dyDescent="0.2">
      <c r="A465" s="21"/>
      <c r="B465" s="21"/>
      <c r="C465" s="21"/>
      <c r="D465" s="22"/>
      <c r="E465" s="37"/>
      <c r="F465" s="62"/>
      <c r="G465" s="64"/>
      <c r="I465" s="68"/>
      <c r="J465" s="59"/>
      <c r="K465" s="59"/>
      <c r="L465" s="21"/>
      <c r="M465" s="21"/>
      <c r="N465" s="21"/>
      <c r="O465" s="21"/>
      <c r="P465" s="55"/>
    </row>
    <row r="466" spans="1:16" ht="62.25" x14ac:dyDescent="0.8">
      <c r="A466" s="21"/>
      <c r="B466" s="21"/>
      <c r="C466" s="21"/>
      <c r="D466" s="21"/>
      <c r="E466" s="69"/>
      <c r="F466" s="62"/>
      <c r="J466" s="59"/>
      <c r="K466" s="59"/>
      <c r="L466" s="21"/>
      <c r="M466" s="21"/>
      <c r="N466" s="21"/>
      <c r="O466" s="21"/>
      <c r="P466" s="70"/>
    </row>
    <row r="467" spans="1:16" ht="45.75" x14ac:dyDescent="0.2">
      <c r="E467" s="71"/>
      <c r="F467" s="67"/>
    </row>
    <row r="468" spans="1:16" ht="45.75" x14ac:dyDescent="0.2">
      <c r="A468" s="21"/>
      <c r="B468" s="21"/>
      <c r="C468" s="21"/>
      <c r="D468" s="21"/>
      <c r="E468" s="69"/>
      <c r="F468" s="62"/>
      <c r="L468" s="21"/>
      <c r="M468" s="21"/>
      <c r="N468" s="21"/>
      <c r="O468" s="21"/>
      <c r="P468" s="21"/>
    </row>
    <row r="469" spans="1:16" ht="45.75" x14ac:dyDescent="0.2">
      <c r="E469" s="72"/>
      <c r="F469" s="67"/>
    </row>
    <row r="470" spans="1:16" ht="45.75" x14ac:dyDescent="0.2">
      <c r="E470" s="72"/>
      <c r="F470" s="67"/>
    </row>
    <row r="471" spans="1:16" ht="45.75" x14ac:dyDescent="0.2">
      <c r="E471" s="72"/>
      <c r="F471" s="67"/>
    </row>
    <row r="472" spans="1:16" ht="45.75" x14ac:dyDescent="0.2">
      <c r="A472" s="21"/>
      <c r="B472" s="21"/>
      <c r="C472" s="21"/>
      <c r="D472" s="21"/>
      <c r="E472" s="72"/>
      <c r="F472" s="67"/>
      <c r="G472" s="21"/>
      <c r="H472" s="21"/>
      <c r="I472" s="21"/>
      <c r="J472" s="21"/>
      <c r="K472" s="21"/>
      <c r="L472" s="21"/>
      <c r="M472" s="21"/>
      <c r="N472" s="21"/>
      <c r="O472" s="21"/>
      <c r="P472" s="21"/>
    </row>
    <row r="473" spans="1:16" ht="45.75" x14ac:dyDescent="0.2">
      <c r="A473" s="21"/>
      <c r="B473" s="21"/>
      <c r="C473" s="21"/>
      <c r="D473" s="21"/>
      <c r="E473" s="72"/>
      <c r="F473" s="67"/>
      <c r="G473" s="21"/>
      <c r="H473" s="21"/>
      <c r="I473" s="21"/>
      <c r="J473" s="21"/>
      <c r="K473" s="21"/>
      <c r="L473" s="21"/>
      <c r="M473" s="21"/>
      <c r="N473" s="21"/>
      <c r="O473" s="21"/>
      <c r="P473" s="21"/>
    </row>
    <row r="474" spans="1:16" ht="45.75" x14ac:dyDescent="0.2">
      <c r="A474" s="21"/>
      <c r="B474" s="21"/>
      <c r="C474" s="21"/>
      <c r="D474" s="21"/>
      <c r="E474" s="72"/>
      <c r="F474" s="67"/>
      <c r="G474" s="21"/>
      <c r="H474" s="21"/>
      <c r="I474" s="21"/>
      <c r="J474" s="21"/>
      <c r="K474" s="21"/>
      <c r="L474" s="21"/>
      <c r="M474" s="21"/>
      <c r="N474" s="21"/>
      <c r="O474" s="21"/>
      <c r="P474" s="21"/>
    </row>
    <row r="475" spans="1:16" ht="45.75" x14ac:dyDescent="0.2">
      <c r="A475" s="21"/>
      <c r="B475" s="21"/>
      <c r="C475" s="21"/>
      <c r="D475" s="21"/>
      <c r="E475" s="72"/>
      <c r="F475" s="67"/>
      <c r="G475" s="21"/>
      <c r="H475" s="21"/>
      <c r="I475" s="21"/>
      <c r="J475" s="21"/>
      <c r="K475" s="21"/>
      <c r="L475" s="21"/>
      <c r="M475" s="21"/>
      <c r="N475" s="21"/>
      <c r="O475" s="21"/>
      <c r="P475" s="21"/>
    </row>
  </sheetData>
  <mergeCells count="169">
    <mergeCell ref="R189:R191"/>
    <mergeCell ref="C189:C191"/>
    <mergeCell ref="E189:E191"/>
    <mergeCell ref="F189:F191"/>
    <mergeCell ref="G189:G191"/>
    <mergeCell ref="H189:H191"/>
    <mergeCell ref="I189:I191"/>
    <mergeCell ref="J189:J191"/>
    <mergeCell ref="K189:K191"/>
    <mergeCell ref="L189:L191"/>
    <mergeCell ref="M189:M191"/>
    <mergeCell ref="R180:R183"/>
    <mergeCell ref="R186:R188"/>
    <mergeCell ref="A186:A188"/>
    <mergeCell ref="B186:B188"/>
    <mergeCell ref="C186:C188"/>
    <mergeCell ref="E186:E188"/>
    <mergeCell ref="F186:F188"/>
    <mergeCell ref="G186:G188"/>
    <mergeCell ref="H186:H188"/>
    <mergeCell ref="I186:I188"/>
    <mergeCell ref="J186:J188"/>
    <mergeCell ref="K186:K188"/>
    <mergeCell ref="L186:L188"/>
    <mergeCell ref="M186:M188"/>
    <mergeCell ref="N186:N188"/>
    <mergeCell ref="O186:O188"/>
    <mergeCell ref="P186:P188"/>
    <mergeCell ref="R184:R185"/>
    <mergeCell ref="B184:B185"/>
    <mergeCell ref="P184:P185"/>
    <mergeCell ref="J180:J183"/>
    <mergeCell ref="M180:M183"/>
    <mergeCell ref="Q180:Q183"/>
    <mergeCell ref="A184:A185"/>
    <mergeCell ref="E180:E183"/>
    <mergeCell ref="F180:F183"/>
    <mergeCell ref="K180:K183"/>
    <mergeCell ref="H180:H183"/>
    <mergeCell ref="J192:J193"/>
    <mergeCell ref="K192:K193"/>
    <mergeCell ref="L192:L193"/>
    <mergeCell ref="P357:P358"/>
    <mergeCell ref="A357:A358"/>
    <mergeCell ref="B357:B358"/>
    <mergeCell ref="C357:C358"/>
    <mergeCell ref="E357:E358"/>
    <mergeCell ref="F357:F358"/>
    <mergeCell ref="G357:G358"/>
    <mergeCell ref="H357:H358"/>
    <mergeCell ref="I357:I358"/>
    <mergeCell ref="J357:J358"/>
    <mergeCell ref="O293:O294"/>
    <mergeCell ref="E293:E294"/>
    <mergeCell ref="F293:F294"/>
    <mergeCell ref="G293:G294"/>
    <mergeCell ref="H293:H294"/>
    <mergeCell ref="I293:I294"/>
    <mergeCell ref="J293:J294"/>
    <mergeCell ref="M293:M294"/>
    <mergeCell ref="F208:F209"/>
    <mergeCell ref="N180:N183"/>
    <mergeCell ref="N189:N191"/>
    <mergeCell ref="O189:O191"/>
    <mergeCell ref="P189:P191"/>
    <mergeCell ref="H323:H324"/>
    <mergeCell ref="I323:I324"/>
    <mergeCell ref="P293:P294"/>
    <mergeCell ref="K208:K209"/>
    <mergeCell ref="L208:L209"/>
    <mergeCell ref="M208:M209"/>
    <mergeCell ref="N208:N209"/>
    <mergeCell ref="O180:O183"/>
    <mergeCell ref="O184:O185"/>
    <mergeCell ref="N184:N185"/>
    <mergeCell ref="I208:I209"/>
    <mergeCell ref="P180:P183"/>
    <mergeCell ref="K184:K185"/>
    <mergeCell ref="L184:L185"/>
    <mergeCell ref="M184:M185"/>
    <mergeCell ref="N293:N294"/>
    <mergeCell ref="O208:O209"/>
    <mergeCell ref="P208:P209"/>
    <mergeCell ref="L180:L183"/>
    <mergeCell ref="N1:Q1"/>
    <mergeCell ref="N2:Q2"/>
    <mergeCell ref="O3:P3"/>
    <mergeCell ref="A5:P5"/>
    <mergeCell ref="A6:P6"/>
    <mergeCell ref="A8:B8"/>
    <mergeCell ref="J11:O11"/>
    <mergeCell ref="P11:P13"/>
    <mergeCell ref="E12:E13"/>
    <mergeCell ref="F12:F13"/>
    <mergeCell ref="G12:H12"/>
    <mergeCell ref="I12:I13"/>
    <mergeCell ref="J12:J13"/>
    <mergeCell ref="K12:K13"/>
    <mergeCell ref="L12:L13"/>
    <mergeCell ref="M12:N12"/>
    <mergeCell ref="O12:O13"/>
    <mergeCell ref="A9:B9"/>
    <mergeCell ref="A11:A13"/>
    <mergeCell ref="B11:B13"/>
    <mergeCell ref="C11:C13"/>
    <mergeCell ref="D11:D13"/>
    <mergeCell ref="E11:I11"/>
    <mergeCell ref="D454:P454"/>
    <mergeCell ref="J323:J324"/>
    <mergeCell ref="D452:P452"/>
    <mergeCell ref="O323:O324"/>
    <mergeCell ref="P323:P324"/>
    <mergeCell ref="K323:K324"/>
    <mergeCell ref="L323:L324"/>
    <mergeCell ref="M323:M324"/>
    <mergeCell ref="N323:N324"/>
    <mergeCell ref="K357:K358"/>
    <mergeCell ref="L357:L358"/>
    <mergeCell ref="M357:M358"/>
    <mergeCell ref="N357:N358"/>
    <mergeCell ref="O357:O358"/>
    <mergeCell ref="E323:E324"/>
    <mergeCell ref="F323:F324"/>
    <mergeCell ref="D453:F453"/>
    <mergeCell ref="G323:G324"/>
    <mergeCell ref="A447:P447"/>
    <mergeCell ref="D449:E449"/>
    <mergeCell ref="B323:B324"/>
    <mergeCell ref="C323:C324"/>
    <mergeCell ref="A323:A324"/>
    <mergeCell ref="K293:K294"/>
    <mergeCell ref="L293:L294"/>
    <mergeCell ref="C180:C183"/>
    <mergeCell ref="A293:A294"/>
    <mergeCell ref="B293:B294"/>
    <mergeCell ref="C293:C294"/>
    <mergeCell ref="J208:J209"/>
    <mergeCell ref="A208:A209"/>
    <mergeCell ref="B208:B209"/>
    <mergeCell ref="B180:B183"/>
    <mergeCell ref="A189:A191"/>
    <mergeCell ref="B189:B191"/>
    <mergeCell ref="I184:I185"/>
    <mergeCell ref="J184:J185"/>
    <mergeCell ref="I180:I183"/>
    <mergeCell ref="C184:C185"/>
    <mergeCell ref="E184:E185"/>
    <mergeCell ref="F184:F185"/>
    <mergeCell ref="G184:G185"/>
    <mergeCell ref="H184:H185"/>
    <mergeCell ref="A180:A183"/>
    <mergeCell ref="G180:G183"/>
    <mergeCell ref="C208:C209"/>
    <mergeCell ref="G208:G209"/>
    <mergeCell ref="H208:H209"/>
    <mergeCell ref="O192:O193"/>
    <mergeCell ref="P192:P193"/>
    <mergeCell ref="A192:A193"/>
    <mergeCell ref="B192:B193"/>
    <mergeCell ref="C192:C193"/>
    <mergeCell ref="D192:D193"/>
    <mergeCell ref="E192:E193"/>
    <mergeCell ref="F192:F193"/>
    <mergeCell ref="G192:G193"/>
    <mergeCell ref="H192:H193"/>
    <mergeCell ref="I192:I193"/>
    <mergeCell ref="M192:M193"/>
    <mergeCell ref="N192:N193"/>
    <mergeCell ref="E208:E209"/>
  </mergeCells>
  <conditionalFormatting sqref="Q361:Q369">
    <cfRule type="iconSet" priority="31">
      <iconSet iconSet="3Arrows">
        <cfvo type="percent" val="0"/>
        <cfvo type="percent" val="33"/>
        <cfvo type="percent" val="67"/>
      </iconSet>
    </cfRule>
  </conditionalFormatting>
  <conditionalFormatting sqref="Q371:Q372">
    <cfRule type="iconSet" priority="19">
      <iconSet iconSet="3Arrows">
        <cfvo type="percent" val="0"/>
        <cfvo type="percent" val="33"/>
        <cfvo type="percent" val="67"/>
      </iconSet>
    </cfRule>
  </conditionalFormatting>
  <conditionalFormatting sqref="Q373:Q388">
    <cfRule type="iconSet" priority="50">
      <iconSet iconSet="3Arrows">
        <cfvo type="percent" val="0"/>
        <cfvo type="percent" val="33"/>
        <cfvo type="percent" val="67"/>
      </iconSet>
    </cfRule>
  </conditionalFormatting>
  <conditionalFormatting sqref="Q410:Q415">
    <cfRule type="iconSet" priority="46">
      <iconSet iconSet="3Arrows">
        <cfvo type="percent" val="0"/>
        <cfvo type="percent" val="33"/>
        <cfvo type="percent" val="67"/>
      </iconSet>
    </cfRule>
  </conditionalFormatting>
  <conditionalFormatting sqref="Q416">
    <cfRule type="iconSet" priority="2">
      <iconSet iconSet="3Arrows">
        <cfvo type="percent" val="0"/>
        <cfvo type="percent" val="33"/>
        <cfvo type="percent" val="67"/>
      </iconSet>
    </cfRule>
  </conditionalFormatting>
  <conditionalFormatting sqref="Q417:Q418">
    <cfRule type="iconSet" priority="10">
      <iconSet iconSet="3Arrows">
        <cfvo type="percent" val="0"/>
        <cfvo type="percent" val="33"/>
        <cfvo type="percent" val="67"/>
      </iconSet>
    </cfRule>
  </conditionalFormatting>
  <conditionalFormatting sqref="Q420">
    <cfRule type="iconSet" priority="3">
      <iconSet iconSet="3Arrows">
        <cfvo type="percent" val="0"/>
        <cfvo type="percent" val="33"/>
        <cfvo type="percent" val="67"/>
      </iconSet>
    </cfRule>
  </conditionalFormatting>
  <conditionalFormatting sqref="Q429">
    <cfRule type="iconSet" priority="1">
      <iconSet iconSet="3Arrows">
        <cfvo type="percent" val="0"/>
        <cfvo type="percent" val="33"/>
        <cfvo type="percent" val="67"/>
      </iconSet>
    </cfRule>
  </conditionalFormatting>
  <conditionalFormatting sqref="Q430 Q432:R436 R431:S431">
    <cfRule type="iconSet" priority="24">
      <iconSet iconSet="3Arrows">
        <cfvo type="percent" val="0"/>
        <cfvo type="percent" val="33"/>
        <cfvo type="percent" val="67"/>
      </iconSet>
    </cfRule>
  </conditionalFormatting>
  <conditionalFormatting sqref="Q431">
    <cfRule type="iconSet" priority="7">
      <iconSet iconSet="3Arrows">
        <cfvo type="percent" val="0"/>
        <cfvo type="percent" val="33"/>
        <cfvo type="percent" val="67"/>
      </iconSet>
    </cfRule>
  </conditionalFormatting>
  <conditionalFormatting sqref="Q390:R397">
    <cfRule type="iconSet" priority="56">
      <iconSet iconSet="3Arrows">
        <cfvo type="percent" val="0"/>
        <cfvo type="percent" val="33"/>
        <cfvo type="percent" val="67"/>
      </iconSet>
    </cfRule>
  </conditionalFormatting>
  <conditionalFormatting sqref="R361:R362">
    <cfRule type="iconSet" priority="16">
      <iconSet iconSet="3Arrows">
        <cfvo type="percent" val="0"/>
        <cfvo type="percent" val="33"/>
        <cfvo type="percent" val="67"/>
      </iconSet>
    </cfRule>
  </conditionalFormatting>
  <conditionalFormatting sqref="R363:R369">
    <cfRule type="iconSet" priority="15">
      <iconSet iconSet="3Arrows">
        <cfvo type="percent" val="0"/>
        <cfvo type="percent" val="33"/>
        <cfvo type="percent" val="67"/>
      </iconSet>
    </cfRule>
  </conditionalFormatting>
  <conditionalFormatting sqref="R371:R372">
    <cfRule type="iconSet" priority="18">
      <iconSet iconSet="3Arrows">
        <cfvo type="percent" val="0"/>
        <cfvo type="percent" val="33"/>
        <cfvo type="percent" val="67"/>
      </iconSet>
    </cfRule>
  </conditionalFormatting>
  <conditionalFormatting sqref="R373:R388">
    <cfRule type="iconSet" priority="52">
      <iconSet iconSet="3Arrows">
        <cfvo type="percent" val="0"/>
        <cfvo type="percent" val="33"/>
        <cfvo type="percent" val="67"/>
      </iconSet>
    </cfRule>
  </conditionalFormatting>
  <conditionalFormatting sqref="R398:R408">
    <cfRule type="iconSet" priority="41">
      <iconSet iconSet="3Arrows">
        <cfvo type="percent" val="0"/>
        <cfvo type="percent" val="33"/>
        <cfvo type="percent" val="67"/>
      </iconSet>
    </cfRule>
  </conditionalFormatting>
  <conditionalFormatting sqref="R410:R411">
    <cfRule type="iconSet" priority="14">
      <iconSet iconSet="3Arrows">
        <cfvo type="percent" val="0"/>
        <cfvo type="percent" val="33"/>
        <cfvo type="percent" val="67"/>
      </iconSet>
    </cfRule>
  </conditionalFormatting>
  <conditionalFormatting sqref="R412:R415">
    <cfRule type="iconSet" priority="45">
      <iconSet iconSet="3Arrows">
        <cfvo type="percent" val="0"/>
        <cfvo type="percent" val="33"/>
        <cfvo type="percent" val="67"/>
      </iconSet>
    </cfRule>
  </conditionalFormatting>
  <conditionalFormatting sqref="R422:R424 Q421:R421 R420">
    <cfRule type="iconSet" priority="23">
      <iconSet iconSet="3Arrows">
        <cfvo type="percent" val="0"/>
        <cfvo type="percent" val="33"/>
        <cfvo type="percent" val="67"/>
      </iconSet>
    </cfRule>
  </conditionalFormatting>
  <conditionalFormatting sqref="R425">
    <cfRule type="iconSet" priority="5">
      <iconSet iconSet="3Arrows">
        <cfvo type="percent" val="0"/>
        <cfvo type="percent" val="33"/>
        <cfvo type="percent" val="67"/>
      </iconSet>
    </cfRule>
  </conditionalFormatting>
  <conditionalFormatting sqref="R427">
    <cfRule type="iconSet" priority="4">
      <iconSet iconSet="3Arrows">
        <cfvo type="percent" val="0"/>
        <cfvo type="percent" val="33"/>
        <cfvo type="percent" val="67"/>
      </iconSet>
    </cfRule>
  </conditionalFormatting>
  <conditionalFormatting sqref="R429">
    <cfRule type="iconSet" priority="6">
      <iconSet iconSet="3Arrows">
        <cfvo type="percent" val="0"/>
        <cfvo type="percent" val="33"/>
        <cfvo type="percent" val="67"/>
      </iconSet>
    </cfRule>
  </conditionalFormatting>
  <conditionalFormatting sqref="R430">
    <cfRule type="iconSet" priority="22">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3" orientation="landscape" r:id="rId1"/>
  <headerFooter alignWithMargins="0">
    <oddFooter>&amp;C&amp;"Times New Roman Cyr,курсив"Сторінка &amp;P з &amp;N</oddFooter>
  </headerFooter>
  <rowBreaks count="2" manualBreakCount="2">
    <brk id="54" max="15" man="1"/>
    <brk id="32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Аркуш4"/>
  <dimension ref="A1:R179"/>
  <sheetViews>
    <sheetView showGridLines="0" view="pageBreakPreview" topLeftCell="B10" zoomScale="85" zoomScaleNormal="85" zoomScaleSheetLayoutView="85" workbookViewId="0">
      <selection activeCell="D39" sqref="D39:P39"/>
    </sheetView>
  </sheetViews>
  <sheetFormatPr defaultColWidth="7.85546875" defaultRowHeight="12.75" x14ac:dyDescent="0.2"/>
  <cols>
    <col min="1" max="1" width="0" style="167" hidden="1" customWidth="1"/>
    <col min="2" max="2" width="13" style="7" customWidth="1"/>
    <col min="3" max="3" width="13.5703125" style="7" customWidth="1"/>
    <col min="4" max="4" width="15.28515625" style="7" customWidth="1"/>
    <col min="5" max="5" width="38.85546875" style="7" customWidth="1"/>
    <col min="6" max="6" width="11.85546875" style="7" bestFit="1" customWidth="1"/>
    <col min="7" max="7" width="13.42578125" style="7" customWidth="1"/>
    <col min="8" max="8" width="13.28515625" style="7" customWidth="1"/>
    <col min="9" max="9" width="13.42578125" style="7" customWidth="1"/>
    <col min="10" max="10" width="12.140625" style="7" customWidth="1"/>
    <col min="11" max="11" width="18.140625" style="7" customWidth="1"/>
    <col min="12" max="12" width="13.5703125" style="7" customWidth="1"/>
    <col min="13" max="13" width="14.7109375" style="7" customWidth="1"/>
    <col min="14" max="14" width="11.42578125" style="7" customWidth="1"/>
    <col min="15" max="15" width="13.7109375" style="7" customWidth="1"/>
    <col min="16" max="16" width="13.42578125" style="7" customWidth="1"/>
    <col min="17" max="17" width="14.28515625" style="7" customWidth="1"/>
    <col min="18" max="18" width="12.5703125" style="7" customWidth="1"/>
    <col min="19" max="16384" width="7.85546875" style="7"/>
  </cols>
  <sheetData>
    <row r="1" spans="1:18" x14ac:dyDescent="0.2">
      <c r="B1" s="453"/>
      <c r="C1" s="453"/>
      <c r="D1" s="453"/>
      <c r="E1" s="453"/>
      <c r="F1" s="453"/>
      <c r="G1" s="453"/>
      <c r="H1" s="453"/>
      <c r="I1" s="453"/>
      <c r="J1" s="453"/>
      <c r="K1" s="453"/>
      <c r="L1" s="453"/>
      <c r="M1" s="453"/>
      <c r="N1" s="453"/>
      <c r="O1" s="453"/>
      <c r="P1" s="453"/>
      <c r="Q1" s="453"/>
    </row>
    <row r="2" spans="1:18" ht="64.5" customHeight="1" x14ac:dyDescent="0.2">
      <c r="B2" s="317"/>
      <c r="C2" s="317"/>
      <c r="D2" s="317"/>
      <c r="E2" s="453"/>
      <c r="F2" s="453"/>
      <c r="G2" s="453"/>
      <c r="H2" s="453"/>
      <c r="I2" s="453"/>
      <c r="J2" s="453"/>
      <c r="K2" s="453"/>
      <c r="L2" s="453"/>
      <c r="M2" s="833" t="s">
        <v>1607</v>
      </c>
      <c r="N2" s="833"/>
      <c r="O2" s="833"/>
      <c r="P2" s="833"/>
      <c r="Q2" s="833"/>
    </row>
    <row r="3" spans="1:18" ht="18.75" x14ac:dyDescent="0.2">
      <c r="B3" s="817"/>
      <c r="C3" s="817"/>
      <c r="D3" s="317"/>
      <c r="E3" s="828" t="s">
        <v>564</v>
      </c>
      <c r="F3" s="828"/>
      <c r="G3" s="828"/>
      <c r="H3" s="828"/>
      <c r="I3" s="828"/>
      <c r="J3" s="828"/>
      <c r="K3" s="828"/>
      <c r="L3" s="828"/>
      <c r="M3" s="828"/>
      <c r="N3" s="454"/>
      <c r="O3" s="454"/>
      <c r="P3" s="454"/>
      <c r="Q3" s="454"/>
    </row>
    <row r="4" spans="1:18" ht="21" customHeight="1" x14ac:dyDescent="0.2">
      <c r="B4" s="455"/>
      <c r="C4" s="428"/>
      <c r="D4" s="456"/>
      <c r="E4" s="828" t="s">
        <v>1546</v>
      </c>
      <c r="F4" s="829"/>
      <c r="G4" s="829"/>
      <c r="H4" s="829"/>
      <c r="I4" s="829"/>
      <c r="J4" s="829"/>
      <c r="K4" s="829"/>
      <c r="L4" s="829"/>
      <c r="M4" s="829"/>
      <c r="N4" s="317"/>
      <c r="O4" s="317"/>
      <c r="P4" s="317"/>
      <c r="Q4" s="457"/>
    </row>
    <row r="5" spans="1:18" ht="12" customHeight="1" x14ac:dyDescent="0.2">
      <c r="B5" s="818">
        <v>2256400000</v>
      </c>
      <c r="C5" s="819"/>
      <c r="D5" s="456"/>
      <c r="E5" s="314"/>
      <c r="F5" s="314"/>
      <c r="G5" s="314"/>
      <c r="H5" s="314"/>
      <c r="I5" s="314"/>
      <c r="J5" s="314"/>
      <c r="K5" s="314"/>
      <c r="L5" s="314"/>
      <c r="M5" s="314"/>
      <c r="N5" s="317"/>
      <c r="O5" s="317"/>
      <c r="P5" s="317"/>
      <c r="Q5" s="457"/>
    </row>
    <row r="6" spans="1:18" ht="12" customHeight="1" x14ac:dyDescent="0.2">
      <c r="B6" s="820" t="s">
        <v>485</v>
      </c>
      <c r="C6" s="821"/>
      <c r="D6" s="456"/>
      <c r="E6" s="314"/>
      <c r="F6" s="314"/>
      <c r="G6" s="314"/>
      <c r="H6" s="314"/>
      <c r="I6" s="314"/>
      <c r="J6" s="314"/>
      <c r="K6" s="314"/>
      <c r="L6" s="314"/>
      <c r="M6" s="314"/>
      <c r="N6" s="317"/>
      <c r="O6" s="317"/>
      <c r="P6" s="317"/>
      <c r="Q6" s="457"/>
    </row>
    <row r="7" spans="1:18" ht="21" customHeight="1" thickBot="1" x14ac:dyDescent="0.35">
      <c r="B7" s="458"/>
      <c r="C7" s="458"/>
      <c r="D7" s="456"/>
      <c r="E7" s="314"/>
      <c r="F7" s="314"/>
      <c r="G7" s="314"/>
      <c r="H7" s="314"/>
      <c r="I7" s="314"/>
      <c r="J7" s="314"/>
      <c r="K7" s="314"/>
      <c r="L7" s="314"/>
      <c r="M7" s="314"/>
      <c r="N7" s="317"/>
      <c r="O7" s="317"/>
      <c r="P7" s="317"/>
      <c r="Q7" s="459" t="s">
        <v>400</v>
      </c>
    </row>
    <row r="8" spans="1:18" ht="17.45" customHeight="1" thickTop="1" thickBot="1" x14ac:dyDescent="0.25">
      <c r="A8" s="168"/>
      <c r="B8" s="824" t="s">
        <v>486</v>
      </c>
      <c r="C8" s="825" t="s">
        <v>487</v>
      </c>
      <c r="D8" s="825" t="s">
        <v>386</v>
      </c>
      <c r="E8" s="825" t="s">
        <v>566</v>
      </c>
      <c r="F8" s="824" t="s">
        <v>124</v>
      </c>
      <c r="G8" s="824"/>
      <c r="H8" s="824"/>
      <c r="I8" s="824"/>
      <c r="J8" s="824" t="s">
        <v>125</v>
      </c>
      <c r="K8" s="824"/>
      <c r="L8" s="824"/>
      <c r="M8" s="824"/>
      <c r="N8" s="824" t="s">
        <v>385</v>
      </c>
      <c r="O8" s="824"/>
      <c r="P8" s="824"/>
      <c r="Q8" s="824"/>
    </row>
    <row r="9" spans="1:18" ht="28.5" customHeight="1" thickTop="1" thickBot="1" x14ac:dyDescent="0.25">
      <c r="A9" s="169"/>
      <c r="B9" s="824"/>
      <c r="C9" s="802"/>
      <c r="D9" s="802"/>
      <c r="E9" s="826"/>
      <c r="F9" s="827" t="s">
        <v>382</v>
      </c>
      <c r="G9" s="827" t="s">
        <v>383</v>
      </c>
      <c r="H9" s="831"/>
      <c r="I9" s="827" t="s">
        <v>384</v>
      </c>
      <c r="J9" s="827" t="s">
        <v>382</v>
      </c>
      <c r="K9" s="827" t="s">
        <v>383</v>
      </c>
      <c r="L9" s="831"/>
      <c r="M9" s="827" t="s">
        <v>384</v>
      </c>
      <c r="N9" s="827" t="s">
        <v>382</v>
      </c>
      <c r="O9" s="827" t="s">
        <v>383</v>
      </c>
      <c r="P9" s="831"/>
      <c r="Q9" s="827" t="s">
        <v>384</v>
      </c>
    </row>
    <row r="10" spans="1:18" ht="65.25" customHeight="1" thickTop="1" thickBot="1" x14ac:dyDescent="0.25">
      <c r="A10" s="7"/>
      <c r="B10" s="824"/>
      <c r="C10" s="802"/>
      <c r="D10" s="802"/>
      <c r="E10" s="802"/>
      <c r="F10" s="827"/>
      <c r="G10" s="460" t="s">
        <v>380</v>
      </c>
      <c r="H10" s="460" t="s">
        <v>381</v>
      </c>
      <c r="I10" s="827"/>
      <c r="J10" s="827"/>
      <c r="K10" s="460" t="s">
        <v>380</v>
      </c>
      <c r="L10" s="460" t="s">
        <v>381</v>
      </c>
      <c r="M10" s="827"/>
      <c r="N10" s="827"/>
      <c r="O10" s="460" t="s">
        <v>380</v>
      </c>
      <c r="P10" s="460" t="s">
        <v>381</v>
      </c>
      <c r="Q10" s="827"/>
    </row>
    <row r="11" spans="1:18" ht="15" customHeight="1" thickTop="1" thickBot="1" x14ac:dyDescent="0.25">
      <c r="A11" s="7"/>
      <c r="B11" s="461">
        <v>1</v>
      </c>
      <c r="C11" s="462">
        <v>2</v>
      </c>
      <c r="D11" s="461">
        <v>3</v>
      </c>
      <c r="E11" s="462">
        <v>4</v>
      </c>
      <c r="F11" s="461">
        <v>5</v>
      </c>
      <c r="G11" s="462">
        <v>6</v>
      </c>
      <c r="H11" s="461">
        <v>7</v>
      </c>
      <c r="I11" s="462">
        <v>8</v>
      </c>
      <c r="J11" s="461">
        <v>9</v>
      </c>
      <c r="K11" s="462">
        <v>10</v>
      </c>
      <c r="L11" s="461">
        <v>11</v>
      </c>
      <c r="M11" s="462">
        <v>12</v>
      </c>
      <c r="N11" s="461">
        <v>13</v>
      </c>
      <c r="O11" s="462">
        <v>14</v>
      </c>
      <c r="P11" s="461">
        <v>15</v>
      </c>
      <c r="Q11" s="462">
        <v>16</v>
      </c>
    </row>
    <row r="12" spans="1:18" s="171" customFormat="1" ht="46.5" hidden="1" thickTop="1" thickBot="1" x14ac:dyDescent="0.25">
      <c r="A12" s="170"/>
      <c r="B12" s="375" t="s">
        <v>22</v>
      </c>
      <c r="C12" s="375"/>
      <c r="D12" s="375"/>
      <c r="E12" s="376" t="s">
        <v>23</v>
      </c>
      <c r="F12" s="377">
        <f>F13</f>
        <v>0</v>
      </c>
      <c r="G12" s="377">
        <f t="shared" ref="G12:Q12" si="0">G13</f>
        <v>0</v>
      </c>
      <c r="H12" s="377">
        <f t="shared" si="0"/>
        <v>0</v>
      </c>
      <c r="I12" s="378">
        <f>I13</f>
        <v>0</v>
      </c>
      <c r="J12" s="377">
        <f t="shared" si="0"/>
        <v>0</v>
      </c>
      <c r="K12" s="377">
        <f t="shared" si="0"/>
        <v>0</v>
      </c>
      <c r="L12" s="377">
        <f t="shared" si="0"/>
        <v>0</v>
      </c>
      <c r="M12" s="378">
        <f>M13</f>
        <v>0</v>
      </c>
      <c r="N12" s="377">
        <f t="shared" si="0"/>
        <v>0</v>
      </c>
      <c r="O12" s="377">
        <f t="shared" si="0"/>
        <v>0</v>
      </c>
      <c r="P12" s="377">
        <f t="shared" si="0"/>
        <v>0</v>
      </c>
      <c r="Q12" s="378">
        <f t="shared" si="0"/>
        <v>0</v>
      </c>
      <c r="R12" s="8"/>
    </row>
    <row r="13" spans="1:18" ht="44.25" hidden="1" thickTop="1" thickBot="1" x14ac:dyDescent="0.25">
      <c r="B13" s="379" t="s">
        <v>21</v>
      </c>
      <c r="C13" s="379"/>
      <c r="D13" s="379"/>
      <c r="E13" s="380" t="s">
        <v>35</v>
      </c>
      <c r="F13" s="381">
        <f t="shared" ref="F13:Q13" si="1">F18+F17+F19</f>
        <v>0</v>
      </c>
      <c r="G13" s="381">
        <f t="shared" si="1"/>
        <v>0</v>
      </c>
      <c r="H13" s="381">
        <f t="shared" si="1"/>
        <v>0</v>
      </c>
      <c r="I13" s="381">
        <f t="shared" si="1"/>
        <v>0</v>
      </c>
      <c r="J13" s="381">
        <f t="shared" si="1"/>
        <v>0</v>
      </c>
      <c r="K13" s="381">
        <f t="shared" si="1"/>
        <v>0</v>
      </c>
      <c r="L13" s="381">
        <f t="shared" si="1"/>
        <v>0</v>
      </c>
      <c r="M13" s="381">
        <f t="shared" si="1"/>
        <v>0</v>
      </c>
      <c r="N13" s="382">
        <f t="shared" si="1"/>
        <v>0</v>
      </c>
      <c r="O13" s="382">
        <f t="shared" si="1"/>
        <v>0</v>
      </c>
      <c r="P13" s="382">
        <f t="shared" si="1"/>
        <v>0</v>
      </c>
      <c r="Q13" s="381">
        <f t="shared" si="1"/>
        <v>0</v>
      </c>
    </row>
    <row r="14" spans="1:18" ht="15.75" hidden="1" thickTop="1" thickBot="1" x14ac:dyDescent="0.25">
      <c r="B14" s="383" t="s">
        <v>834</v>
      </c>
      <c r="C14" s="383" t="s">
        <v>684</v>
      </c>
      <c r="D14" s="383"/>
      <c r="E14" s="384" t="s">
        <v>835</v>
      </c>
      <c r="F14" s="385">
        <f>F15</f>
        <v>0</v>
      </c>
      <c r="G14" s="385">
        <f t="shared" ref="G14:Q15" si="2">G15</f>
        <v>0</v>
      </c>
      <c r="H14" s="385">
        <f t="shared" si="2"/>
        <v>0</v>
      </c>
      <c r="I14" s="385">
        <f t="shared" si="2"/>
        <v>0</v>
      </c>
      <c r="J14" s="385">
        <f t="shared" si="2"/>
        <v>0</v>
      </c>
      <c r="K14" s="385">
        <f t="shared" si="2"/>
        <v>0</v>
      </c>
      <c r="L14" s="385">
        <f t="shared" si="2"/>
        <v>0</v>
      </c>
      <c r="M14" s="385">
        <f t="shared" si="2"/>
        <v>0</v>
      </c>
      <c r="N14" s="385">
        <f t="shared" si="2"/>
        <v>0</v>
      </c>
      <c r="O14" s="385">
        <f t="shared" si="2"/>
        <v>0</v>
      </c>
      <c r="P14" s="385">
        <f t="shared" si="2"/>
        <v>0</v>
      </c>
      <c r="Q14" s="385">
        <f t="shared" si="2"/>
        <v>0</v>
      </c>
    </row>
    <row r="15" spans="1:18" ht="16.5" hidden="1" thickTop="1" thickBot="1" x14ac:dyDescent="0.25">
      <c r="B15" s="386" t="s">
        <v>836</v>
      </c>
      <c r="C15" s="386" t="s">
        <v>837</v>
      </c>
      <c r="D15" s="386"/>
      <c r="E15" s="387" t="s">
        <v>838</v>
      </c>
      <c r="F15" s="388">
        <f>F16</f>
        <v>0</v>
      </c>
      <c r="G15" s="388">
        <f t="shared" si="2"/>
        <v>0</v>
      </c>
      <c r="H15" s="388">
        <f t="shared" si="2"/>
        <v>0</v>
      </c>
      <c r="I15" s="388">
        <f t="shared" si="2"/>
        <v>0</v>
      </c>
      <c r="J15" s="388">
        <f t="shared" si="2"/>
        <v>0</v>
      </c>
      <c r="K15" s="388">
        <f t="shared" si="2"/>
        <v>0</v>
      </c>
      <c r="L15" s="388">
        <f t="shared" si="2"/>
        <v>0</v>
      </c>
      <c r="M15" s="388">
        <f t="shared" si="2"/>
        <v>0</v>
      </c>
      <c r="N15" s="388">
        <f t="shared" si="2"/>
        <v>0</v>
      </c>
      <c r="O15" s="388">
        <f t="shared" si="2"/>
        <v>0</v>
      </c>
      <c r="P15" s="388">
        <f t="shared" si="2"/>
        <v>0</v>
      </c>
      <c r="Q15" s="388">
        <f t="shared" si="2"/>
        <v>0</v>
      </c>
    </row>
    <row r="16" spans="1:18" ht="76.5" hidden="1" thickTop="1" thickBot="1" x14ac:dyDescent="0.25">
      <c r="B16" s="389" t="s">
        <v>839</v>
      </c>
      <c r="C16" s="390" t="s">
        <v>840</v>
      </c>
      <c r="D16" s="390"/>
      <c r="E16" s="391" t="s">
        <v>860</v>
      </c>
      <c r="F16" s="392">
        <f>SUM(F17:F18)</f>
        <v>0</v>
      </c>
      <c r="G16" s="392">
        <f t="shared" ref="G16:Q16" si="3">SUM(G17:G18)</f>
        <v>0</v>
      </c>
      <c r="H16" s="392">
        <f t="shared" si="3"/>
        <v>0</v>
      </c>
      <c r="I16" s="392">
        <f t="shared" si="3"/>
        <v>0</v>
      </c>
      <c r="J16" s="392">
        <f t="shared" si="3"/>
        <v>0</v>
      </c>
      <c r="K16" s="392">
        <f t="shared" si="3"/>
        <v>0</v>
      </c>
      <c r="L16" s="392">
        <f t="shared" si="3"/>
        <v>0</v>
      </c>
      <c r="M16" s="392">
        <f t="shared" si="3"/>
        <v>0</v>
      </c>
      <c r="N16" s="392">
        <f t="shared" si="3"/>
        <v>0</v>
      </c>
      <c r="O16" s="392">
        <f t="shared" si="3"/>
        <v>0</v>
      </c>
      <c r="P16" s="392">
        <f t="shared" si="3"/>
        <v>0</v>
      </c>
      <c r="Q16" s="392">
        <f t="shared" si="3"/>
        <v>0</v>
      </c>
    </row>
    <row r="17" spans="2:18" ht="76.5" hidden="1" thickTop="1" thickBot="1" x14ac:dyDescent="0.25">
      <c r="B17" s="389" t="s">
        <v>452</v>
      </c>
      <c r="C17" s="389" t="s">
        <v>454</v>
      </c>
      <c r="D17" s="389" t="s">
        <v>50</v>
      </c>
      <c r="E17" s="393" t="s">
        <v>862</v>
      </c>
      <c r="F17" s="394">
        <v>0</v>
      </c>
      <c r="G17" s="394">
        <v>0</v>
      </c>
      <c r="H17" s="394">
        <v>0</v>
      </c>
      <c r="I17" s="394">
        <f>F17+G17</f>
        <v>0</v>
      </c>
      <c r="J17" s="394">
        <v>0</v>
      </c>
      <c r="K17" s="394">
        <v>0</v>
      </c>
      <c r="L17" s="394"/>
      <c r="M17" s="394">
        <f>J17+K17</f>
        <v>0</v>
      </c>
      <c r="N17" s="394">
        <f>F17+J17</f>
        <v>0</v>
      </c>
      <c r="O17" s="394">
        <f>G17+K17</f>
        <v>0</v>
      </c>
      <c r="P17" s="394"/>
      <c r="Q17" s="394">
        <f>I17+M17</f>
        <v>0</v>
      </c>
    </row>
    <row r="18" spans="2:18" ht="76.5" hidden="1" thickTop="1" thickBot="1" x14ac:dyDescent="0.25">
      <c r="B18" s="389" t="s">
        <v>453</v>
      </c>
      <c r="C18" s="389" t="s">
        <v>455</v>
      </c>
      <c r="D18" s="389" t="s">
        <v>50</v>
      </c>
      <c r="E18" s="393" t="s">
        <v>861</v>
      </c>
      <c r="F18" s="394"/>
      <c r="G18" s="394">
        <f>H18+I18</f>
        <v>0</v>
      </c>
      <c r="H18" s="394"/>
      <c r="I18" s="394"/>
      <c r="J18" s="394"/>
      <c r="K18" s="394">
        <v>0</v>
      </c>
      <c r="L18" s="394"/>
      <c r="M18" s="394">
        <f>J18+K18</f>
        <v>0</v>
      </c>
      <c r="N18" s="394">
        <f>F18+J18</f>
        <v>0</v>
      </c>
      <c r="O18" s="394">
        <f>G18+K18</f>
        <v>0</v>
      </c>
      <c r="P18" s="394"/>
      <c r="Q18" s="394">
        <f>I18+M18</f>
        <v>0</v>
      </c>
    </row>
    <row r="19" spans="2:18" ht="61.5" hidden="1" thickTop="1" thickBot="1" x14ac:dyDescent="0.25">
      <c r="B19" s="389" t="s">
        <v>498</v>
      </c>
      <c r="C19" s="389" t="s">
        <v>499</v>
      </c>
      <c r="D19" s="389" t="s">
        <v>50</v>
      </c>
      <c r="E19" s="393" t="s">
        <v>497</v>
      </c>
      <c r="F19" s="394"/>
      <c r="G19" s="394"/>
      <c r="H19" s="394"/>
      <c r="I19" s="394"/>
      <c r="J19" s="394"/>
      <c r="K19" s="394"/>
      <c r="L19" s="394"/>
      <c r="M19" s="394">
        <f>J19+K19</f>
        <v>0</v>
      </c>
      <c r="N19" s="394"/>
      <c r="O19" s="394">
        <f>G19+K19</f>
        <v>0</v>
      </c>
      <c r="P19" s="394"/>
      <c r="Q19" s="394">
        <f>I19+M19</f>
        <v>0</v>
      </c>
    </row>
    <row r="20" spans="2:18" ht="50.1" customHeight="1" thickTop="1" thickBot="1" x14ac:dyDescent="0.25">
      <c r="B20" s="576" t="s">
        <v>167</v>
      </c>
      <c r="C20" s="576"/>
      <c r="D20" s="576"/>
      <c r="E20" s="577" t="s">
        <v>27</v>
      </c>
      <c r="F20" s="578">
        <f>F21</f>
        <v>0</v>
      </c>
      <c r="G20" s="578">
        <f t="shared" ref="G20:Q21" si="4">G21</f>
        <v>27876237.5</v>
      </c>
      <c r="H20" s="578">
        <f t="shared" si="4"/>
        <v>27876237.5</v>
      </c>
      <c r="I20" s="579">
        <f>I21</f>
        <v>27876237.5</v>
      </c>
      <c r="J20" s="578">
        <f t="shared" si="4"/>
        <v>0</v>
      </c>
      <c r="K20" s="578">
        <f t="shared" si="4"/>
        <v>-27876237.5</v>
      </c>
      <c r="L20" s="578">
        <f t="shared" si="4"/>
        <v>-27876237.5</v>
      </c>
      <c r="M20" s="579">
        <f>M21</f>
        <v>-27876237.5</v>
      </c>
      <c r="N20" s="578">
        <f t="shared" si="4"/>
        <v>0</v>
      </c>
      <c r="O20" s="578">
        <f t="shared" si="4"/>
        <v>0</v>
      </c>
      <c r="P20" s="578">
        <f t="shared" si="4"/>
        <v>0</v>
      </c>
      <c r="Q20" s="579">
        <f t="shared" si="4"/>
        <v>0</v>
      </c>
    </row>
    <row r="21" spans="2:18" ht="50.1" customHeight="1" thickTop="1" thickBot="1" x14ac:dyDescent="0.25">
      <c r="B21" s="580" t="s">
        <v>168</v>
      </c>
      <c r="C21" s="580"/>
      <c r="D21" s="580"/>
      <c r="E21" s="581" t="s">
        <v>40</v>
      </c>
      <c r="F21" s="582">
        <f>F22</f>
        <v>0</v>
      </c>
      <c r="G21" s="582">
        <f t="shared" si="4"/>
        <v>27876237.5</v>
      </c>
      <c r="H21" s="582">
        <f t="shared" si="4"/>
        <v>27876237.5</v>
      </c>
      <c r="I21" s="582">
        <f t="shared" si="4"/>
        <v>27876237.5</v>
      </c>
      <c r="J21" s="582">
        <f>J22</f>
        <v>0</v>
      </c>
      <c r="K21" s="582">
        <f>K22</f>
        <v>-27876237.5</v>
      </c>
      <c r="L21" s="582">
        <f t="shared" si="4"/>
        <v>-27876237.5</v>
      </c>
      <c r="M21" s="582">
        <f t="shared" si="4"/>
        <v>-27876237.5</v>
      </c>
      <c r="N21" s="582">
        <f t="shared" si="4"/>
        <v>0</v>
      </c>
      <c r="O21" s="582">
        <f t="shared" si="4"/>
        <v>0</v>
      </c>
      <c r="P21" s="582">
        <f t="shared" si="4"/>
        <v>0</v>
      </c>
      <c r="Q21" s="582">
        <f t="shared" si="4"/>
        <v>0</v>
      </c>
    </row>
    <row r="22" spans="2:18" ht="15.75" thickTop="1" thickBot="1" x14ac:dyDescent="0.25">
      <c r="B22" s="645" t="s">
        <v>829</v>
      </c>
      <c r="C22" s="645" t="s">
        <v>684</v>
      </c>
      <c r="D22" s="645"/>
      <c r="E22" s="646" t="s">
        <v>835</v>
      </c>
      <c r="F22" s="647">
        <f>F23</f>
        <v>0</v>
      </c>
      <c r="G22" s="647">
        <f t="shared" ref="G22:Q23" si="5">G23</f>
        <v>27876237.5</v>
      </c>
      <c r="H22" s="647">
        <f t="shared" si="5"/>
        <v>27876237.5</v>
      </c>
      <c r="I22" s="647">
        <f t="shared" si="5"/>
        <v>27876237.5</v>
      </c>
      <c r="J22" s="647">
        <f t="shared" si="5"/>
        <v>0</v>
      </c>
      <c r="K22" s="647">
        <f t="shared" si="5"/>
        <v>-27876237.5</v>
      </c>
      <c r="L22" s="647">
        <f t="shared" si="5"/>
        <v>-27876237.5</v>
      </c>
      <c r="M22" s="647">
        <f t="shared" si="5"/>
        <v>-27876237.5</v>
      </c>
      <c r="N22" s="647">
        <f t="shared" si="5"/>
        <v>0</v>
      </c>
      <c r="O22" s="647">
        <f t="shared" si="5"/>
        <v>0</v>
      </c>
      <c r="P22" s="647">
        <f t="shared" si="5"/>
        <v>0</v>
      </c>
      <c r="Q22" s="647">
        <f t="shared" si="5"/>
        <v>0</v>
      </c>
    </row>
    <row r="23" spans="2:18" ht="16.5" thickTop="1" thickBot="1" x14ac:dyDescent="0.25">
      <c r="B23" s="648" t="s">
        <v>1307</v>
      </c>
      <c r="C23" s="648" t="s">
        <v>837</v>
      </c>
      <c r="D23" s="648"/>
      <c r="E23" s="649" t="s">
        <v>838</v>
      </c>
      <c r="F23" s="650">
        <f>F24</f>
        <v>0</v>
      </c>
      <c r="G23" s="650">
        <f>G24</f>
        <v>27876237.5</v>
      </c>
      <c r="H23" s="650">
        <f t="shared" si="5"/>
        <v>27876237.5</v>
      </c>
      <c r="I23" s="650">
        <f t="shared" si="5"/>
        <v>27876237.5</v>
      </c>
      <c r="J23" s="650">
        <f t="shared" si="5"/>
        <v>0</v>
      </c>
      <c r="K23" s="650">
        <f t="shared" si="5"/>
        <v>-27876237.5</v>
      </c>
      <c r="L23" s="650">
        <f t="shared" si="5"/>
        <v>-27876237.5</v>
      </c>
      <c r="M23" s="650">
        <f t="shared" si="5"/>
        <v>-27876237.5</v>
      </c>
      <c r="N23" s="650">
        <f t="shared" si="5"/>
        <v>0</v>
      </c>
      <c r="O23" s="650">
        <f t="shared" si="5"/>
        <v>0</v>
      </c>
      <c r="P23" s="650">
        <f t="shared" si="5"/>
        <v>0</v>
      </c>
      <c r="Q23" s="650">
        <f t="shared" si="5"/>
        <v>0</v>
      </c>
    </row>
    <row r="24" spans="2:18" ht="46.5" thickTop="1" thickBot="1" x14ac:dyDescent="0.25">
      <c r="B24" s="651" t="s">
        <v>1308</v>
      </c>
      <c r="C24" s="652" t="s">
        <v>1454</v>
      </c>
      <c r="D24" s="652"/>
      <c r="E24" s="653" t="s">
        <v>1115</v>
      </c>
      <c r="F24" s="654">
        <f t="shared" ref="F24:L24" si="6">F25+F27</f>
        <v>0</v>
      </c>
      <c r="G24" s="654">
        <f t="shared" si="6"/>
        <v>27876237.5</v>
      </c>
      <c r="H24" s="654">
        <f t="shared" si="6"/>
        <v>27876237.5</v>
      </c>
      <c r="I24" s="654">
        <f t="shared" si="6"/>
        <v>27876237.5</v>
      </c>
      <c r="J24" s="654">
        <f t="shared" si="6"/>
        <v>0</v>
      </c>
      <c r="K24" s="654">
        <f t="shared" si="6"/>
        <v>-27876237.5</v>
      </c>
      <c r="L24" s="654">
        <f t="shared" si="6"/>
        <v>-27876237.5</v>
      </c>
      <c r="M24" s="654">
        <f t="shared" ref="M24:M26" si="7">J24+K24</f>
        <v>-27876237.5</v>
      </c>
      <c r="N24" s="654">
        <f t="shared" ref="N24:N26" si="8">F24+J24</f>
        <v>0</v>
      </c>
      <c r="O24" s="654">
        <f t="shared" ref="O24:O26" si="9">G24+K24</f>
        <v>0</v>
      </c>
      <c r="P24" s="654">
        <f>P25+P27</f>
        <v>0</v>
      </c>
      <c r="Q24" s="654">
        <f>Q25+Q27</f>
        <v>0</v>
      </c>
    </row>
    <row r="25" spans="2:18" ht="61.5" thickTop="1" thickBot="1" x14ac:dyDescent="0.25">
      <c r="B25" s="651" t="s">
        <v>1309</v>
      </c>
      <c r="C25" s="651" t="s">
        <v>1310</v>
      </c>
      <c r="D25" s="651" t="s">
        <v>169</v>
      </c>
      <c r="E25" s="316" t="s">
        <v>1116</v>
      </c>
      <c r="F25" s="655">
        <f>F26</f>
        <v>0</v>
      </c>
      <c r="G25" s="655">
        <f>G26</f>
        <v>27876237.5</v>
      </c>
      <c r="H25" s="655">
        <f t="shared" ref="H25:P25" si="10">H26</f>
        <v>27876237.5</v>
      </c>
      <c r="I25" s="655">
        <f>I26</f>
        <v>27876237.5</v>
      </c>
      <c r="J25" s="655">
        <f t="shared" si="10"/>
        <v>0</v>
      </c>
      <c r="K25" s="655">
        <f t="shared" si="10"/>
        <v>0</v>
      </c>
      <c r="L25" s="655">
        <f t="shared" si="10"/>
        <v>0</v>
      </c>
      <c r="M25" s="655">
        <f t="shared" si="7"/>
        <v>0</v>
      </c>
      <c r="N25" s="655">
        <f t="shared" si="8"/>
        <v>0</v>
      </c>
      <c r="O25" s="655">
        <f t="shared" si="9"/>
        <v>27876237.5</v>
      </c>
      <c r="P25" s="655">
        <f t="shared" si="10"/>
        <v>27876237.5</v>
      </c>
      <c r="Q25" s="655">
        <f t="shared" ref="Q25:Q26" si="11">I25+M25</f>
        <v>27876237.5</v>
      </c>
    </row>
    <row r="26" spans="2:18" ht="31.5" thickTop="1" thickBot="1" x14ac:dyDescent="0.25">
      <c r="B26" s="651" t="s">
        <v>1314</v>
      </c>
      <c r="C26" s="651"/>
      <c r="D26" s="651"/>
      <c r="E26" s="316" t="s">
        <v>1315</v>
      </c>
      <c r="F26" s="655">
        <v>0</v>
      </c>
      <c r="G26" s="655">
        <f>68876237.5-30500000-10500000</f>
        <v>27876237.5</v>
      </c>
      <c r="H26" s="655">
        <f>(68876237.5)-30500000-10500000</f>
        <v>27876237.5</v>
      </c>
      <c r="I26" s="655">
        <f>F26+G26</f>
        <v>27876237.5</v>
      </c>
      <c r="J26" s="655">
        <v>0</v>
      </c>
      <c r="K26" s="655">
        <v>0</v>
      </c>
      <c r="L26" s="655">
        <v>0</v>
      </c>
      <c r="M26" s="655">
        <f t="shared" si="7"/>
        <v>0</v>
      </c>
      <c r="N26" s="655">
        <f t="shared" si="8"/>
        <v>0</v>
      </c>
      <c r="O26" s="655">
        <f t="shared" si="9"/>
        <v>27876237.5</v>
      </c>
      <c r="P26" s="655">
        <f>H26+L26</f>
        <v>27876237.5</v>
      </c>
      <c r="Q26" s="655">
        <f t="shared" si="11"/>
        <v>27876237.5</v>
      </c>
    </row>
    <row r="27" spans="2:18" ht="61.5" thickTop="1" thickBot="1" x14ac:dyDescent="0.25">
      <c r="B27" s="651" t="s">
        <v>1311</v>
      </c>
      <c r="C27" s="651" t="s">
        <v>1312</v>
      </c>
      <c r="D27" s="651" t="s">
        <v>169</v>
      </c>
      <c r="E27" s="316" t="s">
        <v>1313</v>
      </c>
      <c r="F27" s="655">
        <f>F28</f>
        <v>0</v>
      </c>
      <c r="G27" s="655">
        <f t="shared" ref="G27:Q27" si="12">G28</f>
        <v>0</v>
      </c>
      <c r="H27" s="655">
        <f t="shared" si="12"/>
        <v>0</v>
      </c>
      <c r="I27" s="655">
        <f t="shared" si="12"/>
        <v>0</v>
      </c>
      <c r="J27" s="655">
        <f t="shared" si="12"/>
        <v>0</v>
      </c>
      <c r="K27" s="655">
        <f t="shared" si="12"/>
        <v>-27876237.5</v>
      </c>
      <c r="L27" s="655">
        <f t="shared" si="12"/>
        <v>-27876237.5</v>
      </c>
      <c r="M27" s="655">
        <f t="shared" si="12"/>
        <v>-27876237.5</v>
      </c>
      <c r="N27" s="655">
        <f t="shared" si="12"/>
        <v>0</v>
      </c>
      <c r="O27" s="655">
        <f t="shared" si="12"/>
        <v>-27876237.5</v>
      </c>
      <c r="P27" s="655">
        <f t="shared" si="12"/>
        <v>-27876237.5</v>
      </c>
      <c r="Q27" s="655">
        <f t="shared" si="12"/>
        <v>-27876237.5</v>
      </c>
    </row>
    <row r="28" spans="2:18" ht="31.5" thickTop="1" thickBot="1" x14ac:dyDescent="0.25">
      <c r="B28" s="651" t="s">
        <v>1473</v>
      </c>
      <c r="C28" s="651"/>
      <c r="D28" s="651"/>
      <c r="E28" s="316" t="s">
        <v>1474</v>
      </c>
      <c r="F28" s="655">
        <v>0</v>
      </c>
      <c r="G28" s="655">
        <v>0</v>
      </c>
      <c r="H28" s="655">
        <v>0</v>
      </c>
      <c r="I28" s="655">
        <v>0</v>
      </c>
      <c r="J28" s="655">
        <v>0</v>
      </c>
      <c r="K28" s="655">
        <f>(-68876237.5)-(-30500000-10500000)</f>
        <v>-27876237.5</v>
      </c>
      <c r="L28" s="655">
        <f>(-68876237.5)-(-30500000-10500000)</f>
        <v>-27876237.5</v>
      </c>
      <c r="M28" s="655">
        <f t="shared" ref="M28" si="13">J28+K28</f>
        <v>-27876237.5</v>
      </c>
      <c r="N28" s="655">
        <f t="shared" ref="N28" si="14">F28+J28</f>
        <v>0</v>
      </c>
      <c r="O28" s="655">
        <f t="shared" ref="O28" si="15">G28+K28</f>
        <v>-27876237.5</v>
      </c>
      <c r="P28" s="655">
        <f>H28+L28</f>
        <v>-27876237.5</v>
      </c>
      <c r="Q28" s="655">
        <f t="shared" ref="Q28" si="16">I28+M28</f>
        <v>-27876237.5</v>
      </c>
    </row>
    <row r="29" spans="2:18" ht="27.75" customHeight="1" thickTop="1" thickBot="1" x14ac:dyDescent="0.25">
      <c r="B29" s="574" t="s">
        <v>377</v>
      </c>
      <c r="C29" s="574" t="s">
        <v>377</v>
      </c>
      <c r="D29" s="574" t="s">
        <v>377</v>
      </c>
      <c r="E29" s="574" t="s">
        <v>387</v>
      </c>
      <c r="F29" s="575">
        <f t="shared" ref="F29:Q29" si="17">F12+F20</f>
        <v>0</v>
      </c>
      <c r="G29" s="575">
        <f t="shared" si="17"/>
        <v>27876237.5</v>
      </c>
      <c r="H29" s="575">
        <f t="shared" si="17"/>
        <v>27876237.5</v>
      </c>
      <c r="I29" s="575">
        <f t="shared" si="17"/>
        <v>27876237.5</v>
      </c>
      <c r="J29" s="575">
        <f t="shared" si="17"/>
        <v>0</v>
      </c>
      <c r="K29" s="575">
        <f t="shared" si="17"/>
        <v>-27876237.5</v>
      </c>
      <c r="L29" s="575">
        <f t="shared" si="17"/>
        <v>-27876237.5</v>
      </c>
      <c r="M29" s="575">
        <f t="shared" si="17"/>
        <v>-27876237.5</v>
      </c>
      <c r="N29" s="575">
        <f>N12+N20</f>
        <v>0</v>
      </c>
      <c r="O29" s="575">
        <f t="shared" si="17"/>
        <v>0</v>
      </c>
      <c r="P29" s="575">
        <f t="shared" si="17"/>
        <v>0</v>
      </c>
      <c r="Q29" s="575">
        <f t="shared" si="17"/>
        <v>0</v>
      </c>
      <c r="R29" s="528" t="b">
        <f>Q29=N29+O29</f>
        <v>1</v>
      </c>
    </row>
    <row r="30" spans="2:18" ht="16.5" customHeight="1" thickTop="1" x14ac:dyDescent="0.2">
      <c r="B30" s="395"/>
      <c r="C30" s="395"/>
      <c r="D30" s="395"/>
      <c r="E30" s="396"/>
      <c r="F30" s="397"/>
      <c r="G30" s="397"/>
      <c r="H30" s="397"/>
      <c r="I30" s="397"/>
      <c r="J30" s="397"/>
      <c r="K30" s="397"/>
      <c r="L30" s="397"/>
      <c r="M30" s="397"/>
      <c r="N30" s="397"/>
      <c r="O30" s="397"/>
      <c r="P30" s="397"/>
      <c r="Q30" s="397"/>
    </row>
    <row r="31" spans="2:18" ht="15" hidden="1" x14ac:dyDescent="0.25">
      <c r="B31" s="395"/>
      <c r="C31" s="395"/>
      <c r="D31" s="830" t="s">
        <v>1649</v>
      </c>
      <c r="E31" s="743"/>
      <c r="F31" s="320"/>
      <c r="G31" s="321"/>
      <c r="H31" s="319"/>
      <c r="I31" s="321"/>
      <c r="J31" s="319"/>
      <c r="K31" s="321" t="s">
        <v>1650</v>
      </c>
      <c r="L31" s="321"/>
      <c r="M31" s="321"/>
      <c r="N31" s="321"/>
      <c r="O31" s="321"/>
      <c r="P31" s="321"/>
      <c r="Q31" s="397"/>
    </row>
    <row r="32" spans="2:18" ht="15" hidden="1" x14ac:dyDescent="0.25">
      <c r="B32" s="395"/>
      <c r="C32" s="395"/>
      <c r="D32" s="319" t="s">
        <v>1376</v>
      </c>
      <c r="E32" s="320"/>
      <c r="F32" s="320"/>
      <c r="G32" s="321"/>
      <c r="H32" s="319"/>
      <c r="I32" s="321"/>
      <c r="J32" s="319"/>
      <c r="K32" s="319" t="s">
        <v>1377</v>
      </c>
      <c r="L32" s="321"/>
      <c r="M32" s="321"/>
      <c r="N32" s="321"/>
      <c r="O32" s="321"/>
      <c r="P32" s="321"/>
      <c r="Q32" s="397"/>
    </row>
    <row r="33" spans="2:17" ht="38.25" customHeight="1" x14ac:dyDescent="0.25">
      <c r="B33" s="395"/>
      <c r="C33" s="395"/>
      <c r="D33" s="953" t="s">
        <v>1751</v>
      </c>
      <c r="E33" s="953"/>
      <c r="F33" s="320"/>
      <c r="G33" s="321"/>
      <c r="H33" s="319"/>
      <c r="I33" s="321"/>
      <c r="J33" s="319"/>
      <c r="K33" s="954" t="s">
        <v>1750</v>
      </c>
      <c r="L33" s="321"/>
      <c r="M33" s="321"/>
      <c r="N33" s="321"/>
      <c r="O33" s="321"/>
      <c r="P33" s="321"/>
      <c r="Q33" s="397"/>
    </row>
    <row r="34" spans="2:17" ht="15" hidden="1" x14ac:dyDescent="0.25">
      <c r="B34" s="395"/>
      <c r="C34" s="395"/>
      <c r="D34" s="319"/>
      <c r="E34" s="320"/>
      <c r="F34" s="320"/>
      <c r="G34" s="321"/>
      <c r="H34" s="319"/>
      <c r="I34" s="321"/>
      <c r="J34" s="319"/>
      <c r="K34" s="319"/>
      <c r="L34" s="321"/>
      <c r="M34" s="321"/>
      <c r="N34" s="321"/>
      <c r="O34" s="321"/>
      <c r="P34" s="321"/>
      <c r="Q34" s="397"/>
    </row>
    <row r="35" spans="2:17" ht="15" x14ac:dyDescent="0.25">
      <c r="B35" s="395"/>
      <c r="C35" s="400"/>
      <c r="D35" s="834"/>
      <c r="E35" s="834"/>
      <c r="F35" s="834"/>
      <c r="G35" s="834"/>
      <c r="H35" s="834"/>
      <c r="I35" s="834"/>
      <c r="J35" s="834"/>
      <c r="K35" s="834"/>
      <c r="L35" s="834"/>
      <c r="M35" s="834"/>
      <c r="N35" s="834"/>
      <c r="O35" s="834"/>
      <c r="P35" s="834"/>
      <c r="Q35" s="397"/>
    </row>
    <row r="36" spans="2:17" ht="15" customHeight="1" x14ac:dyDescent="0.25">
      <c r="B36" s="172"/>
      <c r="C36" s="172"/>
      <c r="D36" s="830" t="s">
        <v>516</v>
      </c>
      <c r="E36" s="743"/>
      <c r="F36" s="451"/>
      <c r="G36" s="463"/>
      <c r="H36" s="463"/>
      <c r="I36" s="321"/>
      <c r="J36" s="321"/>
      <c r="K36" s="319" t="s">
        <v>1290</v>
      </c>
      <c r="L36" s="321"/>
      <c r="M36" s="321"/>
      <c r="N36" s="321"/>
      <c r="O36" s="321"/>
      <c r="P36" s="321"/>
      <c r="Q36" s="173"/>
    </row>
    <row r="37" spans="2:17" ht="15" x14ac:dyDescent="0.25">
      <c r="B37" s="172"/>
      <c r="C37" s="172"/>
      <c r="D37" s="832"/>
      <c r="E37" s="832"/>
      <c r="F37" s="832"/>
      <c r="G37" s="832"/>
      <c r="H37" s="832"/>
      <c r="I37" s="832"/>
      <c r="J37" s="832"/>
      <c r="K37" s="832"/>
      <c r="L37" s="832"/>
      <c r="M37" s="832"/>
      <c r="N37" s="832"/>
      <c r="O37" s="832"/>
      <c r="P37" s="832"/>
      <c r="Q37" s="173"/>
    </row>
    <row r="38" spans="2:17" ht="15" x14ac:dyDescent="0.25">
      <c r="D38" s="832"/>
      <c r="E38" s="832"/>
      <c r="F38" s="832"/>
      <c r="G38" s="832"/>
      <c r="H38" s="832"/>
      <c r="I38" s="832"/>
      <c r="J38" s="832"/>
      <c r="K38" s="832"/>
      <c r="L38" s="832"/>
      <c r="M38" s="832"/>
      <c r="N38" s="832"/>
      <c r="O38" s="832"/>
      <c r="P38" s="832"/>
    </row>
    <row r="39" spans="2:17" ht="15" x14ac:dyDescent="0.25">
      <c r="D39" s="832"/>
      <c r="E39" s="832"/>
      <c r="F39" s="832"/>
      <c r="G39" s="832"/>
      <c r="H39" s="832"/>
      <c r="I39" s="832"/>
      <c r="J39" s="832"/>
      <c r="K39" s="832"/>
      <c r="L39" s="832"/>
      <c r="M39" s="832"/>
      <c r="N39" s="832"/>
      <c r="O39" s="832"/>
      <c r="P39" s="832"/>
    </row>
    <row r="40" spans="2:17" ht="15" x14ac:dyDescent="0.2">
      <c r="D40" s="174"/>
      <c r="E40" s="175"/>
      <c r="F40" s="176"/>
      <c r="G40" s="174"/>
      <c r="H40" s="174"/>
      <c r="I40" s="177"/>
      <c r="J40" s="175"/>
      <c r="K40" s="177"/>
      <c r="L40" s="174"/>
      <c r="M40" s="174"/>
      <c r="N40" s="177"/>
      <c r="O40" s="178"/>
      <c r="P40" s="179"/>
    </row>
    <row r="41" spans="2:17" ht="15" x14ac:dyDescent="0.25">
      <c r="D41" s="180"/>
      <c r="E41" s="180"/>
      <c r="F41" s="180"/>
      <c r="G41" s="180"/>
      <c r="H41" s="180"/>
      <c r="I41" s="180"/>
      <c r="J41" s="180"/>
      <c r="K41" s="180"/>
      <c r="L41" s="180"/>
      <c r="M41" s="180"/>
      <c r="N41" s="180"/>
      <c r="O41" s="180"/>
      <c r="P41" s="180"/>
    </row>
    <row r="66" spans="7:7" x14ac:dyDescent="0.2">
      <c r="G66" s="7">
        <f>H66+I66</f>
        <v>0</v>
      </c>
    </row>
    <row r="68" spans="7:7" x14ac:dyDescent="0.2">
      <c r="G68" s="7">
        <f t="shared" ref="G68:G86" si="18">H68+I68</f>
        <v>0</v>
      </c>
    </row>
    <row r="69" spans="7:7" x14ac:dyDescent="0.2">
      <c r="G69" s="7">
        <f t="shared" si="18"/>
        <v>0</v>
      </c>
    </row>
    <row r="70" spans="7:7" x14ac:dyDescent="0.2">
      <c r="G70" s="7">
        <f t="shared" si="18"/>
        <v>0</v>
      </c>
    </row>
    <row r="71" spans="7:7" x14ac:dyDescent="0.2">
      <c r="G71" s="7">
        <f t="shared" si="18"/>
        <v>0</v>
      </c>
    </row>
    <row r="72" spans="7:7" x14ac:dyDescent="0.2">
      <c r="G72" s="7">
        <f t="shared" si="18"/>
        <v>0</v>
      </c>
    </row>
    <row r="73" spans="7:7" x14ac:dyDescent="0.2">
      <c r="G73" s="7">
        <f t="shared" si="18"/>
        <v>0</v>
      </c>
    </row>
    <row r="74" spans="7:7" x14ac:dyDescent="0.2">
      <c r="G74" s="7">
        <f t="shared" si="18"/>
        <v>0</v>
      </c>
    </row>
    <row r="75" spans="7:7" x14ac:dyDescent="0.2">
      <c r="G75" s="7">
        <f t="shared" si="18"/>
        <v>0</v>
      </c>
    </row>
    <row r="76" spans="7:7" x14ac:dyDescent="0.2">
      <c r="G76" s="7">
        <f t="shared" si="18"/>
        <v>0</v>
      </c>
    </row>
    <row r="77" spans="7:7" x14ac:dyDescent="0.2">
      <c r="G77" s="7">
        <f t="shared" si="18"/>
        <v>0</v>
      </c>
    </row>
    <row r="78" spans="7:7" x14ac:dyDescent="0.2">
      <c r="G78" s="7">
        <f t="shared" si="18"/>
        <v>0</v>
      </c>
    </row>
    <row r="79" spans="7:7" x14ac:dyDescent="0.2">
      <c r="G79" s="7">
        <f t="shared" si="18"/>
        <v>0</v>
      </c>
    </row>
    <row r="80" spans="7:7" x14ac:dyDescent="0.2">
      <c r="G80" s="7">
        <f t="shared" si="18"/>
        <v>0</v>
      </c>
    </row>
    <row r="81" spans="7:7" x14ac:dyDescent="0.2">
      <c r="G81" s="7">
        <f t="shared" si="18"/>
        <v>0</v>
      </c>
    </row>
    <row r="82" spans="7:7" x14ac:dyDescent="0.2">
      <c r="G82" s="7">
        <f t="shared" si="18"/>
        <v>0</v>
      </c>
    </row>
    <row r="83" spans="7:7" x14ac:dyDescent="0.2">
      <c r="G83" s="7">
        <f t="shared" si="18"/>
        <v>0</v>
      </c>
    </row>
    <row r="84" spans="7:7" x14ac:dyDescent="0.2">
      <c r="G84" s="7">
        <f t="shared" si="18"/>
        <v>0</v>
      </c>
    </row>
    <row r="85" spans="7:7" x14ac:dyDescent="0.2">
      <c r="G85" s="7">
        <f t="shared" si="18"/>
        <v>0</v>
      </c>
    </row>
    <row r="86" spans="7:7" x14ac:dyDescent="0.2">
      <c r="G86" s="7">
        <f t="shared" si="18"/>
        <v>0</v>
      </c>
    </row>
    <row r="88" spans="7:7" x14ac:dyDescent="0.2">
      <c r="G88" s="7">
        <f>H88+I88</f>
        <v>0</v>
      </c>
    </row>
    <row r="89" spans="7:7" x14ac:dyDescent="0.2">
      <c r="G89" s="7">
        <f>H89+I89</f>
        <v>0</v>
      </c>
    </row>
    <row r="90" spans="7:7" x14ac:dyDescent="0.2">
      <c r="G90" s="7">
        <f>H90+I90</f>
        <v>0</v>
      </c>
    </row>
    <row r="91" spans="7:7" x14ac:dyDescent="0.2">
      <c r="G91" s="7">
        <f>H91+I91</f>
        <v>0</v>
      </c>
    </row>
    <row r="93" spans="7:7" x14ac:dyDescent="0.2">
      <c r="G93" s="7">
        <f>H93+I93</f>
        <v>0</v>
      </c>
    </row>
    <row r="96" spans="7:7" x14ac:dyDescent="0.2">
      <c r="G96" s="822"/>
    </row>
    <row r="97" spans="7:7" x14ac:dyDescent="0.2">
      <c r="G97" s="823"/>
    </row>
    <row r="133" spans="7:7" x14ac:dyDescent="0.2">
      <c r="G133" s="7">
        <f>H133+I133</f>
        <v>0</v>
      </c>
    </row>
    <row r="135" spans="7:7" x14ac:dyDescent="0.2">
      <c r="G135" s="7">
        <f t="shared" ref="G135:G145" si="19">H135+I135</f>
        <v>0</v>
      </c>
    </row>
    <row r="136" spans="7:7" x14ac:dyDescent="0.2">
      <c r="G136" s="7">
        <f t="shared" si="19"/>
        <v>0</v>
      </c>
    </row>
    <row r="137" spans="7:7" x14ac:dyDescent="0.2">
      <c r="G137" s="7">
        <f t="shared" si="19"/>
        <v>0</v>
      </c>
    </row>
    <row r="138" spans="7:7" x14ac:dyDescent="0.2">
      <c r="G138" s="7">
        <f t="shared" si="19"/>
        <v>0</v>
      </c>
    </row>
    <row r="139" spans="7:7" x14ac:dyDescent="0.2">
      <c r="G139" s="7">
        <f t="shared" si="19"/>
        <v>0</v>
      </c>
    </row>
    <row r="140" spans="7:7" x14ac:dyDescent="0.2">
      <c r="G140" s="7">
        <f t="shared" si="19"/>
        <v>0</v>
      </c>
    </row>
    <row r="141" spans="7:7" x14ac:dyDescent="0.2">
      <c r="G141" s="7">
        <f t="shared" si="19"/>
        <v>0</v>
      </c>
    </row>
    <row r="142" spans="7:7" x14ac:dyDescent="0.2">
      <c r="G142" s="7">
        <f t="shared" si="19"/>
        <v>0</v>
      </c>
    </row>
    <row r="143" spans="7:7" x14ac:dyDescent="0.2">
      <c r="G143" s="7">
        <f t="shared" si="19"/>
        <v>0</v>
      </c>
    </row>
    <row r="144" spans="7:7" x14ac:dyDescent="0.2">
      <c r="G144" s="7">
        <f t="shared" si="19"/>
        <v>0</v>
      </c>
    </row>
    <row r="145" spans="7:10" x14ac:dyDescent="0.2">
      <c r="G145" s="7">
        <f t="shared" si="19"/>
        <v>0</v>
      </c>
    </row>
    <row r="147" spans="7:10" x14ac:dyDescent="0.2">
      <c r="G147" s="7">
        <f>H148+I148</f>
        <v>0</v>
      </c>
    </row>
    <row r="148" spans="7:10" x14ac:dyDescent="0.2">
      <c r="G148" s="7">
        <f t="shared" ref="G148" si="20">H148+I148</f>
        <v>0</v>
      </c>
    </row>
    <row r="149" spans="7:10" x14ac:dyDescent="0.2">
      <c r="G149" s="7">
        <f>H149+I149</f>
        <v>0</v>
      </c>
    </row>
    <row r="150" spans="7:10" x14ac:dyDescent="0.2">
      <c r="G150" s="7">
        <f>H150+I150</f>
        <v>0</v>
      </c>
    </row>
    <row r="151" spans="7:10" x14ac:dyDescent="0.2">
      <c r="G151" s="7">
        <f>H151+I151</f>
        <v>0</v>
      </c>
    </row>
    <row r="152" spans="7:10" x14ac:dyDescent="0.2">
      <c r="G152" s="7">
        <f>H152+I152</f>
        <v>0</v>
      </c>
    </row>
    <row r="157" spans="7:10" ht="46.5" x14ac:dyDescent="0.65">
      <c r="J157" s="181"/>
    </row>
    <row r="160" spans="7:10" ht="46.5" x14ac:dyDescent="0.65">
      <c r="G160" s="181">
        <f>H160+I160</f>
        <v>0</v>
      </c>
      <c r="J160" s="181"/>
    </row>
    <row r="179" spans="11:11" ht="90" x14ac:dyDescent="1.1499999999999999">
      <c r="K179" s="182" t="b">
        <f>G179=H179+I179</f>
        <v>1</v>
      </c>
    </row>
  </sheetData>
  <mergeCells count="30">
    <mergeCell ref="O9:P9"/>
    <mergeCell ref="D39:P39"/>
    <mergeCell ref="D38:P38"/>
    <mergeCell ref="M2:Q2"/>
    <mergeCell ref="E3:M3"/>
    <mergeCell ref="J8:M8"/>
    <mergeCell ref="N8:Q8"/>
    <mergeCell ref="Q9:Q10"/>
    <mergeCell ref="M9:M10"/>
    <mergeCell ref="N9:N10"/>
    <mergeCell ref="J9:J10"/>
    <mergeCell ref="D37:P37"/>
    <mergeCell ref="G9:H9"/>
    <mergeCell ref="K9:L9"/>
    <mergeCell ref="D35:P35"/>
    <mergeCell ref="D31:E31"/>
    <mergeCell ref="B3:C3"/>
    <mergeCell ref="B5:C5"/>
    <mergeCell ref="B6:C6"/>
    <mergeCell ref="G96:G97"/>
    <mergeCell ref="B8:B10"/>
    <mergeCell ref="C8:C10"/>
    <mergeCell ref="D8:D10"/>
    <mergeCell ref="E8:E10"/>
    <mergeCell ref="F8:I8"/>
    <mergeCell ref="F9:F10"/>
    <mergeCell ref="I9:I10"/>
    <mergeCell ref="E4:M4"/>
    <mergeCell ref="D36:E36"/>
    <mergeCell ref="D33:E33"/>
  </mergeCells>
  <printOptions horizontalCentered="1"/>
  <pageMargins left="0.19685039370078741" right="0" top="0.59055118110236227" bottom="0.39370078740157483" header="0.31496062992125984" footer="0.31496062992125984"/>
  <pageSetup paperSize="9" scale="5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2"/>
  <sheetViews>
    <sheetView view="pageBreakPreview" topLeftCell="A96" zoomScale="40" zoomScaleNormal="25" zoomScaleSheetLayoutView="40" zoomScalePageLayoutView="10" workbookViewId="0">
      <selection activeCell="B130" sqref="B130:D130"/>
    </sheetView>
  </sheetViews>
  <sheetFormatPr defaultColWidth="9.140625" defaultRowHeight="12.75" x14ac:dyDescent="0.2"/>
  <cols>
    <col min="1" max="1" width="62.28515625" style="195" customWidth="1"/>
    <col min="2" max="2" width="49.140625" style="195" customWidth="1"/>
    <col min="3" max="3" width="186.5703125" style="195" customWidth="1"/>
    <col min="4" max="4" width="69.7109375" style="195" customWidth="1"/>
    <col min="5" max="5" width="45.85546875" style="185" customWidth="1"/>
    <col min="6" max="6" width="26.5703125" style="185" bestFit="1" customWidth="1"/>
    <col min="7" max="16384" width="9.140625" style="185"/>
  </cols>
  <sheetData>
    <row r="1" spans="1:15" ht="48.75" customHeight="1" x14ac:dyDescent="0.35">
      <c r="A1" s="75"/>
      <c r="B1" s="472"/>
      <c r="C1" s="472"/>
      <c r="D1" s="473" t="s">
        <v>581</v>
      </c>
      <c r="E1" s="184"/>
      <c r="F1" s="184"/>
      <c r="G1" s="184"/>
      <c r="H1" s="184"/>
    </row>
    <row r="2" spans="1:15" ht="84.75" customHeight="1" x14ac:dyDescent="0.35">
      <c r="A2" s="76"/>
      <c r="B2" s="472"/>
      <c r="C2" s="472"/>
      <c r="D2" s="533" t="s">
        <v>1608</v>
      </c>
      <c r="E2" s="184"/>
      <c r="F2" s="184"/>
      <c r="G2" s="184"/>
      <c r="H2" s="184"/>
    </row>
    <row r="3" spans="1:15" ht="40.700000000000003" customHeight="1" x14ac:dyDescent="0.2">
      <c r="A3" s="76"/>
      <c r="B3" s="76"/>
      <c r="C3" s="76"/>
      <c r="D3" s="77"/>
      <c r="N3" s="852"/>
      <c r="O3" s="852"/>
    </row>
    <row r="4" spans="1:15" ht="45.75" hidden="1" x14ac:dyDescent="0.2">
      <c r="A4" s="76"/>
      <c r="B4" s="76"/>
      <c r="C4" s="76"/>
      <c r="D4" s="77"/>
      <c r="N4" s="852"/>
      <c r="O4" s="853"/>
    </row>
    <row r="5" spans="1:15" ht="45.75" x14ac:dyDescent="0.2">
      <c r="A5" s="794" t="s">
        <v>1545</v>
      </c>
      <c r="B5" s="794"/>
      <c r="C5" s="794"/>
      <c r="D5" s="794"/>
      <c r="N5" s="852"/>
      <c r="O5" s="853"/>
    </row>
    <row r="6" spans="1:15" ht="45.75" x14ac:dyDescent="0.65">
      <c r="A6" s="795">
        <v>2256400000</v>
      </c>
      <c r="B6" s="747"/>
      <c r="C6" s="747"/>
      <c r="D6" s="747"/>
    </row>
    <row r="7" spans="1:15" ht="45.75" x14ac:dyDescent="0.2">
      <c r="A7" s="800" t="s">
        <v>485</v>
      </c>
      <c r="B7" s="747"/>
      <c r="C7" s="747"/>
      <c r="D7" s="747"/>
    </row>
    <row r="8" spans="1:15" ht="45.75" x14ac:dyDescent="0.2">
      <c r="A8" s="431"/>
      <c r="B8" s="433"/>
      <c r="C8" s="433"/>
      <c r="D8" s="433"/>
    </row>
    <row r="9" spans="1:15" ht="53.45" customHeight="1" x14ac:dyDescent="0.2">
      <c r="A9" s="857" t="s">
        <v>1074</v>
      </c>
      <c r="B9" s="858"/>
      <c r="C9" s="858"/>
      <c r="D9" s="858"/>
    </row>
    <row r="10" spans="1:15" ht="53.45" customHeight="1" thickBot="1" x14ac:dyDescent="0.25">
      <c r="A10" s="77"/>
      <c r="B10" s="77"/>
      <c r="C10" s="77"/>
      <c r="D10" s="300" t="s">
        <v>400</v>
      </c>
    </row>
    <row r="11" spans="1:15" ht="140.25" customHeight="1" thickTop="1" thickBot="1" x14ac:dyDescent="0.25">
      <c r="A11" s="301" t="s">
        <v>586</v>
      </c>
      <c r="B11" s="862" t="s">
        <v>585</v>
      </c>
      <c r="C11" s="863"/>
      <c r="D11" s="301" t="s">
        <v>379</v>
      </c>
    </row>
    <row r="12" spans="1:15" s="186" customFormat="1" ht="47.25" thickTop="1" thickBot="1" x14ac:dyDescent="0.25">
      <c r="A12" s="101" t="s">
        <v>2</v>
      </c>
      <c r="B12" s="864" t="s">
        <v>3</v>
      </c>
      <c r="C12" s="865"/>
      <c r="D12" s="101" t="s">
        <v>14</v>
      </c>
    </row>
    <row r="13" spans="1:15" s="186" customFormat="1" ht="55.5" customHeight="1" thickTop="1" thickBot="1" x14ac:dyDescent="0.25">
      <c r="A13" s="859" t="s">
        <v>587</v>
      </c>
      <c r="B13" s="860"/>
      <c r="C13" s="860"/>
      <c r="D13" s="861"/>
    </row>
    <row r="14" spans="1:15" s="186" customFormat="1" ht="46.5" hidden="1" thickTop="1" thickBot="1" x14ac:dyDescent="0.25">
      <c r="A14" s="123" t="s">
        <v>1284</v>
      </c>
      <c r="B14" s="866" t="s">
        <v>1283</v>
      </c>
      <c r="C14" s="867"/>
      <c r="D14" s="402">
        <f>SUM(D15)</f>
        <v>0</v>
      </c>
    </row>
    <row r="15" spans="1:15" s="186" customFormat="1" ht="47.25" hidden="1" thickTop="1" thickBot="1" x14ac:dyDescent="0.25">
      <c r="A15" s="126">
        <v>41021400</v>
      </c>
      <c r="B15" s="837" t="s">
        <v>1289</v>
      </c>
      <c r="C15" s="838"/>
      <c r="D15" s="404"/>
    </row>
    <row r="16" spans="1:15" s="186" customFormat="1" ht="47.25" hidden="1" thickTop="1" thickBot="1" x14ac:dyDescent="0.25">
      <c r="A16" s="126" t="s">
        <v>1243</v>
      </c>
      <c r="B16" s="837" t="s">
        <v>567</v>
      </c>
      <c r="C16" s="838"/>
      <c r="D16" s="187">
        <f>D15</f>
        <v>0</v>
      </c>
    </row>
    <row r="17" spans="1:4" s="186" customFormat="1" ht="46.5" thickTop="1" thickBot="1" x14ac:dyDescent="0.25">
      <c r="A17" s="298" t="s">
        <v>597</v>
      </c>
      <c r="B17" s="839" t="s">
        <v>433</v>
      </c>
      <c r="C17" s="845"/>
      <c r="D17" s="623">
        <f>SUM(D18:D28)</f>
        <v>840784300</v>
      </c>
    </row>
    <row r="18" spans="1:4" s="186" customFormat="1" ht="47.25" hidden="1" thickTop="1" thickBot="1" x14ac:dyDescent="0.25">
      <c r="A18" s="126" t="s">
        <v>962</v>
      </c>
      <c r="B18" s="837" t="s">
        <v>961</v>
      </c>
      <c r="C18" s="838"/>
      <c r="D18" s="404">
        <v>0</v>
      </c>
    </row>
    <row r="19" spans="1:4" s="186" customFormat="1" ht="47.25" hidden="1" thickTop="1" thickBot="1" x14ac:dyDescent="0.25">
      <c r="A19" s="126">
        <v>41033300</v>
      </c>
      <c r="B19" s="837" t="s">
        <v>1529</v>
      </c>
      <c r="C19" s="838"/>
      <c r="D19" s="404">
        <v>0</v>
      </c>
    </row>
    <row r="20" spans="1:4" s="186" customFormat="1" ht="47.25" hidden="1" thickTop="1" thickBot="1" x14ac:dyDescent="0.25">
      <c r="A20" s="126" t="s">
        <v>1044</v>
      </c>
      <c r="B20" s="837" t="s">
        <v>1010</v>
      </c>
      <c r="C20" s="838"/>
      <c r="D20" s="404">
        <v>0</v>
      </c>
    </row>
    <row r="21" spans="1:4" s="186" customFormat="1" ht="47.25" thickTop="1" thickBot="1" x14ac:dyDescent="0.25">
      <c r="A21" s="101" t="s">
        <v>596</v>
      </c>
      <c r="B21" s="835" t="s">
        <v>609</v>
      </c>
      <c r="C21" s="836"/>
      <c r="D21" s="302">
        <f>522248400+260534000</f>
        <v>782782400</v>
      </c>
    </row>
    <row r="22" spans="1:4" s="186" customFormat="1" ht="163.5" hidden="1" customHeight="1" thickTop="1" thickBot="1" x14ac:dyDescent="0.25">
      <c r="A22" s="126" t="s">
        <v>1042</v>
      </c>
      <c r="B22" s="837" t="s">
        <v>1011</v>
      </c>
      <c r="C22" s="846"/>
      <c r="D22" s="187">
        <v>0</v>
      </c>
    </row>
    <row r="23" spans="1:4" s="186" customFormat="1" ht="163.5" customHeight="1" thickTop="1" thickBot="1" x14ac:dyDescent="0.25">
      <c r="A23" s="101">
        <v>41035400</v>
      </c>
      <c r="B23" s="835" t="s">
        <v>1624</v>
      </c>
      <c r="C23" s="836"/>
      <c r="D23" s="302">
        <v>5255400</v>
      </c>
    </row>
    <row r="24" spans="1:4" s="186" customFormat="1" ht="47.25" hidden="1" thickTop="1" thickBot="1" x14ac:dyDescent="0.25">
      <c r="A24" s="126" t="s">
        <v>964</v>
      </c>
      <c r="B24" s="837" t="s">
        <v>963</v>
      </c>
      <c r="C24" s="838"/>
      <c r="D24" s="187">
        <v>0</v>
      </c>
    </row>
    <row r="25" spans="1:4" s="186" customFormat="1" ht="47.25" hidden="1" thickTop="1" thickBot="1" x14ac:dyDescent="0.25">
      <c r="A25" s="126" t="s">
        <v>972</v>
      </c>
      <c r="B25" s="837" t="s">
        <v>973</v>
      </c>
      <c r="C25" s="838"/>
      <c r="D25" s="187">
        <v>0</v>
      </c>
    </row>
    <row r="26" spans="1:4" s="186" customFormat="1" ht="184.7" customHeight="1" thickTop="1" thickBot="1" x14ac:dyDescent="0.25">
      <c r="A26" s="101">
        <v>41036000</v>
      </c>
      <c r="B26" s="835" t="s">
        <v>1688</v>
      </c>
      <c r="C26" s="836"/>
      <c r="D26" s="302">
        <v>13335900</v>
      </c>
    </row>
    <row r="27" spans="1:4" s="186" customFormat="1" ht="141" customHeight="1" thickTop="1" thickBot="1" x14ac:dyDescent="0.25">
      <c r="A27" s="101" t="s">
        <v>1626</v>
      </c>
      <c r="B27" s="835" t="s">
        <v>1625</v>
      </c>
      <c r="C27" s="836"/>
      <c r="D27" s="302">
        <f>38198300+1212300</f>
        <v>39410600</v>
      </c>
    </row>
    <row r="28" spans="1:4" s="186" customFormat="1" ht="47.25" hidden="1" thickTop="1" thickBot="1" x14ac:dyDescent="0.25">
      <c r="A28" s="126" t="s">
        <v>955</v>
      </c>
      <c r="B28" s="837" t="s">
        <v>954</v>
      </c>
      <c r="C28" s="838"/>
      <c r="D28" s="187">
        <v>0</v>
      </c>
    </row>
    <row r="29" spans="1:4" s="186" customFormat="1" ht="47.25" thickTop="1" thickBot="1" x14ac:dyDescent="0.25">
      <c r="A29" s="101" t="s">
        <v>1243</v>
      </c>
      <c r="B29" s="835" t="s">
        <v>567</v>
      </c>
      <c r="C29" s="836"/>
      <c r="D29" s="302">
        <f>D17</f>
        <v>840784300</v>
      </c>
    </row>
    <row r="30" spans="1:4" s="186" customFormat="1" ht="46.5" thickTop="1" thickBot="1" x14ac:dyDescent="0.25">
      <c r="A30" s="298" t="s">
        <v>601</v>
      </c>
      <c r="B30" s="839" t="s">
        <v>341</v>
      </c>
      <c r="C30" s="840"/>
      <c r="D30" s="623">
        <f>SUM(D31:D32)</f>
        <v>7340006.0999999996</v>
      </c>
    </row>
    <row r="31" spans="1:4" s="186" customFormat="1" ht="196.5" customHeight="1" thickTop="1" thickBot="1" x14ac:dyDescent="0.25">
      <c r="A31" s="101" t="s">
        <v>602</v>
      </c>
      <c r="B31" s="835" t="s">
        <v>610</v>
      </c>
      <c r="C31" s="836"/>
      <c r="D31" s="622">
        <v>7178900</v>
      </c>
    </row>
    <row r="32" spans="1:4" s="186" customFormat="1" ht="47.25" thickTop="1" thickBot="1" x14ac:dyDescent="0.25">
      <c r="A32" s="101" t="s">
        <v>1177</v>
      </c>
      <c r="B32" s="835" t="s">
        <v>1176</v>
      </c>
      <c r="C32" s="836"/>
      <c r="D32" s="622">
        <f>92669.43+68436.67</f>
        <v>161106.09999999998</v>
      </c>
    </row>
    <row r="33" spans="1:6" s="186" customFormat="1" ht="47.25" thickTop="1" thickBot="1" x14ac:dyDescent="0.25">
      <c r="A33" s="101" t="s">
        <v>1247</v>
      </c>
      <c r="B33" s="835" t="s">
        <v>600</v>
      </c>
      <c r="C33" s="836"/>
      <c r="D33" s="302">
        <f>SUM(D31:D32)</f>
        <v>7340006.0999999996</v>
      </c>
    </row>
    <row r="34" spans="1:6" s="186" customFormat="1" ht="46.5" thickTop="1" thickBot="1" x14ac:dyDescent="0.25">
      <c r="A34" s="298" t="s">
        <v>603</v>
      </c>
      <c r="B34" s="839" t="s">
        <v>604</v>
      </c>
      <c r="C34" s="840"/>
      <c r="D34" s="623">
        <f>D58+D60</f>
        <v>79211644.099999994</v>
      </c>
      <c r="E34" s="515" t="b">
        <f>D34=D58+D60</f>
        <v>1</v>
      </c>
      <c r="F34" s="515" t="b">
        <f>D34='d1'!D133</f>
        <v>1</v>
      </c>
    </row>
    <row r="35" spans="1:6" s="186" customFormat="1" ht="220.7" customHeight="1" thickTop="1" thickBot="1" x14ac:dyDescent="0.25">
      <c r="A35" s="101">
        <v>41050100</v>
      </c>
      <c r="B35" s="835" t="s">
        <v>1717</v>
      </c>
      <c r="C35" s="836"/>
      <c r="D35" s="302">
        <f>7780090+8077040</f>
        <v>15857130</v>
      </c>
      <c r="E35" s="707"/>
      <c r="F35" s="707"/>
    </row>
    <row r="36" spans="1:6" s="186" customFormat="1" ht="409.6" customHeight="1" thickTop="1" x14ac:dyDescent="0.2">
      <c r="A36" s="761" t="s">
        <v>1692</v>
      </c>
      <c r="B36" s="854" t="s">
        <v>1693</v>
      </c>
      <c r="C36" s="855"/>
      <c r="D36" s="850">
        <v>44763277.100000001</v>
      </c>
      <c r="E36" s="707"/>
      <c r="F36" s="707"/>
    </row>
    <row r="37" spans="1:6" s="186" customFormat="1" ht="408.75" customHeight="1" thickBot="1" x14ac:dyDescent="0.25">
      <c r="A37" s="762"/>
      <c r="B37" s="848" t="s">
        <v>1694</v>
      </c>
      <c r="C37" s="849"/>
      <c r="D37" s="851"/>
      <c r="E37" s="707"/>
      <c r="F37" s="707"/>
    </row>
    <row r="38" spans="1:6" s="186" customFormat="1" ht="408.75" hidden="1" customHeight="1" thickTop="1" x14ac:dyDescent="0.65">
      <c r="A38" s="767" t="s">
        <v>1045</v>
      </c>
      <c r="B38" s="841" t="s">
        <v>1360</v>
      </c>
      <c r="C38" s="842"/>
      <c r="D38" s="847">
        <v>0</v>
      </c>
    </row>
    <row r="39" spans="1:6" s="186" customFormat="1" ht="408.75" hidden="1" customHeight="1" thickBot="1" x14ac:dyDescent="0.25">
      <c r="A39" s="769"/>
      <c r="B39" s="843" t="s">
        <v>1361</v>
      </c>
      <c r="C39" s="844"/>
      <c r="D39" s="769"/>
    </row>
    <row r="40" spans="1:6" s="186" customFormat="1" ht="408.75" hidden="1" customHeight="1" thickTop="1" x14ac:dyDescent="0.65">
      <c r="A40" s="767" t="s">
        <v>1043</v>
      </c>
      <c r="B40" s="841" t="s">
        <v>1362</v>
      </c>
      <c r="C40" s="842"/>
      <c r="D40" s="847">
        <v>0</v>
      </c>
    </row>
    <row r="41" spans="1:6" s="186" customFormat="1" ht="408.75" hidden="1" customHeight="1" thickBot="1" x14ac:dyDescent="0.25">
      <c r="A41" s="769"/>
      <c r="B41" s="843" t="s">
        <v>1363</v>
      </c>
      <c r="C41" s="844"/>
      <c r="D41" s="769"/>
    </row>
    <row r="42" spans="1:6" s="186" customFormat="1" ht="408.75" hidden="1" customHeight="1" thickTop="1" x14ac:dyDescent="0.65">
      <c r="A42" s="767">
        <v>41050600</v>
      </c>
      <c r="B42" s="841" t="s">
        <v>1364</v>
      </c>
      <c r="C42" s="842"/>
      <c r="D42" s="847">
        <v>0</v>
      </c>
    </row>
    <row r="43" spans="1:6" s="186" customFormat="1" ht="13.5" hidden="1" thickBot="1" x14ac:dyDescent="0.25">
      <c r="A43" s="769"/>
      <c r="B43" s="843" t="s">
        <v>1365</v>
      </c>
      <c r="C43" s="844"/>
      <c r="D43" s="769"/>
    </row>
    <row r="44" spans="1:6" s="186" customFormat="1" ht="47.25" hidden="1" thickTop="1" thickBot="1" x14ac:dyDescent="0.25">
      <c r="A44" s="126">
        <v>41050900</v>
      </c>
      <c r="B44" s="837" t="s">
        <v>1046</v>
      </c>
      <c r="C44" s="838"/>
      <c r="D44" s="187">
        <v>0</v>
      </c>
    </row>
    <row r="45" spans="1:6" s="186" customFormat="1" ht="129.75" customHeight="1" thickTop="1" thickBot="1" x14ac:dyDescent="0.25">
      <c r="A45" s="101" t="s">
        <v>605</v>
      </c>
      <c r="B45" s="835" t="s">
        <v>606</v>
      </c>
      <c r="C45" s="836"/>
      <c r="D45" s="302">
        <f>(8694404)+98504+4393892</f>
        <v>13186800</v>
      </c>
    </row>
    <row r="46" spans="1:6" s="186" customFormat="1" ht="47.25" hidden="1" thickTop="1" thickBot="1" x14ac:dyDescent="0.25">
      <c r="A46" s="126" t="s">
        <v>607</v>
      </c>
      <c r="B46" s="837" t="s">
        <v>1242</v>
      </c>
      <c r="C46" s="838"/>
      <c r="D46" s="404">
        <v>0</v>
      </c>
    </row>
    <row r="47" spans="1:6" s="186" customFormat="1" ht="47.25" hidden="1" thickTop="1" thickBot="1" x14ac:dyDescent="0.25">
      <c r="A47" s="126" t="s">
        <v>965</v>
      </c>
      <c r="B47" s="837" t="s">
        <v>1517</v>
      </c>
      <c r="C47" s="838"/>
      <c r="D47" s="404">
        <v>0</v>
      </c>
    </row>
    <row r="48" spans="1:6" s="186" customFormat="1" ht="47.25" hidden="1" thickTop="1" thickBot="1" x14ac:dyDescent="0.25">
      <c r="A48" s="126" t="s">
        <v>924</v>
      </c>
      <c r="B48" s="837" t="s">
        <v>925</v>
      </c>
      <c r="C48" s="838"/>
      <c r="D48" s="404">
        <v>0</v>
      </c>
    </row>
    <row r="49" spans="1:5" s="186" customFormat="1" ht="47.25" thickTop="1" thickBot="1" x14ac:dyDescent="0.25">
      <c r="A49" s="101">
        <v>41053900</v>
      </c>
      <c r="B49" s="835" t="s">
        <v>360</v>
      </c>
      <c r="C49" s="836"/>
      <c r="D49" s="622">
        <f>1171046+271059</f>
        <v>1442105</v>
      </c>
    </row>
    <row r="50" spans="1:5" s="186" customFormat="1" ht="20.25" hidden="1" thickTop="1" x14ac:dyDescent="0.65">
      <c r="A50" s="767" t="s">
        <v>1047</v>
      </c>
      <c r="B50" s="841" t="s">
        <v>1048</v>
      </c>
      <c r="C50" s="842"/>
      <c r="D50" s="847">
        <v>0</v>
      </c>
    </row>
    <row r="51" spans="1:5" s="186" customFormat="1" ht="13.5" hidden="1" thickBot="1" x14ac:dyDescent="0.25">
      <c r="A51" s="769"/>
      <c r="B51" s="843" t="s">
        <v>1049</v>
      </c>
      <c r="C51" s="844"/>
      <c r="D51" s="769"/>
    </row>
    <row r="52" spans="1:5" s="186" customFormat="1" ht="47.25" hidden="1" thickTop="1" thickBot="1" x14ac:dyDescent="0.25">
      <c r="A52" s="126" t="s">
        <v>608</v>
      </c>
      <c r="B52" s="837" t="s">
        <v>611</v>
      </c>
      <c r="C52" s="838"/>
      <c r="D52" s="404">
        <v>0</v>
      </c>
    </row>
    <row r="53" spans="1:5" s="186" customFormat="1" ht="47.25" hidden="1" thickTop="1" thickBot="1" x14ac:dyDescent="0.25">
      <c r="A53" s="126" t="s">
        <v>993</v>
      </c>
      <c r="B53" s="837" t="s">
        <v>994</v>
      </c>
      <c r="C53" s="838"/>
      <c r="D53" s="187">
        <f>10623233.82-10623233.82</f>
        <v>0</v>
      </c>
    </row>
    <row r="54" spans="1:5" s="186" customFormat="1" ht="169.5" customHeight="1" thickTop="1" thickBot="1" x14ac:dyDescent="0.25">
      <c r="A54" s="101">
        <v>41057700</v>
      </c>
      <c r="B54" s="835" t="s">
        <v>1316</v>
      </c>
      <c r="C54" s="836"/>
      <c r="D54" s="622">
        <v>158112</v>
      </c>
    </row>
    <row r="55" spans="1:5" s="186" customFormat="1" ht="47.25" hidden="1" thickTop="1" thickBot="1" x14ac:dyDescent="0.25">
      <c r="A55" s="126">
        <v>41059000</v>
      </c>
      <c r="B55" s="837" t="s">
        <v>1339</v>
      </c>
      <c r="C55" s="838"/>
      <c r="D55" s="404">
        <v>0</v>
      </c>
    </row>
    <row r="56" spans="1:5" s="186" customFormat="1" ht="240.75" customHeight="1" thickTop="1" thickBot="1" x14ac:dyDescent="0.25">
      <c r="A56" s="101" t="s">
        <v>1648</v>
      </c>
      <c r="B56" s="835" t="s">
        <v>1647</v>
      </c>
      <c r="C56" s="836"/>
      <c r="D56" s="622">
        <f>2211460+1592760</f>
        <v>3804220</v>
      </c>
    </row>
    <row r="57" spans="1:5" s="186" customFormat="1" ht="195.75" hidden="1" customHeight="1" thickTop="1" thickBot="1" x14ac:dyDescent="0.25">
      <c r="A57" s="101" t="s">
        <v>1628</v>
      </c>
      <c r="B57" s="835" t="s">
        <v>1627</v>
      </c>
      <c r="C57" s="836"/>
      <c r="D57" s="622"/>
    </row>
    <row r="58" spans="1:5" s="186" customFormat="1" ht="47.25" thickTop="1" thickBot="1" x14ac:dyDescent="0.55000000000000004">
      <c r="A58" s="101" t="s">
        <v>1247</v>
      </c>
      <c r="B58" s="835" t="s">
        <v>600</v>
      </c>
      <c r="C58" s="836"/>
      <c r="D58" s="302">
        <f>SUM(D35:D57)</f>
        <v>79211644.099999994</v>
      </c>
      <c r="E58" s="188"/>
    </row>
    <row r="59" spans="1:5" s="186" customFormat="1" ht="47.25" hidden="1" thickTop="1" thickBot="1" x14ac:dyDescent="0.25">
      <c r="A59" s="189" t="s">
        <v>1067</v>
      </c>
      <c r="B59" s="868" t="s">
        <v>1068</v>
      </c>
      <c r="C59" s="869"/>
      <c r="D59" s="405">
        <v>0</v>
      </c>
    </row>
    <row r="60" spans="1:5" s="186" customFormat="1" ht="47.25" hidden="1" thickTop="1" thickBot="1" x14ac:dyDescent="0.25">
      <c r="A60" s="189" t="s">
        <v>569</v>
      </c>
      <c r="B60" s="868" t="s">
        <v>570</v>
      </c>
      <c r="C60" s="869"/>
      <c r="D60" s="190">
        <f>D59</f>
        <v>0</v>
      </c>
    </row>
    <row r="61" spans="1:5" ht="76.7" customHeight="1" thickTop="1" thickBot="1" x14ac:dyDescent="0.25">
      <c r="A61" s="859" t="s">
        <v>588</v>
      </c>
      <c r="B61" s="860"/>
      <c r="C61" s="860"/>
      <c r="D61" s="861"/>
    </row>
    <row r="62" spans="1:5" ht="46.5" customHeight="1" thickTop="1" thickBot="1" x14ac:dyDescent="0.25">
      <c r="A62" s="298" t="s">
        <v>597</v>
      </c>
      <c r="B62" s="839" t="s">
        <v>433</v>
      </c>
      <c r="C62" s="845"/>
      <c r="D62" s="623">
        <f>SUM(D63:D64)</f>
        <v>1799967</v>
      </c>
    </row>
    <row r="63" spans="1:5" ht="47.25" thickTop="1" thickBot="1" x14ac:dyDescent="0.25">
      <c r="A63" s="101" t="s">
        <v>596</v>
      </c>
      <c r="B63" s="835" t="s">
        <v>609</v>
      </c>
      <c r="C63" s="836"/>
      <c r="D63" s="302">
        <v>1799967</v>
      </c>
    </row>
    <row r="64" spans="1:5" ht="47.25" hidden="1" thickTop="1" thickBot="1" x14ac:dyDescent="0.25">
      <c r="A64" s="552" t="s">
        <v>1042</v>
      </c>
      <c r="B64" s="870" t="s">
        <v>1011</v>
      </c>
      <c r="C64" s="871"/>
      <c r="D64" s="553">
        <v>0</v>
      </c>
    </row>
    <row r="65" spans="1:5" ht="47.25" customHeight="1" thickTop="1" thickBot="1" x14ac:dyDescent="0.25">
      <c r="A65" s="101" t="s">
        <v>1243</v>
      </c>
      <c r="B65" s="835" t="s">
        <v>567</v>
      </c>
      <c r="C65" s="872"/>
      <c r="D65" s="302">
        <f>D62</f>
        <v>1799967</v>
      </c>
    </row>
    <row r="66" spans="1:5" ht="46.5" hidden="1" thickTop="1" thickBot="1" x14ac:dyDescent="0.25">
      <c r="A66" s="123" t="s">
        <v>603</v>
      </c>
      <c r="B66" s="866" t="s">
        <v>604</v>
      </c>
      <c r="C66" s="867"/>
      <c r="D66" s="402">
        <f>D71+D73</f>
        <v>0</v>
      </c>
      <c r="E66" s="513" t="b">
        <f>D66=D67+D68+D72+D69+D70</f>
        <v>1</v>
      </c>
    </row>
    <row r="67" spans="1:5" ht="47.25" hidden="1" thickTop="1" thickBot="1" x14ac:dyDescent="0.25">
      <c r="A67" s="552" t="s">
        <v>926</v>
      </c>
      <c r="B67" s="870" t="s">
        <v>929</v>
      </c>
      <c r="C67" s="871"/>
      <c r="D67" s="553">
        <v>0</v>
      </c>
    </row>
    <row r="68" spans="1:5" ht="47.25" hidden="1" thickTop="1" thickBot="1" x14ac:dyDescent="0.25">
      <c r="A68" s="552">
        <v>41053900</v>
      </c>
      <c r="B68" s="870" t="s">
        <v>930</v>
      </c>
      <c r="C68" s="871"/>
      <c r="D68" s="553">
        <v>0</v>
      </c>
    </row>
    <row r="69" spans="1:5" ht="47.25" hidden="1" thickTop="1" thickBot="1" x14ac:dyDescent="0.25">
      <c r="A69" s="126" t="s">
        <v>605</v>
      </c>
      <c r="B69" s="837" t="s">
        <v>606</v>
      </c>
      <c r="C69" s="838"/>
      <c r="D69" s="404">
        <v>0</v>
      </c>
    </row>
    <row r="70" spans="1:5" ht="47.25" hidden="1" thickTop="1" thickBot="1" x14ac:dyDescent="0.25">
      <c r="A70" s="126" t="s">
        <v>1497</v>
      </c>
      <c r="B70" s="837" t="s">
        <v>1477</v>
      </c>
      <c r="C70" s="838"/>
      <c r="D70" s="404">
        <v>0</v>
      </c>
    </row>
    <row r="71" spans="1:5" ht="47.25" hidden="1" thickTop="1" thickBot="1" x14ac:dyDescent="0.25">
      <c r="A71" s="126" t="s">
        <v>1247</v>
      </c>
      <c r="B71" s="837" t="s">
        <v>600</v>
      </c>
      <c r="C71" s="838"/>
      <c r="D71" s="187">
        <f>SUM(D67:D70)</f>
        <v>0</v>
      </c>
    </row>
    <row r="72" spans="1:5" ht="47.25" hidden="1" thickTop="1" thickBot="1" x14ac:dyDescent="0.25">
      <c r="A72" s="552">
        <v>41053900</v>
      </c>
      <c r="B72" s="870" t="s">
        <v>1066</v>
      </c>
      <c r="C72" s="871"/>
      <c r="D72" s="553">
        <v>0</v>
      </c>
    </row>
    <row r="73" spans="1:5" ht="47.25" hidden="1" thickTop="1" thickBot="1" x14ac:dyDescent="0.25">
      <c r="A73" s="552" t="s">
        <v>569</v>
      </c>
      <c r="B73" s="870" t="s">
        <v>570</v>
      </c>
      <c r="C73" s="871"/>
      <c r="D73" s="554">
        <f>D72</f>
        <v>0</v>
      </c>
    </row>
    <row r="74" spans="1:5" ht="47.25" thickTop="1" thickBot="1" x14ac:dyDescent="0.25">
      <c r="A74" s="619" t="s">
        <v>377</v>
      </c>
      <c r="B74" s="874" t="s">
        <v>589</v>
      </c>
      <c r="C74" s="875"/>
      <c r="D74" s="620">
        <f>D75+D76</f>
        <v>929135917.20000005</v>
      </c>
      <c r="E74" s="514" t="b">
        <f>D74='d1'!C114</f>
        <v>1</v>
      </c>
    </row>
    <row r="75" spans="1:5" ht="47.25" thickTop="1" thickBot="1" x14ac:dyDescent="0.25">
      <c r="A75" s="101" t="s">
        <v>377</v>
      </c>
      <c r="B75" s="835" t="s">
        <v>382</v>
      </c>
      <c r="C75" s="836"/>
      <c r="D75" s="302">
        <f>D58+D29+D33+D60+D16</f>
        <v>927335950.20000005</v>
      </c>
      <c r="E75" s="514" t="b">
        <f>D75='d1'!D114</f>
        <v>1</v>
      </c>
    </row>
    <row r="76" spans="1:5" ht="47.25" thickTop="1" thickBot="1" x14ac:dyDescent="0.25">
      <c r="A76" s="101" t="s">
        <v>377</v>
      </c>
      <c r="B76" s="835" t="s">
        <v>383</v>
      </c>
      <c r="C76" s="836"/>
      <c r="D76" s="302">
        <f>D71+D65+D73</f>
        <v>1799967</v>
      </c>
      <c r="E76" s="514" t="b">
        <f>D76='d1'!E114</f>
        <v>1</v>
      </c>
    </row>
    <row r="77" spans="1:5" ht="31.7" customHeight="1" thickTop="1" x14ac:dyDescent="0.2">
      <c r="A77" s="165"/>
      <c r="B77" s="166"/>
      <c r="C77" s="166"/>
      <c r="D77" s="166"/>
    </row>
    <row r="78" spans="1:5" ht="31.7" customHeight="1" x14ac:dyDescent="0.2">
      <c r="A78" s="165"/>
      <c r="B78" s="166"/>
      <c r="C78" s="166"/>
      <c r="D78" s="166"/>
    </row>
    <row r="79" spans="1:5" ht="60" customHeight="1" x14ac:dyDescent="0.2">
      <c r="A79" s="857" t="s">
        <v>1075</v>
      </c>
      <c r="B79" s="858"/>
      <c r="C79" s="858"/>
      <c r="D79" s="858"/>
    </row>
    <row r="80" spans="1:5" ht="54" customHeight="1" thickBot="1" x14ac:dyDescent="0.25">
      <c r="A80" s="165"/>
      <c r="B80" s="166"/>
      <c r="C80" s="166"/>
      <c r="D80" s="300" t="s">
        <v>400</v>
      </c>
    </row>
    <row r="81" spans="1:6" ht="325.5" customHeight="1" thickTop="1" thickBot="1" x14ac:dyDescent="0.25">
      <c r="A81" s="301" t="s">
        <v>590</v>
      </c>
      <c r="B81" s="617" t="s">
        <v>487</v>
      </c>
      <c r="C81" s="301" t="s">
        <v>591</v>
      </c>
      <c r="D81" s="301" t="s">
        <v>379</v>
      </c>
    </row>
    <row r="82" spans="1:6" ht="50.25" customHeight="1" thickTop="1" thickBot="1" x14ac:dyDescent="0.25">
      <c r="A82" s="101" t="s">
        <v>2</v>
      </c>
      <c r="B82" s="101" t="s">
        <v>3</v>
      </c>
      <c r="C82" s="101" t="s">
        <v>14</v>
      </c>
      <c r="D82" s="101" t="s">
        <v>5</v>
      </c>
    </row>
    <row r="83" spans="1:6" ht="65.25" customHeight="1" thickTop="1" thickBot="1" x14ac:dyDescent="0.25">
      <c r="A83" s="859" t="s">
        <v>592</v>
      </c>
      <c r="B83" s="860"/>
      <c r="C83" s="860"/>
      <c r="D83" s="861"/>
    </row>
    <row r="84" spans="1:6" ht="138.75" thickTop="1" thickBot="1" x14ac:dyDescent="0.55000000000000004">
      <c r="A84" s="101" t="s">
        <v>243</v>
      </c>
      <c r="B84" s="101" t="s">
        <v>244</v>
      </c>
      <c r="C84" s="618" t="s">
        <v>438</v>
      </c>
      <c r="D84" s="302">
        <f>SUM(D85:D86)</f>
        <v>1359600</v>
      </c>
      <c r="E84" s="514" t="b">
        <f>D84='d3'!E46</f>
        <v>1</v>
      </c>
      <c r="F84" s="188"/>
    </row>
    <row r="85" spans="1:6" ht="47.25" thickTop="1" thickBot="1" x14ac:dyDescent="0.55000000000000004">
      <c r="A85" s="101" t="s">
        <v>1246</v>
      </c>
      <c r="B85" s="101"/>
      <c r="C85" s="618" t="s">
        <v>571</v>
      </c>
      <c r="D85" s="302">
        <v>660000</v>
      </c>
      <c r="E85" s="188"/>
      <c r="F85" s="188"/>
    </row>
    <row r="86" spans="1:6" ht="47.25" thickTop="1" thickBot="1" x14ac:dyDescent="0.55000000000000004">
      <c r="A86" s="101" t="s">
        <v>1245</v>
      </c>
      <c r="B86" s="101"/>
      <c r="C86" s="618" t="s">
        <v>572</v>
      </c>
      <c r="D86" s="302">
        <v>699600</v>
      </c>
      <c r="E86" s="188"/>
      <c r="F86" s="188"/>
    </row>
    <row r="87" spans="1:6" ht="47.25" thickTop="1" thickBot="1" x14ac:dyDescent="0.55000000000000004">
      <c r="A87" s="101" t="s">
        <v>568</v>
      </c>
      <c r="B87" s="101" t="s">
        <v>359</v>
      </c>
      <c r="C87" s="618" t="s">
        <v>360</v>
      </c>
      <c r="D87" s="302">
        <f>SUM(D88)</f>
        <v>0</v>
      </c>
      <c r="E87" s="514" t="b">
        <f>D87='d3'!E47</f>
        <v>1</v>
      </c>
      <c r="F87" s="188"/>
    </row>
    <row r="88" spans="1:6" ht="47.25" thickTop="1" thickBot="1" x14ac:dyDescent="0.55000000000000004">
      <c r="A88" s="101" t="s">
        <v>1244</v>
      </c>
      <c r="B88" s="101"/>
      <c r="C88" s="618" t="s">
        <v>570</v>
      </c>
      <c r="D88" s="302">
        <f>(166200)-166200</f>
        <v>0</v>
      </c>
      <c r="E88" s="188"/>
      <c r="F88" s="188"/>
    </row>
    <row r="89" spans="1:6" ht="47.25" hidden="1" thickTop="1" thickBot="1" x14ac:dyDescent="0.55000000000000004">
      <c r="A89" s="126" t="s">
        <v>1072</v>
      </c>
      <c r="B89" s="126" t="s">
        <v>359</v>
      </c>
      <c r="C89" s="406" t="s">
        <v>360</v>
      </c>
      <c r="D89" s="187">
        <f>D90</f>
        <v>0</v>
      </c>
      <c r="E89" s="514" t="b">
        <f>D89='d3'!E267</f>
        <v>1</v>
      </c>
      <c r="F89" s="188"/>
    </row>
    <row r="90" spans="1:6" ht="47.25" hidden="1" thickTop="1" thickBot="1" x14ac:dyDescent="0.55000000000000004">
      <c r="A90" s="126" t="s">
        <v>1247</v>
      </c>
      <c r="B90" s="126"/>
      <c r="C90" s="406" t="s">
        <v>600</v>
      </c>
      <c r="D90" s="187">
        <v>0</v>
      </c>
      <c r="E90" s="188"/>
      <c r="F90" s="188"/>
    </row>
    <row r="91" spans="1:6" ht="47.25" thickTop="1" thickBot="1" x14ac:dyDescent="0.55000000000000004">
      <c r="A91" s="101" t="s">
        <v>1412</v>
      </c>
      <c r="B91" s="101" t="s">
        <v>359</v>
      </c>
      <c r="C91" s="618" t="s">
        <v>360</v>
      </c>
      <c r="D91" s="302">
        <f>D92</f>
        <v>1800000</v>
      </c>
      <c r="E91" s="514" t="b">
        <f>D91='d3'!E333</f>
        <v>1</v>
      </c>
      <c r="F91" s="188"/>
    </row>
    <row r="92" spans="1:6" ht="47.25" thickTop="1" thickBot="1" x14ac:dyDescent="0.55000000000000004">
      <c r="A92" s="101" t="s">
        <v>1247</v>
      </c>
      <c r="B92" s="101"/>
      <c r="C92" s="618" t="s">
        <v>600</v>
      </c>
      <c r="D92" s="302">
        <f>(1000000)+300000+500000</f>
        <v>1800000</v>
      </c>
      <c r="E92" s="188"/>
      <c r="F92" s="188"/>
    </row>
    <row r="93" spans="1:6" ht="138.75" thickTop="1" thickBot="1" x14ac:dyDescent="0.55000000000000004">
      <c r="A93" s="101" t="s">
        <v>508</v>
      </c>
      <c r="B93" s="101" t="s">
        <v>509</v>
      </c>
      <c r="C93" s="618" t="s">
        <v>510</v>
      </c>
      <c r="D93" s="302">
        <f>((((55000000+10000000)-32429356.72+5200000)+25524000+3500000+2000000)+13138028.59)+13487200</f>
        <v>95419871.870000005</v>
      </c>
      <c r="E93" s="514" t="b">
        <f>D93='d3'!E48</f>
        <v>1</v>
      </c>
      <c r="F93" s="188"/>
    </row>
    <row r="94" spans="1:6" ht="138.75" hidden="1" thickTop="1" thickBot="1" x14ac:dyDescent="0.55000000000000004">
      <c r="A94" s="126" t="s">
        <v>1280</v>
      </c>
      <c r="B94" s="126" t="s">
        <v>509</v>
      </c>
      <c r="C94" s="406" t="s">
        <v>510</v>
      </c>
      <c r="D94" s="187"/>
      <c r="E94" s="335" t="b">
        <f>D94='d3'!E388</f>
        <v>1</v>
      </c>
      <c r="F94" s="188"/>
    </row>
    <row r="95" spans="1:6" ht="138.75" hidden="1" thickTop="1" thickBot="1" x14ac:dyDescent="0.55000000000000004">
      <c r="A95" s="126" t="s">
        <v>1206</v>
      </c>
      <c r="B95" s="126" t="s">
        <v>509</v>
      </c>
      <c r="C95" s="406" t="s">
        <v>510</v>
      </c>
      <c r="D95" s="187"/>
      <c r="E95" s="335" t="b">
        <f>D95='d3'!E418</f>
        <v>1</v>
      </c>
      <c r="F95" s="188"/>
    </row>
    <row r="96" spans="1:6" ht="47.25" thickTop="1" thickBot="1" x14ac:dyDescent="0.55000000000000004">
      <c r="A96" s="101" t="s">
        <v>1243</v>
      </c>
      <c r="B96" s="101"/>
      <c r="C96" s="618" t="s">
        <v>567</v>
      </c>
      <c r="D96" s="302">
        <f>SUM(D93:D95)</f>
        <v>95419871.870000005</v>
      </c>
      <c r="E96" s="188"/>
      <c r="F96" s="188"/>
    </row>
    <row r="97" spans="1:6" ht="47.25" hidden="1" thickTop="1" thickBot="1" x14ac:dyDescent="0.55000000000000004">
      <c r="A97" s="189" t="s">
        <v>578</v>
      </c>
      <c r="B97" s="189" t="s">
        <v>359</v>
      </c>
      <c r="C97" s="191" t="s">
        <v>360</v>
      </c>
      <c r="D97" s="190">
        <f>SUM(D98)</f>
        <v>0</v>
      </c>
      <c r="E97" s="335" t="b">
        <f>D97='d3'!E230</f>
        <v>1</v>
      </c>
      <c r="F97" s="188"/>
    </row>
    <row r="98" spans="1:6" ht="93" hidden="1" thickTop="1" thickBot="1" x14ac:dyDescent="0.55000000000000004">
      <c r="A98" s="189" t="s">
        <v>573</v>
      </c>
      <c r="B98" s="189"/>
      <c r="C98" s="191" t="s">
        <v>574</v>
      </c>
      <c r="D98" s="190">
        <v>0</v>
      </c>
      <c r="E98" s="188"/>
      <c r="F98" s="188"/>
    </row>
    <row r="99" spans="1:6" ht="47.25" hidden="1" thickTop="1" thickBot="1" x14ac:dyDescent="0.55000000000000004">
      <c r="A99" s="189" t="s">
        <v>1072</v>
      </c>
      <c r="B99" s="189" t="s">
        <v>359</v>
      </c>
      <c r="C99" s="191" t="s">
        <v>360</v>
      </c>
      <c r="D99" s="190">
        <v>0</v>
      </c>
      <c r="E99" s="335" t="b">
        <f>D99='d3'!E267</f>
        <v>1</v>
      </c>
      <c r="F99" s="188"/>
    </row>
    <row r="100" spans="1:6" ht="47.25" hidden="1" thickTop="1" thickBot="1" x14ac:dyDescent="0.55000000000000004">
      <c r="A100" s="126" t="s">
        <v>890</v>
      </c>
      <c r="B100" s="126" t="s">
        <v>359</v>
      </c>
      <c r="C100" s="406" t="s">
        <v>360</v>
      </c>
      <c r="D100" s="187"/>
      <c r="E100" s="335" t="b">
        <f>D100='d3'!E408</f>
        <v>1</v>
      </c>
      <c r="F100" s="188"/>
    </row>
    <row r="101" spans="1:6" ht="47.25" hidden="1" thickTop="1" thickBot="1" x14ac:dyDescent="0.55000000000000004">
      <c r="A101" s="126" t="s">
        <v>1247</v>
      </c>
      <c r="B101" s="126"/>
      <c r="C101" s="406" t="s">
        <v>600</v>
      </c>
      <c r="D101" s="187">
        <f>SUM(D99:D100)</f>
        <v>0</v>
      </c>
      <c r="E101" s="188"/>
      <c r="F101" s="188"/>
    </row>
    <row r="102" spans="1:6" ht="321.75" hidden="1" thickTop="1" thickBot="1" x14ac:dyDescent="0.55000000000000004">
      <c r="A102" s="126" t="s">
        <v>1325</v>
      </c>
      <c r="B102" s="126" t="s">
        <v>1326</v>
      </c>
      <c r="C102" s="406" t="s">
        <v>1324</v>
      </c>
      <c r="D102" s="187">
        <f>(2000000)-2000000</f>
        <v>0</v>
      </c>
      <c r="E102" s="188"/>
      <c r="F102" s="188"/>
    </row>
    <row r="103" spans="1:6" ht="47.25" hidden="1" thickTop="1" thickBot="1" x14ac:dyDescent="0.55000000000000004">
      <c r="A103" s="126" t="s">
        <v>1243</v>
      </c>
      <c r="B103" s="126"/>
      <c r="C103" s="406" t="s">
        <v>567</v>
      </c>
      <c r="D103" s="187">
        <f>D102</f>
        <v>0</v>
      </c>
      <c r="E103" s="188"/>
      <c r="F103" s="188"/>
    </row>
    <row r="104" spans="1:6" ht="47.25" thickTop="1" thickBot="1" x14ac:dyDescent="0.55000000000000004">
      <c r="A104" s="101" t="s">
        <v>594</v>
      </c>
      <c r="B104" s="101" t="s">
        <v>595</v>
      </c>
      <c r="C104" s="618" t="s">
        <v>446</v>
      </c>
      <c r="D104" s="302">
        <f>SUM(D105)</f>
        <v>166190800</v>
      </c>
      <c r="E104" s="514" t="b">
        <f>D104='d3'!E445</f>
        <v>1</v>
      </c>
      <c r="F104" s="188"/>
    </row>
    <row r="105" spans="1:6" ht="47.25" thickTop="1" thickBot="1" x14ac:dyDescent="0.55000000000000004">
      <c r="A105" s="101" t="s">
        <v>1243</v>
      </c>
      <c r="B105" s="101"/>
      <c r="C105" s="618" t="s">
        <v>567</v>
      </c>
      <c r="D105" s="302">
        <v>166190800</v>
      </c>
      <c r="E105" s="188"/>
      <c r="F105" s="188"/>
    </row>
    <row r="106" spans="1:6" ht="61.5" customHeight="1" thickTop="1" thickBot="1" x14ac:dyDescent="0.55000000000000004">
      <c r="A106" s="859" t="s">
        <v>593</v>
      </c>
      <c r="B106" s="860"/>
      <c r="C106" s="860"/>
      <c r="D106" s="861"/>
      <c r="E106" s="188"/>
      <c r="F106" s="188"/>
    </row>
    <row r="107" spans="1:6" ht="47.25" hidden="1" thickTop="1" thickBot="1" x14ac:dyDescent="0.55000000000000004">
      <c r="A107" s="126" t="s">
        <v>1412</v>
      </c>
      <c r="B107" s="126" t="s">
        <v>359</v>
      </c>
      <c r="C107" s="406" t="s">
        <v>360</v>
      </c>
      <c r="D107" s="187">
        <f>D108</f>
        <v>0</v>
      </c>
      <c r="E107" s="188"/>
      <c r="F107" s="188"/>
    </row>
    <row r="108" spans="1:6" ht="47.25" hidden="1" thickTop="1" thickBot="1" x14ac:dyDescent="0.55000000000000004">
      <c r="A108" s="126" t="s">
        <v>1247</v>
      </c>
      <c r="B108" s="126"/>
      <c r="C108" s="406" t="s">
        <v>600</v>
      </c>
      <c r="D108" s="187">
        <v>0</v>
      </c>
      <c r="E108" s="188"/>
      <c r="F108" s="188"/>
    </row>
    <row r="109" spans="1:6" ht="138.75" thickTop="1" thickBot="1" x14ac:dyDescent="0.55000000000000004">
      <c r="A109" s="101" t="s">
        <v>508</v>
      </c>
      <c r="B109" s="101" t="s">
        <v>509</v>
      </c>
      <c r="C109" s="618" t="s">
        <v>510</v>
      </c>
      <c r="D109" s="302">
        <f>((((0)+32785000-5200000+1500000)+41315500+2000000-2000000)+40861971.41+150000)+44051484.15</f>
        <v>155463955.56</v>
      </c>
      <c r="E109" s="514" t="b">
        <f>D109='d3'!J48</f>
        <v>0</v>
      </c>
      <c r="F109" s="188"/>
    </row>
    <row r="110" spans="1:6" ht="138.75" hidden="1" thickTop="1" thickBot="1" x14ac:dyDescent="0.55000000000000004">
      <c r="A110" s="126" t="s">
        <v>1206</v>
      </c>
      <c r="B110" s="126" t="s">
        <v>509</v>
      </c>
      <c r="C110" s="406" t="s">
        <v>510</v>
      </c>
      <c r="D110" s="187">
        <v>0</v>
      </c>
      <c r="E110" s="335" t="b">
        <f>D110='d3'!P418</f>
        <v>1</v>
      </c>
      <c r="F110" s="188"/>
    </row>
    <row r="111" spans="1:6" ht="138.75" hidden="1" thickTop="1" thickBot="1" x14ac:dyDescent="0.55000000000000004">
      <c r="A111" s="126" t="s">
        <v>1206</v>
      </c>
      <c r="B111" s="126" t="s">
        <v>509</v>
      </c>
      <c r="C111" s="406" t="s">
        <v>510</v>
      </c>
      <c r="D111" s="187"/>
      <c r="E111" s="335" t="b">
        <f>D111='d3'!J418</f>
        <v>1</v>
      </c>
      <c r="F111" s="188"/>
    </row>
    <row r="112" spans="1:6" ht="47.25" thickTop="1" thickBot="1" x14ac:dyDescent="0.55000000000000004">
      <c r="A112" s="101" t="s">
        <v>1243</v>
      </c>
      <c r="B112" s="101"/>
      <c r="C112" s="618" t="s">
        <v>567</v>
      </c>
      <c r="D112" s="302">
        <f>D109+D111</f>
        <v>155463955.56</v>
      </c>
      <c r="E112" s="188"/>
      <c r="F112" s="188"/>
    </row>
    <row r="113" spans="1:12" ht="47.25" hidden="1" thickTop="1" thickBot="1" x14ac:dyDescent="0.55000000000000004">
      <c r="A113" s="189" t="s">
        <v>998</v>
      </c>
      <c r="B113" s="189" t="s">
        <v>359</v>
      </c>
      <c r="C113" s="191" t="s">
        <v>360</v>
      </c>
      <c r="D113" s="190">
        <v>0</v>
      </c>
      <c r="E113" s="335" t="b">
        <f>D113='d3'!J113</f>
        <v>1</v>
      </c>
      <c r="F113" s="188"/>
    </row>
    <row r="114" spans="1:12" ht="47.25" thickTop="1" thickBot="1" x14ac:dyDescent="0.55000000000000004">
      <c r="A114" s="101" t="s">
        <v>504</v>
      </c>
      <c r="B114" s="101" t="s">
        <v>359</v>
      </c>
      <c r="C114" s="618" t="s">
        <v>360</v>
      </c>
      <c r="D114" s="302">
        <v>500000</v>
      </c>
      <c r="E114" s="514" t="b">
        <f>D114='d3'!J147</f>
        <v>1</v>
      </c>
      <c r="F114" s="188"/>
    </row>
    <row r="115" spans="1:12" ht="47.25" hidden="1" thickTop="1" thickBot="1" x14ac:dyDescent="0.55000000000000004">
      <c r="A115" s="189" t="s">
        <v>1072</v>
      </c>
      <c r="B115" s="189" t="s">
        <v>359</v>
      </c>
      <c r="C115" s="191" t="s">
        <v>360</v>
      </c>
      <c r="D115" s="190">
        <v>0</v>
      </c>
      <c r="E115" s="335" t="b">
        <f>D115='d3'!J267</f>
        <v>1</v>
      </c>
      <c r="F115" s="188"/>
    </row>
    <row r="116" spans="1:12" ht="47.25" hidden="1" thickTop="1" thickBot="1" x14ac:dyDescent="0.55000000000000004">
      <c r="A116" s="126" t="s">
        <v>1412</v>
      </c>
      <c r="B116" s="126" t="s">
        <v>359</v>
      </c>
      <c r="C116" s="406" t="s">
        <v>360</v>
      </c>
      <c r="D116" s="187"/>
      <c r="E116" s="335" t="b">
        <f>D116='d3'!J333</f>
        <v>1</v>
      </c>
      <c r="F116" s="188"/>
    </row>
    <row r="117" spans="1:12" ht="47.25" hidden="1" thickTop="1" thickBot="1" x14ac:dyDescent="0.55000000000000004">
      <c r="A117" s="126" t="s">
        <v>890</v>
      </c>
      <c r="B117" s="126" t="s">
        <v>359</v>
      </c>
      <c r="C117" s="406" t="s">
        <v>360</v>
      </c>
      <c r="D117" s="187">
        <v>0</v>
      </c>
      <c r="E117" s="335" t="b">
        <f>D117='d3'!J408</f>
        <v>1</v>
      </c>
      <c r="F117" s="188"/>
    </row>
    <row r="118" spans="1:12" ht="47.25" thickTop="1" thickBot="1" x14ac:dyDescent="0.55000000000000004">
      <c r="A118" s="101" t="s">
        <v>1247</v>
      </c>
      <c r="B118" s="101"/>
      <c r="C118" s="618" t="s">
        <v>600</v>
      </c>
      <c r="D118" s="302">
        <f>SUM(D113:D117)</f>
        <v>500000</v>
      </c>
      <c r="E118" s="188"/>
      <c r="F118" s="188"/>
    </row>
    <row r="119" spans="1:12" ht="47.25" hidden="1" thickTop="1" thickBot="1" x14ac:dyDescent="0.55000000000000004">
      <c r="A119" s="401"/>
      <c r="B119" s="401"/>
      <c r="C119" s="403"/>
      <c r="D119" s="407"/>
      <c r="E119" s="188"/>
      <c r="F119" s="188"/>
    </row>
    <row r="120" spans="1:12" ht="47.25" thickTop="1" thickBot="1" x14ac:dyDescent="0.25">
      <c r="A120" s="619" t="s">
        <v>377</v>
      </c>
      <c r="B120" s="619" t="s">
        <v>377</v>
      </c>
      <c r="C120" s="621" t="s">
        <v>589</v>
      </c>
      <c r="D120" s="620">
        <f>D85+D86+D88+D96+D98+D101+D105+D112+D118+D103+D92+D108+D90</f>
        <v>420734227.43000001</v>
      </c>
      <c r="E120" s="515" t="b">
        <f>D120=D121+D122</f>
        <v>0</v>
      </c>
      <c r="F120" s="515" t="b">
        <f>D120=D104+'d7'!G49+'d7'!G50+'d7'!G51+'d7'!G52+'d7'!G53+'d7'!G54+'d7'!G55+'d7'!G56+'d7'!G57+'d7'!G59+'d7'!G60+'d7'!G351+'d7'!G374+'d7'!G47+'d7'!G48+'d7'!G61+'d7'!G367+'d7'!G311+'d7'!G58+'d7'!G233+'d7'!G143</f>
        <v>0</v>
      </c>
    </row>
    <row r="121" spans="1:12" ht="47.25" thickTop="1" thickBot="1" x14ac:dyDescent="0.55000000000000004">
      <c r="A121" s="101" t="s">
        <v>377</v>
      </c>
      <c r="B121" s="101" t="s">
        <v>377</v>
      </c>
      <c r="C121" s="618" t="s">
        <v>382</v>
      </c>
      <c r="D121" s="302">
        <f>'d3'!E44+'d3'!E387+'d3'!E417+'d3'!E443+'d3'!E408+'d3'!E333+'d3'!E267+'d3'!E147</f>
        <v>264770271.87</v>
      </c>
      <c r="E121" s="515" t="b">
        <f>D121=D84+D87+D97+D100+D104+D93+D99+D95+D94+D102+D91+D89</f>
        <v>1</v>
      </c>
      <c r="F121" s="408"/>
    </row>
    <row r="122" spans="1:12" ht="47.25" thickTop="1" thickBot="1" x14ac:dyDescent="0.55000000000000004">
      <c r="A122" s="101" t="s">
        <v>377</v>
      </c>
      <c r="B122" s="101" t="s">
        <v>377</v>
      </c>
      <c r="C122" s="618" t="s">
        <v>383</v>
      </c>
      <c r="D122" s="302">
        <f>'d3'!J44+'d3'!J387+'d3'!J417+'d3'!J443+'d3'!J333+'d3'!J147</f>
        <v>152963955.56</v>
      </c>
      <c r="E122" s="515" t="b">
        <f>D122=D111+D109+D116+D107+D114</f>
        <v>0</v>
      </c>
      <c r="F122" s="408"/>
    </row>
    <row r="123" spans="1:12" ht="38.25" customHeight="1" thickTop="1" x14ac:dyDescent="0.2">
      <c r="A123" s="15"/>
      <c r="B123" s="16"/>
      <c r="C123" s="16"/>
      <c r="D123" s="16"/>
      <c r="E123" s="13"/>
      <c r="F123" s="13"/>
    </row>
    <row r="124" spans="1:12" ht="45.75" hidden="1" x14ac:dyDescent="0.65">
      <c r="A124" s="15"/>
      <c r="B124" s="856" t="s">
        <v>1649</v>
      </c>
      <c r="C124" s="743"/>
      <c r="D124" s="2" t="s">
        <v>1650</v>
      </c>
      <c r="E124" s="356"/>
      <c r="F124" s="192"/>
      <c r="G124" s="193"/>
      <c r="H124" s="192"/>
      <c r="I124" s="192"/>
      <c r="J124" s="194"/>
      <c r="K124" s="194"/>
      <c r="L124" s="194"/>
    </row>
    <row r="125" spans="1:12" ht="45.75" hidden="1" x14ac:dyDescent="0.65">
      <c r="A125" s="15"/>
      <c r="B125" s="3" t="s">
        <v>1376</v>
      </c>
      <c r="C125" s="303"/>
      <c r="D125" s="3" t="s">
        <v>1377</v>
      </c>
      <c r="E125" s="356"/>
      <c r="F125" s="192"/>
      <c r="G125" s="193"/>
      <c r="H125" s="192"/>
      <c r="I125" s="192"/>
      <c r="J125" s="194"/>
      <c r="K125" s="194"/>
      <c r="L125" s="194"/>
    </row>
    <row r="126" spans="1:12" ht="81.75" customHeight="1" x14ac:dyDescent="0.65">
      <c r="A126" s="15"/>
      <c r="B126" s="955" t="s">
        <v>1751</v>
      </c>
      <c r="C126" s="956"/>
      <c r="D126" s="957" t="s">
        <v>1750</v>
      </c>
      <c r="E126" s="356"/>
      <c r="F126" s="192"/>
      <c r="G126" s="193"/>
      <c r="H126" s="192"/>
      <c r="I126" s="192"/>
      <c r="J126" s="194"/>
      <c r="K126" s="194"/>
      <c r="L126" s="194"/>
    </row>
    <row r="127" spans="1:12" ht="35.25" customHeight="1" x14ac:dyDescent="0.65">
      <c r="A127" s="76"/>
      <c r="B127" s="3"/>
      <c r="C127" s="3"/>
      <c r="D127" s="3"/>
      <c r="E127" s="357"/>
      <c r="F127" s="13"/>
    </row>
    <row r="128" spans="1:12" ht="42" customHeight="1" x14ac:dyDescent="0.65">
      <c r="A128" s="75"/>
      <c r="B128" s="856" t="s">
        <v>516</v>
      </c>
      <c r="C128" s="743"/>
      <c r="D128" s="3" t="s">
        <v>1290</v>
      </c>
      <c r="E128" s="357"/>
      <c r="F128" s="399"/>
      <c r="G128" s="398"/>
      <c r="H128" s="399"/>
      <c r="I128" s="399"/>
    </row>
    <row r="129" spans="1:6" ht="45.75" x14ac:dyDescent="0.65">
      <c r="A129" s="183"/>
      <c r="B129" s="876"/>
      <c r="C129" s="877"/>
      <c r="D129" s="192"/>
      <c r="E129" s="13"/>
      <c r="F129" s="13"/>
    </row>
    <row r="130" spans="1:6" ht="45.75" x14ac:dyDescent="0.65">
      <c r="A130" s="183"/>
      <c r="B130" s="873"/>
      <c r="C130" s="873"/>
      <c r="D130" s="873"/>
      <c r="E130" s="13"/>
      <c r="F130" s="13"/>
    </row>
    <row r="133" spans="1:6" x14ac:dyDescent="0.2">
      <c r="A133" s="185"/>
      <c r="B133" s="185"/>
      <c r="C133" s="185"/>
    </row>
    <row r="135" spans="1:6" x14ac:dyDescent="0.2">
      <c r="A135" s="185"/>
      <c r="B135" s="185"/>
      <c r="C135" s="185"/>
    </row>
    <row r="139" spans="1:6" x14ac:dyDescent="0.2">
      <c r="A139" s="185"/>
      <c r="B139" s="185"/>
      <c r="C139" s="185"/>
      <c r="D139" s="185"/>
    </row>
    <row r="140" spans="1:6" x14ac:dyDescent="0.2">
      <c r="A140" s="185"/>
      <c r="B140" s="185"/>
      <c r="C140" s="185"/>
      <c r="D140" s="185"/>
    </row>
    <row r="141" spans="1:6" x14ac:dyDescent="0.2">
      <c r="A141" s="185"/>
      <c r="B141" s="185"/>
      <c r="C141" s="185"/>
      <c r="D141" s="185"/>
    </row>
    <row r="142" spans="1:6" x14ac:dyDescent="0.2">
      <c r="A142" s="185"/>
      <c r="B142" s="185"/>
      <c r="C142" s="185"/>
      <c r="D142" s="185"/>
    </row>
  </sheetData>
  <mergeCells count="91">
    <mergeCell ref="B126:C126"/>
    <mergeCell ref="B58:C58"/>
    <mergeCell ref="B130:D130"/>
    <mergeCell ref="A83:D83"/>
    <mergeCell ref="A106:D106"/>
    <mergeCell ref="B66:C66"/>
    <mergeCell ref="B75:C75"/>
    <mergeCell ref="B76:C76"/>
    <mergeCell ref="B74:C74"/>
    <mergeCell ref="B67:C67"/>
    <mergeCell ref="B71:C71"/>
    <mergeCell ref="A79:D79"/>
    <mergeCell ref="B72:C72"/>
    <mergeCell ref="B73:C73"/>
    <mergeCell ref="B68:C68"/>
    <mergeCell ref="B128:C128"/>
    <mergeCell ref="B129:C129"/>
    <mergeCell ref="B59:C59"/>
    <mergeCell ref="B60:C60"/>
    <mergeCell ref="B62:C62"/>
    <mergeCell ref="B64:C64"/>
    <mergeCell ref="B65:C65"/>
    <mergeCell ref="A61:D61"/>
    <mergeCell ref="B63:C63"/>
    <mergeCell ref="B69:C69"/>
    <mergeCell ref="B124:C124"/>
    <mergeCell ref="B70:C70"/>
    <mergeCell ref="A9:D9"/>
    <mergeCell ref="A13:D13"/>
    <mergeCell ref="B11:C11"/>
    <mergeCell ref="B12:C12"/>
    <mergeCell ref="B14:C14"/>
    <mergeCell ref="D38:D39"/>
    <mergeCell ref="B44:C44"/>
    <mergeCell ref="B50:C50"/>
    <mergeCell ref="A50:A51"/>
    <mergeCell ref="D50:D51"/>
    <mergeCell ref="B51:C51"/>
    <mergeCell ref="A40:A41"/>
    <mergeCell ref="D40:D41"/>
    <mergeCell ref="B18:C18"/>
    <mergeCell ref="B19:C19"/>
    <mergeCell ref="B27:C27"/>
    <mergeCell ref="B26:C26"/>
    <mergeCell ref="B36:C36"/>
    <mergeCell ref="B23:C23"/>
    <mergeCell ref="B35:C35"/>
    <mergeCell ref="N3:O3"/>
    <mergeCell ref="N4:O4"/>
    <mergeCell ref="N5:O5"/>
    <mergeCell ref="A6:D6"/>
    <mergeCell ref="A7:D7"/>
    <mergeCell ref="A5:D5"/>
    <mergeCell ref="D42:D43"/>
    <mergeCell ref="B46:C46"/>
    <mergeCell ref="B48:C48"/>
    <mergeCell ref="B47:C47"/>
    <mergeCell ref="B37:C37"/>
    <mergeCell ref="D36:D37"/>
    <mergeCell ref="B49:C49"/>
    <mergeCell ref="B38:C38"/>
    <mergeCell ref="B39:C39"/>
    <mergeCell ref="A38:A39"/>
    <mergeCell ref="B20:C20"/>
    <mergeCell ref="B32:C32"/>
    <mergeCell ref="A42:A43"/>
    <mergeCell ref="B30:C30"/>
    <mergeCell ref="B31:C31"/>
    <mergeCell ref="B21:C21"/>
    <mergeCell ref="B28:C28"/>
    <mergeCell ref="B24:C24"/>
    <mergeCell ref="B25:C25"/>
    <mergeCell ref="B22:C22"/>
    <mergeCell ref="B29:C29"/>
    <mergeCell ref="A36:A37"/>
    <mergeCell ref="B56:C56"/>
    <mergeCell ref="B57:C57"/>
    <mergeCell ref="B15:C15"/>
    <mergeCell ref="B16:C16"/>
    <mergeCell ref="B55:C55"/>
    <mergeCell ref="B53:C53"/>
    <mergeCell ref="B34:C34"/>
    <mergeCell ref="B33:C33"/>
    <mergeCell ref="B42:C42"/>
    <mergeCell ref="B52:C52"/>
    <mergeCell ref="B45:C45"/>
    <mergeCell ref="B43:C43"/>
    <mergeCell ref="B40:C40"/>
    <mergeCell ref="B41:C41"/>
    <mergeCell ref="B54:C54"/>
    <mergeCell ref="B17:C17"/>
  </mergeCells>
  <pageMargins left="0.23622047244094491" right="0.27559055118110237" top="0.27559055118110237" bottom="0.15748031496062992" header="0.23622047244094491" footer="0.27559055118110237"/>
  <pageSetup paperSize="9" scale="27" fitToHeight="0" orientation="portrait" r:id="rId1"/>
  <headerFooter alignWithMargins="0">
    <oddFooter>&amp;C&amp;"Times New Roman Cyr,курсив"Сторінка &amp;P з &amp;N</oddFooter>
  </headerFooter>
  <rowBreaks count="2" manualBreakCount="2">
    <brk id="44" max="3" man="1"/>
    <brk id="12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62"/>
  <sheetViews>
    <sheetView view="pageBreakPreview" topLeftCell="B1" zoomScale="70" zoomScaleNormal="40" zoomScaleSheetLayoutView="70" workbookViewId="0">
      <pane ySplit="10" topLeftCell="A144" activePane="bottomLeft" state="frozen"/>
      <selection activeCell="G144" sqref="G144"/>
      <selection pane="bottomLeft" activeCell="B149" sqref="A149:XFD149"/>
    </sheetView>
  </sheetViews>
  <sheetFormatPr defaultColWidth="7.85546875" defaultRowHeight="12.75" x14ac:dyDescent="0.2"/>
  <cols>
    <col min="1" max="1" width="3.28515625" style="167" hidden="1" customWidth="1"/>
    <col min="2" max="3" width="15.42578125" style="11" customWidth="1"/>
    <col min="4" max="4" width="16.85546875" style="11" customWidth="1"/>
    <col min="5" max="5" width="41.5703125" style="11" customWidth="1"/>
    <col min="6" max="6" width="48.7109375" style="11" customWidth="1"/>
    <col min="7" max="8" width="18.140625" style="241" customWidth="1"/>
    <col min="9" max="9" width="20.28515625" style="241" customWidth="1"/>
    <col min="10" max="10" width="23" style="241" customWidth="1"/>
    <col min="11" max="11" width="18.140625" style="241" customWidth="1"/>
    <col min="12" max="12" width="24.85546875" style="167" bestFit="1" customWidth="1"/>
    <col min="13" max="14" width="15.42578125" style="167" bestFit="1" customWidth="1"/>
    <col min="15" max="15" width="12.7109375" style="167" customWidth="1"/>
    <col min="16" max="16384" width="7.85546875" style="167"/>
  </cols>
  <sheetData>
    <row r="1" spans="1:18" s="237" customFormat="1" ht="22.7" customHeight="1" x14ac:dyDescent="0.25">
      <c r="B1" s="882"/>
      <c r="C1" s="882"/>
      <c r="D1" s="882"/>
      <c r="E1" s="882"/>
      <c r="F1" s="882"/>
      <c r="G1" s="882"/>
      <c r="H1" s="882"/>
      <c r="I1" s="882"/>
      <c r="J1" s="882"/>
      <c r="K1" s="882"/>
    </row>
    <row r="2" spans="1:18" ht="41.25" customHeight="1" x14ac:dyDescent="0.2">
      <c r="B2" s="312"/>
      <c r="C2" s="312"/>
      <c r="D2" s="312"/>
      <c r="E2" s="312"/>
      <c r="F2" s="312"/>
      <c r="G2" s="833" t="s">
        <v>1609</v>
      </c>
      <c r="H2" s="833"/>
      <c r="I2" s="833"/>
      <c r="J2" s="833"/>
      <c r="K2" s="833"/>
    </row>
    <row r="3" spans="1:18" ht="29.25" customHeight="1" x14ac:dyDescent="0.2">
      <c r="B3" s="312"/>
      <c r="C3" s="312"/>
      <c r="D3" s="312"/>
      <c r="E3" s="312"/>
      <c r="F3" s="312"/>
      <c r="G3" s="313"/>
      <c r="H3" s="313"/>
      <c r="I3" s="313"/>
      <c r="J3" s="313"/>
      <c r="K3" s="313"/>
    </row>
    <row r="4" spans="1:18" ht="31.7" customHeight="1" x14ac:dyDescent="0.2">
      <c r="B4" s="883" t="s">
        <v>1076</v>
      </c>
      <c r="C4" s="828"/>
      <c r="D4" s="828"/>
      <c r="E4" s="828"/>
      <c r="F4" s="828"/>
      <c r="G4" s="828"/>
      <c r="H4" s="828"/>
      <c r="I4" s="828"/>
      <c r="J4" s="828"/>
      <c r="K4" s="828"/>
    </row>
    <row r="5" spans="1:18" ht="31.7" customHeight="1" x14ac:dyDescent="0.2">
      <c r="B5" s="883" t="s">
        <v>1077</v>
      </c>
      <c r="C5" s="828"/>
      <c r="D5" s="828"/>
      <c r="E5" s="828"/>
      <c r="F5" s="828"/>
      <c r="G5" s="828"/>
      <c r="H5" s="828"/>
      <c r="I5" s="828"/>
      <c r="J5" s="828"/>
      <c r="K5" s="828"/>
    </row>
    <row r="6" spans="1:18" ht="24.75" customHeight="1" x14ac:dyDescent="0.2">
      <c r="B6" s="883" t="s">
        <v>1540</v>
      </c>
      <c r="C6" s="828"/>
      <c r="D6" s="828"/>
      <c r="E6" s="828"/>
      <c r="F6" s="828"/>
      <c r="G6" s="828"/>
      <c r="H6" s="828"/>
      <c r="I6" s="828"/>
      <c r="J6" s="828"/>
      <c r="K6" s="828"/>
    </row>
    <row r="7" spans="1:18" ht="18.75" x14ac:dyDescent="0.2">
      <c r="B7" s="818">
        <v>2256400000</v>
      </c>
      <c r="C7" s="819"/>
      <c r="D7" s="314"/>
      <c r="E7" s="314"/>
      <c r="F7" s="314"/>
      <c r="G7" s="314"/>
      <c r="H7" s="314"/>
      <c r="I7" s="314"/>
      <c r="J7" s="314"/>
      <c r="K7" s="314"/>
    </row>
    <row r="8" spans="1:18" ht="19.5" thickBot="1" x14ac:dyDescent="0.25">
      <c r="B8" s="820" t="s">
        <v>485</v>
      </c>
      <c r="C8" s="821"/>
      <c r="D8" s="314"/>
      <c r="E8" s="314"/>
      <c r="F8" s="314"/>
      <c r="G8" s="314"/>
      <c r="H8" s="314"/>
      <c r="I8" s="314"/>
      <c r="J8" s="314"/>
      <c r="K8" s="314"/>
    </row>
    <row r="9" spans="1:18" ht="120" customHeight="1" thickTop="1" thickBot="1" x14ac:dyDescent="0.25">
      <c r="A9" s="317"/>
      <c r="B9" s="315" t="s">
        <v>486</v>
      </c>
      <c r="C9" s="315" t="s">
        <v>487</v>
      </c>
      <c r="D9" s="315" t="s">
        <v>386</v>
      </c>
      <c r="E9" s="315" t="s">
        <v>566</v>
      </c>
      <c r="F9" s="316" t="s">
        <v>1078</v>
      </c>
      <c r="G9" s="316" t="s">
        <v>1079</v>
      </c>
      <c r="H9" s="316" t="s">
        <v>1080</v>
      </c>
      <c r="I9" s="316" t="s">
        <v>1081</v>
      </c>
      <c r="J9" s="316" t="s">
        <v>1543</v>
      </c>
      <c r="K9" s="316" t="s">
        <v>1544</v>
      </c>
      <c r="L9" s="196"/>
      <c r="M9" s="196"/>
      <c r="N9" s="196"/>
      <c r="O9" s="196"/>
      <c r="P9" s="196"/>
      <c r="Q9" s="196"/>
      <c r="R9" s="196"/>
    </row>
    <row r="10" spans="1:18" ht="16.5" thickTop="1" thickBot="1" x14ac:dyDescent="0.25">
      <c r="A10" s="317"/>
      <c r="B10" s="315">
        <v>1</v>
      </c>
      <c r="C10" s="315">
        <v>2</v>
      </c>
      <c r="D10" s="315">
        <v>3</v>
      </c>
      <c r="E10" s="315">
        <v>4</v>
      </c>
      <c r="F10" s="315">
        <v>5</v>
      </c>
      <c r="G10" s="315">
        <v>6</v>
      </c>
      <c r="H10" s="315">
        <v>7</v>
      </c>
      <c r="I10" s="315">
        <v>8</v>
      </c>
      <c r="J10" s="315">
        <v>9</v>
      </c>
      <c r="K10" s="315">
        <v>10</v>
      </c>
      <c r="L10" s="196"/>
      <c r="M10" s="196"/>
      <c r="N10" s="196"/>
      <c r="O10" s="196"/>
      <c r="P10" s="196"/>
      <c r="Q10" s="196"/>
      <c r="R10" s="196"/>
    </row>
    <row r="11" spans="1:18" ht="31.5" hidden="1" thickTop="1" thickBot="1" x14ac:dyDescent="0.25">
      <c r="B11" s="197" t="s">
        <v>147</v>
      </c>
      <c r="C11" s="197"/>
      <c r="D11" s="197"/>
      <c r="E11" s="198" t="s">
        <v>149</v>
      </c>
      <c r="F11" s="197"/>
      <c r="G11" s="197"/>
      <c r="H11" s="197"/>
      <c r="I11" s="198"/>
      <c r="J11" s="199">
        <f>J12</f>
        <v>0</v>
      </c>
      <c r="K11" s="197"/>
      <c r="L11" s="196"/>
      <c r="M11" s="196"/>
      <c r="N11" s="196"/>
      <c r="O11" s="196"/>
      <c r="P11" s="196"/>
      <c r="Q11" s="196"/>
      <c r="R11" s="196"/>
    </row>
    <row r="12" spans="1:18" ht="44.25" hidden="1" thickTop="1" thickBot="1" x14ac:dyDescent="0.25">
      <c r="B12" s="200" t="s">
        <v>148</v>
      </c>
      <c r="C12" s="200"/>
      <c r="D12" s="200"/>
      <c r="E12" s="201" t="s">
        <v>150</v>
      </c>
      <c r="F12" s="200"/>
      <c r="G12" s="200"/>
      <c r="H12" s="200"/>
      <c r="I12" s="201"/>
      <c r="J12" s="202">
        <f>SUM(J13:J18)</f>
        <v>0</v>
      </c>
      <c r="K12" s="200"/>
      <c r="L12" s="196"/>
      <c r="M12" s="196"/>
      <c r="N12" s="196"/>
      <c r="O12" s="196"/>
      <c r="P12" s="196"/>
      <c r="Q12" s="196"/>
      <c r="R12" s="196"/>
    </row>
    <row r="13" spans="1:18" ht="76.5" hidden="1" thickTop="1" thickBot="1" x14ac:dyDescent="0.25">
      <c r="B13" s="203" t="s">
        <v>231</v>
      </c>
      <c r="C13" s="203" t="s">
        <v>232</v>
      </c>
      <c r="D13" s="203" t="s">
        <v>233</v>
      </c>
      <c r="E13" s="203" t="s">
        <v>230</v>
      </c>
      <c r="F13" s="204" t="s">
        <v>513</v>
      </c>
      <c r="G13" s="205"/>
      <c r="H13" s="206"/>
      <c r="I13" s="205"/>
      <c r="J13" s="207"/>
      <c r="K13" s="207"/>
      <c r="L13" s="196"/>
      <c r="M13" s="196"/>
      <c r="N13" s="196"/>
      <c r="O13" s="196"/>
      <c r="P13" s="196"/>
      <c r="Q13" s="196"/>
      <c r="R13" s="196"/>
    </row>
    <row r="14" spans="1:18" ht="76.5" hidden="1" thickTop="1" thickBot="1" x14ac:dyDescent="0.25">
      <c r="B14" s="203" t="s">
        <v>231</v>
      </c>
      <c r="C14" s="203" t="s">
        <v>232</v>
      </c>
      <c r="D14" s="203" t="s">
        <v>233</v>
      </c>
      <c r="E14" s="203" t="s">
        <v>230</v>
      </c>
      <c r="F14" s="204" t="s">
        <v>1056</v>
      </c>
      <c r="G14" s="208" t="s">
        <v>551</v>
      </c>
      <c r="H14" s="209"/>
      <c r="I14" s="210"/>
      <c r="J14" s="207"/>
      <c r="K14" s="210"/>
      <c r="L14" s="196"/>
      <c r="M14" s="196"/>
      <c r="N14" s="196"/>
      <c r="O14" s="196"/>
      <c r="P14" s="196"/>
      <c r="Q14" s="196"/>
      <c r="R14" s="196"/>
    </row>
    <row r="15" spans="1:18" ht="31.5" hidden="1" thickTop="1" thickBot="1" x14ac:dyDescent="0.25">
      <c r="B15" s="203" t="s">
        <v>237</v>
      </c>
      <c r="C15" s="203" t="s">
        <v>238</v>
      </c>
      <c r="D15" s="203" t="s">
        <v>239</v>
      </c>
      <c r="E15" s="203" t="s">
        <v>236</v>
      </c>
      <c r="F15" s="204" t="s">
        <v>513</v>
      </c>
      <c r="G15" s="205"/>
      <c r="H15" s="206"/>
      <c r="I15" s="205"/>
      <c r="J15" s="207"/>
      <c r="K15" s="207"/>
      <c r="L15" s="196"/>
      <c r="M15" s="196"/>
      <c r="N15" s="196"/>
      <c r="O15" s="196"/>
      <c r="P15" s="196"/>
      <c r="Q15" s="196"/>
      <c r="R15" s="196"/>
    </row>
    <row r="16" spans="1:18" ht="61.5" hidden="1" thickTop="1" thickBot="1" x14ac:dyDescent="0.25">
      <c r="B16" s="203" t="s">
        <v>508</v>
      </c>
      <c r="C16" s="203" t="s">
        <v>509</v>
      </c>
      <c r="D16" s="203" t="s">
        <v>43</v>
      </c>
      <c r="E16" s="203" t="s">
        <v>510</v>
      </c>
      <c r="F16" s="204" t="s">
        <v>513</v>
      </c>
      <c r="G16" s="205"/>
      <c r="H16" s="206"/>
      <c r="I16" s="205"/>
      <c r="J16" s="207"/>
      <c r="K16" s="207"/>
      <c r="L16" s="196"/>
      <c r="M16" s="196"/>
      <c r="N16" s="196"/>
      <c r="O16" s="196"/>
      <c r="P16" s="196"/>
      <c r="Q16" s="196"/>
      <c r="R16" s="196"/>
    </row>
    <row r="17" spans="1:18" ht="151.5" hidden="1" thickTop="1" thickBot="1" x14ac:dyDescent="0.25">
      <c r="B17" s="203" t="s">
        <v>508</v>
      </c>
      <c r="C17" s="203" t="s">
        <v>509</v>
      </c>
      <c r="D17" s="203" t="s">
        <v>43</v>
      </c>
      <c r="E17" s="203" t="s">
        <v>510</v>
      </c>
      <c r="F17" s="204" t="s">
        <v>1069</v>
      </c>
      <c r="G17" s="205"/>
      <c r="H17" s="206"/>
      <c r="I17" s="205"/>
      <c r="J17" s="207"/>
      <c r="K17" s="207"/>
      <c r="L17" s="196"/>
      <c r="M17" s="196"/>
      <c r="N17" s="196"/>
      <c r="O17" s="196"/>
      <c r="P17" s="196"/>
      <c r="Q17" s="196"/>
      <c r="R17" s="196"/>
    </row>
    <row r="18" spans="1:18" ht="61.5" hidden="1" thickTop="1" thickBot="1" x14ac:dyDescent="0.25">
      <c r="B18" s="203" t="s">
        <v>508</v>
      </c>
      <c r="C18" s="203" t="s">
        <v>509</v>
      </c>
      <c r="D18" s="203" t="s">
        <v>43</v>
      </c>
      <c r="E18" s="203" t="s">
        <v>510</v>
      </c>
      <c r="F18" s="204" t="s">
        <v>913</v>
      </c>
      <c r="G18" s="205"/>
      <c r="H18" s="206"/>
      <c r="I18" s="205"/>
      <c r="J18" s="207"/>
      <c r="K18" s="207"/>
      <c r="L18" s="196"/>
      <c r="M18" s="196"/>
      <c r="N18" s="196"/>
      <c r="O18" s="196"/>
      <c r="P18" s="196"/>
      <c r="Q18" s="196"/>
      <c r="R18" s="196"/>
    </row>
    <row r="19" spans="1:18" ht="51" customHeight="1" thickTop="1" thickBot="1" x14ac:dyDescent="0.25">
      <c r="A19" s="238"/>
      <c r="B19" s="576" t="s">
        <v>151</v>
      </c>
      <c r="C19" s="576"/>
      <c r="D19" s="576"/>
      <c r="E19" s="577" t="s">
        <v>0</v>
      </c>
      <c r="F19" s="576"/>
      <c r="G19" s="576"/>
      <c r="H19" s="578">
        <f>H20</f>
        <v>116977629</v>
      </c>
      <c r="I19" s="578">
        <f>I20</f>
        <v>109182361.15000001</v>
      </c>
      <c r="J19" s="578">
        <f>J20</f>
        <v>63902069.259999998</v>
      </c>
      <c r="K19" s="633"/>
      <c r="L19" s="196"/>
      <c r="M19" s="196"/>
      <c r="N19" s="196"/>
      <c r="O19" s="196"/>
      <c r="P19" s="196"/>
      <c r="Q19" s="196"/>
      <c r="R19" s="196"/>
    </row>
    <row r="20" spans="1:18" ht="44.25" thickTop="1" thickBot="1" x14ac:dyDescent="0.25">
      <c r="A20" s="238"/>
      <c r="B20" s="580" t="s">
        <v>152</v>
      </c>
      <c r="C20" s="580"/>
      <c r="D20" s="580"/>
      <c r="E20" s="581" t="s">
        <v>1</v>
      </c>
      <c r="F20" s="580"/>
      <c r="G20" s="580"/>
      <c r="H20" s="634">
        <f>H29+H32+H34+H28+H27+H26+H25+H22+H23+H24</f>
        <v>116977629</v>
      </c>
      <c r="I20" s="634">
        <f>I29+I32+I34+I28+I27+I26+I25+I22+I23+I24</f>
        <v>109182361.15000001</v>
      </c>
      <c r="J20" s="634">
        <f>J29+J32+J34+J28+J27+J26+J25+J22+J23+J24</f>
        <v>63902069.259999998</v>
      </c>
      <c r="K20" s="635"/>
      <c r="L20" s="196"/>
      <c r="M20" s="196"/>
      <c r="N20" s="196"/>
      <c r="O20" s="196"/>
      <c r="P20" s="196"/>
      <c r="Q20" s="196"/>
      <c r="R20" s="196"/>
    </row>
    <row r="21" spans="1:18" ht="61.5" hidden="1" thickTop="1" thickBot="1" x14ac:dyDescent="0.25">
      <c r="A21" s="238"/>
      <c r="B21" s="211" t="s">
        <v>632</v>
      </c>
      <c r="C21" s="211" t="s">
        <v>633</v>
      </c>
      <c r="D21" s="211" t="s">
        <v>203</v>
      </c>
      <c r="E21" s="211" t="s">
        <v>1232</v>
      </c>
      <c r="F21" s="212" t="s">
        <v>1466</v>
      </c>
      <c r="G21" s="213" t="s">
        <v>1514</v>
      </c>
      <c r="H21" s="214">
        <v>4405109</v>
      </c>
      <c r="I21" s="214">
        <f>2110572.76+45090+J21</f>
        <v>3405109</v>
      </c>
      <c r="J21" s="215">
        <f>2249446.24-1000000</f>
        <v>1249446.2400000002</v>
      </c>
      <c r="K21" s="216">
        <f>I21/H21</f>
        <v>0.77299086129310313</v>
      </c>
      <c r="L21" s="196"/>
      <c r="M21" s="196"/>
      <c r="N21" s="196"/>
      <c r="O21" s="196"/>
      <c r="P21" s="196"/>
      <c r="Q21" s="196"/>
      <c r="R21" s="196"/>
    </row>
    <row r="22" spans="1:18" ht="61.5" thickTop="1" thickBot="1" x14ac:dyDescent="0.25">
      <c r="A22" s="238"/>
      <c r="B22" s="601" t="s">
        <v>632</v>
      </c>
      <c r="C22" s="601" t="s">
        <v>633</v>
      </c>
      <c r="D22" s="601" t="s">
        <v>203</v>
      </c>
      <c r="E22" s="601" t="s">
        <v>1232</v>
      </c>
      <c r="F22" s="699" t="s">
        <v>1674</v>
      </c>
      <c r="G22" s="631" t="s">
        <v>1565</v>
      </c>
      <c r="H22" s="603">
        <v>172913</v>
      </c>
      <c r="I22" s="603">
        <f>12860.2+4803.43+J22</f>
        <v>161958.61000000002</v>
      </c>
      <c r="J22" s="698">
        <v>144294.98000000001</v>
      </c>
      <c r="K22" s="632">
        <v>1</v>
      </c>
      <c r="L22" s="196"/>
      <c r="M22" s="196"/>
      <c r="N22" s="196"/>
      <c r="O22" s="196"/>
      <c r="P22" s="196"/>
      <c r="Q22" s="196"/>
      <c r="R22" s="196"/>
    </row>
    <row r="23" spans="1:18" ht="61.5" thickTop="1" thickBot="1" x14ac:dyDescent="0.25">
      <c r="A23" s="238"/>
      <c r="B23" s="601" t="s">
        <v>632</v>
      </c>
      <c r="C23" s="601" t="s">
        <v>633</v>
      </c>
      <c r="D23" s="601" t="s">
        <v>203</v>
      </c>
      <c r="E23" s="601" t="s">
        <v>1232</v>
      </c>
      <c r="F23" s="699" t="s">
        <v>1675</v>
      </c>
      <c r="G23" s="631" t="s">
        <v>1565</v>
      </c>
      <c r="H23" s="603">
        <v>57573</v>
      </c>
      <c r="I23" s="603">
        <f>4279.58+4803.43+J23</f>
        <v>35287.97</v>
      </c>
      <c r="J23" s="698">
        <v>26204.959999999999</v>
      </c>
      <c r="K23" s="632">
        <v>1</v>
      </c>
      <c r="L23" s="196"/>
      <c r="M23" s="196"/>
      <c r="N23" s="196"/>
      <c r="O23" s="196"/>
      <c r="P23" s="196"/>
      <c r="Q23" s="196"/>
      <c r="R23" s="196"/>
    </row>
    <row r="24" spans="1:18" ht="76.5" thickTop="1" thickBot="1" x14ac:dyDescent="0.25">
      <c r="A24" s="238"/>
      <c r="B24" s="601" t="s">
        <v>632</v>
      </c>
      <c r="C24" s="601" t="s">
        <v>633</v>
      </c>
      <c r="D24" s="601" t="s">
        <v>203</v>
      </c>
      <c r="E24" s="601" t="s">
        <v>1232</v>
      </c>
      <c r="F24" s="699" t="s">
        <v>1657</v>
      </c>
      <c r="G24" s="631" t="s">
        <v>1565</v>
      </c>
      <c r="H24" s="603">
        <v>44098</v>
      </c>
      <c r="I24" s="603">
        <f>12860.2+4803.43+J24</f>
        <v>40781.31</v>
      </c>
      <c r="J24" s="698">
        <v>23117.68</v>
      </c>
      <c r="K24" s="632">
        <v>1</v>
      </c>
      <c r="L24" s="196"/>
      <c r="M24" s="196"/>
      <c r="N24" s="196"/>
      <c r="O24" s="196"/>
      <c r="P24" s="196"/>
      <c r="Q24" s="196"/>
      <c r="R24" s="196"/>
    </row>
    <row r="25" spans="1:18" ht="136.5" thickTop="1" thickBot="1" x14ac:dyDescent="0.25">
      <c r="A25" s="238"/>
      <c r="B25" s="601" t="s">
        <v>1633</v>
      </c>
      <c r="C25" s="601" t="s">
        <v>1635</v>
      </c>
      <c r="D25" s="601" t="s">
        <v>209</v>
      </c>
      <c r="E25" s="601" t="s">
        <v>1637</v>
      </c>
      <c r="F25" s="699" t="s">
        <v>1651</v>
      </c>
      <c r="G25" s="631" t="s">
        <v>1640</v>
      </c>
      <c r="H25" s="603">
        <v>4999541</v>
      </c>
      <c r="I25" s="603">
        <f>0+J25</f>
        <v>4999541</v>
      </c>
      <c r="J25" s="698">
        <v>4999541</v>
      </c>
      <c r="K25" s="632">
        <f t="shared" ref="K25:K28" si="0">I25/H25</f>
        <v>1</v>
      </c>
      <c r="L25" s="884" t="b">
        <f>J25+J26='d3'!O76</f>
        <v>1</v>
      </c>
      <c r="M25" s="885">
        <f>J25/(J25+J27)</f>
        <v>0.30000172216798027</v>
      </c>
      <c r="N25" s="196"/>
      <c r="O25" s="196"/>
      <c r="P25" s="196"/>
      <c r="Q25" s="196"/>
      <c r="R25" s="196"/>
    </row>
    <row r="26" spans="1:18" ht="151.5" thickTop="1" thickBot="1" x14ac:dyDescent="0.25">
      <c r="A26" s="238"/>
      <c r="B26" s="601" t="s">
        <v>1633</v>
      </c>
      <c r="C26" s="601" t="s">
        <v>1635</v>
      </c>
      <c r="D26" s="601" t="s">
        <v>209</v>
      </c>
      <c r="E26" s="601" t="s">
        <v>1637</v>
      </c>
      <c r="F26" s="699" t="s">
        <v>1652</v>
      </c>
      <c r="G26" s="631" t="s">
        <v>1640</v>
      </c>
      <c r="H26" s="603">
        <v>715886</v>
      </c>
      <c r="I26" s="603">
        <f>0+J26</f>
        <v>715886</v>
      </c>
      <c r="J26" s="698">
        <v>715886</v>
      </c>
      <c r="K26" s="632">
        <f t="shared" ref="K26:K27" si="1">I26/H26</f>
        <v>1</v>
      </c>
      <c r="L26" s="884"/>
      <c r="M26" s="885"/>
      <c r="N26" s="196"/>
      <c r="O26" s="196"/>
      <c r="P26" s="196"/>
      <c r="Q26" s="196"/>
      <c r="R26" s="196"/>
    </row>
    <row r="27" spans="1:18" ht="136.5" thickTop="1" thickBot="1" x14ac:dyDescent="0.25">
      <c r="A27" s="238"/>
      <c r="B27" s="601" t="s">
        <v>1634</v>
      </c>
      <c r="C27" s="601" t="s">
        <v>1636</v>
      </c>
      <c r="D27" s="601" t="s">
        <v>209</v>
      </c>
      <c r="E27" s="601" t="s">
        <v>1638</v>
      </c>
      <c r="F27" s="699" t="s">
        <v>1651</v>
      </c>
      <c r="G27" s="631" t="s">
        <v>1640</v>
      </c>
      <c r="H27" s="603">
        <v>11665500</v>
      </c>
      <c r="I27" s="603">
        <f>0+J27</f>
        <v>11665500</v>
      </c>
      <c r="J27" s="698">
        <v>11665500</v>
      </c>
      <c r="K27" s="632">
        <f t="shared" si="1"/>
        <v>1</v>
      </c>
      <c r="L27" s="884" t="b">
        <f>J27+J28='d3'!O77</f>
        <v>1</v>
      </c>
      <c r="M27" s="885">
        <f>J26/(J26+J28)</f>
        <v>0.30000008381225052</v>
      </c>
      <c r="N27" s="196"/>
      <c r="O27" s="196"/>
      <c r="P27" s="196"/>
      <c r="Q27" s="196"/>
      <c r="R27" s="196"/>
    </row>
    <row r="28" spans="1:18" ht="151.5" thickTop="1" thickBot="1" x14ac:dyDescent="0.25">
      <c r="A28" s="238"/>
      <c r="B28" s="601" t="s">
        <v>1634</v>
      </c>
      <c r="C28" s="601" t="s">
        <v>1636</v>
      </c>
      <c r="D28" s="601" t="s">
        <v>209</v>
      </c>
      <c r="E28" s="601" t="s">
        <v>1638</v>
      </c>
      <c r="F28" s="699" t="s">
        <v>1652</v>
      </c>
      <c r="G28" s="631" t="s">
        <v>1640</v>
      </c>
      <c r="H28" s="603">
        <v>1670400</v>
      </c>
      <c r="I28" s="603">
        <f>0+J28</f>
        <v>1670400</v>
      </c>
      <c r="J28" s="698">
        <v>1670400</v>
      </c>
      <c r="K28" s="632">
        <f t="shared" si="0"/>
        <v>1</v>
      </c>
      <c r="L28" s="884"/>
      <c r="M28" s="885"/>
      <c r="N28" s="196"/>
      <c r="O28" s="196"/>
      <c r="P28" s="196"/>
      <c r="Q28" s="196"/>
      <c r="R28" s="196"/>
    </row>
    <row r="29" spans="1:18" ht="151.5" thickTop="1" thickBot="1" x14ac:dyDescent="0.25">
      <c r="A29" s="317"/>
      <c r="B29" s="601" t="s">
        <v>1330</v>
      </c>
      <c r="C29" s="601" t="s">
        <v>1331</v>
      </c>
      <c r="D29" s="601" t="s">
        <v>209</v>
      </c>
      <c r="E29" s="601" t="s">
        <v>1616</v>
      </c>
      <c r="F29" s="630" t="s">
        <v>1390</v>
      </c>
      <c r="G29" s="631" t="s">
        <v>1536</v>
      </c>
      <c r="H29" s="603">
        <v>41197697</v>
      </c>
      <c r="I29" s="603">
        <f>21319825.03+J29</f>
        <v>34933136.810000002</v>
      </c>
      <c r="J29" s="603">
        <f>(((5000000)+7000000)+1600965.78)+12346</f>
        <v>13613311.779999999</v>
      </c>
      <c r="K29" s="632">
        <v>1</v>
      </c>
      <c r="L29" s="217"/>
      <c r="M29" s="218"/>
      <c r="N29" s="196"/>
      <c r="O29" s="196"/>
      <c r="P29" s="196"/>
      <c r="Q29" s="196"/>
      <c r="R29" s="196"/>
    </row>
    <row r="30" spans="1:18" ht="61.5" hidden="1" thickTop="1" thickBot="1" x14ac:dyDescent="0.25">
      <c r="A30" s="317"/>
      <c r="B30" s="211" t="s">
        <v>1332</v>
      </c>
      <c r="C30" s="211" t="s">
        <v>1333</v>
      </c>
      <c r="D30" s="211" t="s">
        <v>209</v>
      </c>
      <c r="E30" s="211" t="s">
        <v>1334</v>
      </c>
      <c r="F30" s="231" t="s">
        <v>1390</v>
      </c>
      <c r="G30" s="213" t="s">
        <v>1387</v>
      </c>
      <c r="H30" s="214">
        <v>41197697</v>
      </c>
      <c r="I30" s="697">
        <f>J30</f>
        <v>7200000</v>
      </c>
      <c r="J30" s="215">
        <v>7200000</v>
      </c>
      <c r="K30" s="216">
        <f>(I30+I29-I29)/H30</f>
        <v>0.17476705069217827</v>
      </c>
      <c r="L30" s="217"/>
      <c r="M30" s="218"/>
      <c r="N30" s="196"/>
      <c r="O30" s="196"/>
      <c r="P30" s="196"/>
      <c r="Q30" s="196"/>
      <c r="R30" s="196"/>
    </row>
    <row r="31" spans="1:18" ht="76.5" hidden="1" thickTop="1" thickBot="1" x14ac:dyDescent="0.25">
      <c r="A31" s="317"/>
      <c r="B31" s="211" t="s">
        <v>1065</v>
      </c>
      <c r="C31" s="211" t="s">
        <v>309</v>
      </c>
      <c r="D31" s="211" t="s">
        <v>302</v>
      </c>
      <c r="E31" s="211" t="s">
        <v>1197</v>
      </c>
      <c r="F31" s="231" t="s">
        <v>1388</v>
      </c>
      <c r="G31" s="213" t="s">
        <v>1387</v>
      </c>
      <c r="H31" s="214">
        <v>27852755</v>
      </c>
      <c r="I31" s="697">
        <f>4294746.41+J31</f>
        <v>22750013.670000002</v>
      </c>
      <c r="J31" s="214">
        <f>(((5000000)+17260227.26)-400000)-3404960</f>
        <v>18455267.260000002</v>
      </c>
      <c r="K31" s="216">
        <v>1</v>
      </c>
      <c r="L31" s="217"/>
      <c r="M31" s="218"/>
      <c r="N31" s="196"/>
      <c r="O31" s="196"/>
      <c r="P31" s="196"/>
      <c r="Q31" s="196"/>
      <c r="R31" s="196"/>
    </row>
    <row r="32" spans="1:18" ht="76.5" thickTop="1" thickBot="1" x14ac:dyDescent="0.25">
      <c r="A32" s="317"/>
      <c r="B32" s="601" t="s">
        <v>1587</v>
      </c>
      <c r="C32" s="601" t="s">
        <v>1569</v>
      </c>
      <c r="D32" s="601" t="s">
        <v>209</v>
      </c>
      <c r="E32" s="601" t="s">
        <v>1571</v>
      </c>
      <c r="F32" s="630" t="s">
        <v>1467</v>
      </c>
      <c r="G32" s="631" t="s">
        <v>1536</v>
      </c>
      <c r="H32" s="603">
        <v>36421941</v>
      </c>
      <c r="I32" s="603">
        <f>15533567.24+J32</f>
        <v>35449129</v>
      </c>
      <c r="J32" s="603">
        <f>(((3000000)+5000000)+8000000)+3915561.76</f>
        <v>19915561.759999998</v>
      </c>
      <c r="K32" s="632">
        <v>1</v>
      </c>
      <c r="L32" s="511"/>
      <c r="M32" s="218"/>
      <c r="N32" s="196"/>
      <c r="O32" s="196"/>
      <c r="P32" s="196"/>
      <c r="Q32" s="196"/>
      <c r="R32" s="196"/>
    </row>
    <row r="33" spans="1:18" ht="91.5" hidden="1" thickTop="1" thickBot="1" x14ac:dyDescent="0.25">
      <c r="A33" s="317"/>
      <c r="B33" s="211" t="s">
        <v>1065</v>
      </c>
      <c r="C33" s="211" t="s">
        <v>309</v>
      </c>
      <c r="D33" s="211" t="s">
        <v>302</v>
      </c>
      <c r="E33" s="211" t="s">
        <v>1197</v>
      </c>
      <c r="F33" s="231" t="s">
        <v>1468</v>
      </c>
      <c r="G33" s="213" t="s">
        <v>1536</v>
      </c>
      <c r="H33" s="214">
        <v>34029512</v>
      </c>
      <c r="I33" s="697">
        <f>466622.37+J33</f>
        <v>914355.77999999991</v>
      </c>
      <c r="J33" s="214">
        <f>(2000000)-1552266.59</f>
        <v>447733.40999999992</v>
      </c>
      <c r="K33" s="216">
        <f t="shared" ref="K33" si="2">I33/H33</f>
        <v>2.6869494337738369E-2</v>
      </c>
      <c r="L33" s="511"/>
      <c r="M33" s="218"/>
      <c r="N33" s="196"/>
      <c r="O33" s="196"/>
      <c r="P33" s="196"/>
      <c r="Q33" s="196"/>
      <c r="R33" s="196"/>
    </row>
    <row r="34" spans="1:18" ht="76.5" thickTop="1" thickBot="1" x14ac:dyDescent="0.25">
      <c r="A34" s="317"/>
      <c r="B34" s="601" t="s">
        <v>1587</v>
      </c>
      <c r="C34" s="601" t="s">
        <v>1569</v>
      </c>
      <c r="D34" s="601" t="s">
        <v>209</v>
      </c>
      <c r="E34" s="601" t="s">
        <v>1571</v>
      </c>
      <c r="F34" s="630" t="s">
        <v>1389</v>
      </c>
      <c r="G34" s="631" t="s">
        <v>1536</v>
      </c>
      <c r="H34" s="603">
        <v>20032080</v>
      </c>
      <c r="I34" s="603">
        <f>8382489.35+J34</f>
        <v>19510740.449999999</v>
      </c>
      <c r="J34" s="603">
        <f>(((2000000)+5000000)+3128251.1)+1000000</f>
        <v>11128251.1</v>
      </c>
      <c r="K34" s="632">
        <v>1</v>
      </c>
      <c r="L34" s="217"/>
      <c r="M34" s="218"/>
      <c r="N34" s="196"/>
      <c r="O34" s="196"/>
      <c r="P34" s="196"/>
      <c r="Q34" s="196"/>
      <c r="R34" s="196"/>
    </row>
    <row r="35" spans="1:18" ht="61.5" hidden="1" thickTop="1" thickBot="1" x14ac:dyDescent="0.25">
      <c r="A35" s="317"/>
      <c r="B35" s="211" t="s">
        <v>1065</v>
      </c>
      <c r="C35" s="211" t="s">
        <v>309</v>
      </c>
      <c r="D35" s="211" t="s">
        <v>302</v>
      </c>
      <c r="E35" s="211" t="s">
        <v>1197</v>
      </c>
      <c r="F35" s="231" t="s">
        <v>1509</v>
      </c>
      <c r="G35" s="213" t="s">
        <v>1387</v>
      </c>
      <c r="H35" s="214">
        <v>128794</v>
      </c>
      <c r="I35" s="214">
        <f>10292.43+J35</f>
        <v>118827</v>
      </c>
      <c r="J35" s="214">
        <v>108534.57</v>
      </c>
      <c r="K35" s="216">
        <v>1</v>
      </c>
      <c r="L35" s="217"/>
      <c r="M35" s="218"/>
      <c r="N35" s="196"/>
      <c r="O35" s="196"/>
      <c r="P35" s="196"/>
      <c r="Q35" s="196"/>
      <c r="R35" s="196"/>
    </row>
    <row r="36" spans="1:18" ht="61.5" hidden="1" thickTop="1" thickBot="1" x14ac:dyDescent="0.25">
      <c r="B36" s="211" t="s">
        <v>1065</v>
      </c>
      <c r="C36" s="211" t="s">
        <v>309</v>
      </c>
      <c r="D36" s="211" t="s">
        <v>302</v>
      </c>
      <c r="E36" s="211" t="s">
        <v>1197</v>
      </c>
      <c r="F36" s="212" t="s">
        <v>1095</v>
      </c>
      <c r="G36" s="213" t="s">
        <v>971</v>
      </c>
      <c r="H36" s="214">
        <v>4179432</v>
      </c>
      <c r="I36" s="215">
        <f>(49000)+13800</f>
        <v>62800</v>
      </c>
      <c r="J36" s="215">
        <f>(700000)-700000</f>
        <v>0</v>
      </c>
      <c r="K36" s="216">
        <f>(J36+I36)/H36</f>
        <v>1.5025965250780489E-2</v>
      </c>
      <c r="L36" s="219"/>
      <c r="M36" s="218"/>
      <c r="N36" s="196"/>
      <c r="O36" s="196"/>
      <c r="P36" s="196"/>
      <c r="Q36" s="196"/>
      <c r="R36" s="196"/>
    </row>
    <row r="37" spans="1:18" ht="46.5" thickTop="1" thickBot="1" x14ac:dyDescent="0.25">
      <c r="B37" s="576" t="s">
        <v>153</v>
      </c>
      <c r="C37" s="576"/>
      <c r="D37" s="576"/>
      <c r="E37" s="577" t="s">
        <v>18</v>
      </c>
      <c r="F37" s="576"/>
      <c r="G37" s="576"/>
      <c r="H37" s="578">
        <f>H38</f>
        <v>66228880</v>
      </c>
      <c r="I37" s="578">
        <f>I38</f>
        <v>41384361.890000001</v>
      </c>
      <c r="J37" s="578">
        <f>J38</f>
        <v>9553477.5099999998</v>
      </c>
      <c r="K37" s="633"/>
      <c r="L37" s="196"/>
      <c r="M37" s="196"/>
      <c r="N37" s="196"/>
      <c r="O37" s="196"/>
      <c r="P37" s="196"/>
      <c r="Q37" s="196"/>
      <c r="R37" s="196"/>
    </row>
    <row r="38" spans="1:18" ht="44.25" thickTop="1" thickBot="1" x14ac:dyDescent="0.25">
      <c r="B38" s="580" t="s">
        <v>154</v>
      </c>
      <c r="C38" s="580"/>
      <c r="D38" s="580"/>
      <c r="E38" s="581" t="s">
        <v>36</v>
      </c>
      <c r="F38" s="580"/>
      <c r="G38" s="580"/>
      <c r="H38" s="634">
        <f>H44+H40</f>
        <v>66228880</v>
      </c>
      <c r="I38" s="634">
        <f>I44+I40</f>
        <v>41384361.890000001</v>
      </c>
      <c r="J38" s="634">
        <f>J44+J40</f>
        <v>9553477.5099999998</v>
      </c>
      <c r="K38" s="635"/>
      <c r="L38" s="196"/>
      <c r="M38" s="196"/>
      <c r="N38" s="196"/>
      <c r="O38" s="196"/>
      <c r="P38" s="196"/>
      <c r="Q38" s="196"/>
      <c r="R38" s="196"/>
    </row>
    <row r="39" spans="1:18" ht="76.5" hidden="1" thickTop="1" thickBot="1" x14ac:dyDescent="0.25">
      <c r="B39" s="203" t="s">
        <v>411</v>
      </c>
      <c r="C39" s="203" t="s">
        <v>235</v>
      </c>
      <c r="D39" s="203" t="s">
        <v>233</v>
      </c>
      <c r="E39" s="203" t="s">
        <v>234</v>
      </c>
      <c r="F39" s="204" t="s">
        <v>1057</v>
      </c>
      <c r="G39" s="208" t="s">
        <v>1058</v>
      </c>
      <c r="H39" s="209"/>
      <c r="I39" s="210"/>
      <c r="J39" s="207"/>
      <c r="K39" s="210"/>
      <c r="L39" s="196"/>
      <c r="M39" s="196"/>
      <c r="N39" s="196"/>
      <c r="O39" s="196"/>
      <c r="P39" s="196"/>
      <c r="Q39" s="196"/>
      <c r="R39" s="196"/>
    </row>
    <row r="40" spans="1:18" ht="91.5" thickTop="1" thickBot="1" x14ac:dyDescent="0.25">
      <c r="B40" s="601" t="s">
        <v>213</v>
      </c>
      <c r="C40" s="601" t="s">
        <v>210</v>
      </c>
      <c r="D40" s="601" t="s">
        <v>214</v>
      </c>
      <c r="E40" s="601" t="s">
        <v>19</v>
      </c>
      <c r="F40" s="637" t="s">
        <v>1515</v>
      </c>
      <c r="G40" s="631" t="s">
        <v>1664</v>
      </c>
      <c r="H40" s="603">
        <v>59145442</v>
      </c>
      <c r="I40" s="603">
        <f>31614361.24+J40</f>
        <v>39167838.75</v>
      </c>
      <c r="J40" s="698">
        <f>(3653477.51)+3900000</f>
        <v>7553477.5099999998</v>
      </c>
      <c r="K40" s="632">
        <f>I40/H40</f>
        <v>0.66222920018080178</v>
      </c>
      <c r="L40" s="332"/>
      <c r="M40" s="196"/>
      <c r="N40" s="196"/>
      <c r="O40" s="196"/>
      <c r="P40" s="196"/>
      <c r="Q40" s="196"/>
      <c r="R40" s="196"/>
    </row>
    <row r="41" spans="1:18" ht="151.5" hidden="1" thickTop="1" thickBot="1" x14ac:dyDescent="0.25">
      <c r="B41" s="211" t="s">
        <v>1139</v>
      </c>
      <c r="C41" s="211" t="s">
        <v>1140</v>
      </c>
      <c r="D41" s="211" t="s">
        <v>302</v>
      </c>
      <c r="E41" s="211" t="s">
        <v>1198</v>
      </c>
      <c r="F41" s="220" t="s">
        <v>1456</v>
      </c>
      <c r="G41" s="213" t="s">
        <v>1387</v>
      </c>
      <c r="H41" s="214">
        <v>7773427.5700000003</v>
      </c>
      <c r="I41" s="214">
        <f>3730838.96+46173.59+J41</f>
        <v>5821437.54</v>
      </c>
      <c r="J41" s="215">
        <f>((0)+2058924.99)-14500</f>
        <v>2044424.99</v>
      </c>
      <c r="K41" s="216">
        <v>1</v>
      </c>
      <c r="L41" s="196"/>
      <c r="M41" s="196"/>
      <c r="N41" s="196"/>
      <c r="O41" s="196"/>
      <c r="P41" s="196"/>
      <c r="Q41" s="196"/>
      <c r="R41" s="196"/>
    </row>
    <row r="42" spans="1:18" ht="76.5" hidden="1" thickTop="1" thickBot="1" x14ac:dyDescent="0.25">
      <c r="B42" s="211" t="s">
        <v>1139</v>
      </c>
      <c r="C42" s="211" t="s">
        <v>1140</v>
      </c>
      <c r="D42" s="211" t="s">
        <v>302</v>
      </c>
      <c r="E42" s="211" t="s">
        <v>1198</v>
      </c>
      <c r="F42" s="220" t="s">
        <v>1214</v>
      </c>
      <c r="G42" s="213" t="s">
        <v>1220</v>
      </c>
      <c r="H42" s="214">
        <v>20032733</v>
      </c>
      <c r="I42" s="214">
        <f>0+J42</f>
        <v>18828250</v>
      </c>
      <c r="J42" s="215">
        <f>(11239495)+7588755</f>
        <v>18828250</v>
      </c>
      <c r="K42" s="216">
        <v>1</v>
      </c>
      <c r="L42" s="323" t="s">
        <v>1227</v>
      </c>
      <c r="M42" s="196"/>
      <c r="N42" s="196"/>
      <c r="O42" s="196"/>
      <c r="P42" s="196"/>
      <c r="Q42" s="196"/>
      <c r="R42" s="196"/>
    </row>
    <row r="43" spans="1:18" ht="76.5" hidden="1" thickTop="1" thickBot="1" x14ac:dyDescent="0.25">
      <c r="B43" s="211" t="s">
        <v>1139</v>
      </c>
      <c r="C43" s="211" t="s">
        <v>1140</v>
      </c>
      <c r="D43" s="211" t="s">
        <v>302</v>
      </c>
      <c r="E43" s="211" t="s">
        <v>1198</v>
      </c>
      <c r="F43" s="220" t="s">
        <v>1141</v>
      </c>
      <c r="G43" s="213" t="s">
        <v>1098</v>
      </c>
      <c r="H43" s="214">
        <v>300000</v>
      </c>
      <c r="I43" s="214">
        <v>0</v>
      </c>
      <c r="J43" s="215"/>
      <c r="K43" s="216">
        <f>(J43+I43)/H43</f>
        <v>0</v>
      </c>
      <c r="L43" s="196"/>
      <c r="M43" s="196"/>
      <c r="N43" s="196"/>
      <c r="O43" s="196"/>
      <c r="P43" s="196"/>
      <c r="Q43" s="196"/>
      <c r="R43" s="196"/>
    </row>
    <row r="44" spans="1:18" ht="76.5" thickTop="1" thickBot="1" x14ac:dyDescent="0.25">
      <c r="B44" s="601" t="s">
        <v>1661</v>
      </c>
      <c r="C44" s="601" t="s">
        <v>1662</v>
      </c>
      <c r="D44" s="601" t="s">
        <v>229</v>
      </c>
      <c r="E44" s="601" t="s">
        <v>1663</v>
      </c>
      <c r="F44" s="637" t="s">
        <v>1722</v>
      </c>
      <c r="G44" s="631" t="s">
        <v>1664</v>
      </c>
      <c r="H44" s="603">
        <v>7083438</v>
      </c>
      <c r="I44" s="698">
        <f>216523.14+J44</f>
        <v>2216523.14</v>
      </c>
      <c r="J44" s="698">
        <f>300000+1700000</f>
        <v>2000000</v>
      </c>
      <c r="K44" s="632">
        <f>I44/H44</f>
        <v>0.31291629008399596</v>
      </c>
      <c r="L44" s="725" t="s">
        <v>1723</v>
      </c>
      <c r="M44" s="196"/>
      <c r="N44" s="196"/>
      <c r="O44" s="196"/>
      <c r="P44" s="196"/>
      <c r="Q44" s="196"/>
      <c r="R44" s="196"/>
    </row>
    <row r="45" spans="1:18" ht="46.5" thickTop="1" thickBot="1" x14ac:dyDescent="0.25">
      <c r="B45" s="576" t="s">
        <v>155</v>
      </c>
      <c r="C45" s="576"/>
      <c r="D45" s="576"/>
      <c r="E45" s="577" t="s">
        <v>37</v>
      </c>
      <c r="F45" s="576"/>
      <c r="G45" s="576"/>
      <c r="H45" s="578">
        <f t="shared" ref="H45:J45" si="3">H46</f>
        <v>162054148.09999999</v>
      </c>
      <c r="I45" s="578">
        <f t="shared" si="3"/>
        <v>109465467.16</v>
      </c>
      <c r="J45" s="578">
        <f t="shared" si="3"/>
        <v>73659102.099999994</v>
      </c>
      <c r="K45" s="633"/>
      <c r="L45" s="196"/>
      <c r="M45" s="196"/>
      <c r="N45" s="196"/>
      <c r="O45" s="196"/>
      <c r="P45" s="196"/>
      <c r="Q45" s="196"/>
      <c r="R45" s="196"/>
    </row>
    <row r="46" spans="1:18" ht="58.5" thickTop="1" thickBot="1" x14ac:dyDescent="0.25">
      <c r="B46" s="580" t="s">
        <v>156</v>
      </c>
      <c r="C46" s="580"/>
      <c r="D46" s="580"/>
      <c r="E46" s="581" t="s">
        <v>38</v>
      </c>
      <c r="F46" s="580"/>
      <c r="G46" s="580"/>
      <c r="H46" s="634">
        <f>H50+H53+H49+H47+H51+H52</f>
        <v>162054148.09999999</v>
      </c>
      <c r="I46" s="634">
        <f>I50+I53+I49+I47+I51+I52</f>
        <v>109465467.16</v>
      </c>
      <c r="J46" s="634">
        <f>J50+J53+J49+J47+J51+J52</f>
        <v>73659102.099999994</v>
      </c>
      <c r="K46" s="635"/>
      <c r="L46" s="196"/>
      <c r="M46" s="196"/>
      <c r="N46" s="196"/>
      <c r="O46" s="196"/>
      <c r="P46" s="196"/>
      <c r="Q46" s="196"/>
      <c r="R46" s="196"/>
    </row>
    <row r="47" spans="1:18" ht="182.25" customHeight="1" thickTop="1" x14ac:dyDescent="0.2">
      <c r="B47" s="880" t="s">
        <v>1704</v>
      </c>
      <c r="C47" s="880" t="s">
        <v>1705</v>
      </c>
      <c r="D47" s="880" t="s">
        <v>50</v>
      </c>
      <c r="E47" s="880" t="s">
        <v>1706</v>
      </c>
      <c r="F47" s="880" t="s">
        <v>1707</v>
      </c>
      <c r="G47" s="891" t="s">
        <v>1640</v>
      </c>
      <c r="H47" s="893">
        <v>44763277.100000001</v>
      </c>
      <c r="I47" s="895">
        <f>J47</f>
        <v>44763277.100000001</v>
      </c>
      <c r="J47" s="893">
        <v>44763277.100000001</v>
      </c>
      <c r="K47" s="878">
        <f>I47/H47</f>
        <v>1</v>
      </c>
      <c r="L47" s="196"/>
      <c r="M47" s="196"/>
      <c r="N47" s="196"/>
      <c r="O47" s="196"/>
      <c r="P47" s="196"/>
      <c r="Q47" s="196"/>
      <c r="R47" s="196"/>
    </row>
    <row r="48" spans="1:18" ht="216" customHeight="1" thickBot="1" x14ac:dyDescent="0.25">
      <c r="B48" s="881"/>
      <c r="C48" s="881"/>
      <c r="D48" s="881"/>
      <c r="E48" s="881"/>
      <c r="F48" s="881"/>
      <c r="G48" s="892"/>
      <c r="H48" s="894"/>
      <c r="I48" s="896"/>
      <c r="J48" s="894"/>
      <c r="K48" s="879"/>
      <c r="L48" s="196"/>
      <c r="M48" s="196"/>
      <c r="N48" s="196"/>
      <c r="O48" s="196"/>
      <c r="P48" s="196"/>
      <c r="Q48" s="196"/>
      <c r="R48" s="196"/>
    </row>
    <row r="49" spans="1:18" ht="121.5" thickTop="1" thickBot="1" x14ac:dyDescent="0.25">
      <c r="B49" s="601" t="s">
        <v>1162</v>
      </c>
      <c r="C49" s="601" t="s">
        <v>1159</v>
      </c>
      <c r="D49" s="601" t="s">
        <v>205</v>
      </c>
      <c r="E49" s="613" t="s">
        <v>1160</v>
      </c>
      <c r="F49" s="637" t="s">
        <v>1455</v>
      </c>
      <c r="G49" s="631" t="s">
        <v>1536</v>
      </c>
      <c r="H49" s="603">
        <v>31195664</v>
      </c>
      <c r="I49" s="698">
        <f>16874392.06+J49</f>
        <v>17054392.059999999</v>
      </c>
      <c r="J49" s="603">
        <v>180000</v>
      </c>
      <c r="K49" s="632">
        <f t="shared" ref="K49:K54" si="4">I49/H49</f>
        <v>0.54669110617424266</v>
      </c>
      <c r="L49" s="196"/>
      <c r="M49" s="196"/>
      <c r="N49" s="196"/>
      <c r="O49" s="196"/>
      <c r="P49" s="196"/>
      <c r="Q49" s="196"/>
      <c r="R49" s="196"/>
    </row>
    <row r="50" spans="1:18" ht="120.75" customHeight="1" thickTop="1" thickBot="1" x14ac:dyDescent="0.25">
      <c r="B50" s="601" t="s">
        <v>1162</v>
      </c>
      <c r="C50" s="601" t="s">
        <v>1159</v>
      </c>
      <c r="D50" s="601" t="s">
        <v>205</v>
      </c>
      <c r="E50" s="613" t="s">
        <v>1160</v>
      </c>
      <c r="F50" s="637" t="s">
        <v>1591</v>
      </c>
      <c r="G50" s="631" t="s">
        <v>1536</v>
      </c>
      <c r="H50" s="603">
        <v>25196006</v>
      </c>
      <c r="I50" s="698">
        <f>18337311+J50</f>
        <v>25196006</v>
      </c>
      <c r="J50" s="603">
        <f>(4560281)+2298414</f>
        <v>6858695</v>
      </c>
      <c r="K50" s="632">
        <f t="shared" si="4"/>
        <v>1</v>
      </c>
      <c r="L50" s="196" t="s">
        <v>1488</v>
      </c>
      <c r="M50" s="196"/>
      <c r="N50" s="196"/>
      <c r="O50" s="196"/>
      <c r="P50" s="196"/>
      <c r="Q50" s="196"/>
      <c r="R50" s="196"/>
    </row>
    <row r="51" spans="1:18" ht="120.75" customHeight="1" thickTop="1" thickBot="1" x14ac:dyDescent="0.25">
      <c r="B51" s="601" t="s">
        <v>1720</v>
      </c>
      <c r="C51" s="601" t="s">
        <v>1719</v>
      </c>
      <c r="D51" s="601" t="s">
        <v>184</v>
      </c>
      <c r="E51" s="613" t="s">
        <v>1718</v>
      </c>
      <c r="F51" s="637" t="s">
        <v>1721</v>
      </c>
      <c r="G51" s="631" t="s">
        <v>1640</v>
      </c>
      <c r="H51" s="603">
        <f>7780090+8077040</f>
        <v>15857130</v>
      </c>
      <c r="I51" s="603">
        <f>7780090+8077040</f>
        <v>15857130</v>
      </c>
      <c r="J51" s="603">
        <f>7780090+8077040</f>
        <v>15857130</v>
      </c>
      <c r="K51" s="632">
        <f t="shared" si="4"/>
        <v>1</v>
      </c>
      <c r="L51" s="196"/>
      <c r="M51" s="196"/>
      <c r="N51" s="196"/>
      <c r="O51" s="196"/>
      <c r="P51" s="196"/>
      <c r="Q51" s="196"/>
      <c r="R51" s="196"/>
    </row>
    <row r="52" spans="1:18" ht="120.75" customHeight="1" thickTop="1" thickBot="1" x14ac:dyDescent="0.25">
      <c r="B52" s="601" t="s">
        <v>1592</v>
      </c>
      <c r="C52" s="601" t="s">
        <v>1593</v>
      </c>
      <c r="D52" s="601" t="s">
        <v>190</v>
      </c>
      <c r="E52" s="601" t="s">
        <v>1595</v>
      </c>
      <c r="F52" s="637" t="s">
        <v>1735</v>
      </c>
      <c r="G52" s="631" t="s">
        <v>1736</v>
      </c>
      <c r="H52" s="603">
        <v>21056692</v>
      </c>
      <c r="I52" s="698">
        <f>J52</f>
        <v>3000000</v>
      </c>
      <c r="J52" s="603">
        <v>3000000</v>
      </c>
      <c r="K52" s="632">
        <f t="shared" si="4"/>
        <v>0.14247252132481208</v>
      </c>
      <c r="L52" s="196"/>
      <c r="M52" s="196"/>
      <c r="N52" s="196"/>
      <c r="O52" s="196"/>
      <c r="P52" s="196"/>
      <c r="Q52" s="196"/>
      <c r="R52" s="196"/>
    </row>
    <row r="53" spans="1:18" ht="114.75" customHeight="1" thickTop="1" thickBot="1" x14ac:dyDescent="0.25">
      <c r="B53" s="601" t="s">
        <v>1592</v>
      </c>
      <c r="C53" s="601" t="s">
        <v>1593</v>
      </c>
      <c r="D53" s="601" t="s">
        <v>190</v>
      </c>
      <c r="E53" s="601" t="s">
        <v>1595</v>
      </c>
      <c r="F53" s="637" t="s">
        <v>1535</v>
      </c>
      <c r="G53" s="631" t="s">
        <v>1534</v>
      </c>
      <c r="H53" s="603">
        <v>23985379</v>
      </c>
      <c r="I53" s="698">
        <f>544062+50600+J53</f>
        <v>3594662</v>
      </c>
      <c r="J53" s="603">
        <f>(5000000)-2000000</f>
        <v>3000000</v>
      </c>
      <c r="K53" s="632">
        <f t="shared" si="4"/>
        <v>0.1498688847068041</v>
      </c>
      <c r="L53" s="196"/>
      <c r="M53" s="196"/>
      <c r="N53" s="196"/>
      <c r="O53" s="196"/>
      <c r="P53" s="196"/>
      <c r="Q53" s="196"/>
      <c r="R53" s="196"/>
    </row>
    <row r="54" spans="1:18" ht="46.5" hidden="1" thickTop="1" thickBot="1" x14ac:dyDescent="0.25">
      <c r="B54" s="211" t="s">
        <v>905</v>
      </c>
      <c r="C54" s="211" t="s">
        <v>906</v>
      </c>
      <c r="D54" s="211" t="s">
        <v>302</v>
      </c>
      <c r="E54" s="211" t="s">
        <v>1541</v>
      </c>
      <c r="F54" s="220" t="s">
        <v>1496</v>
      </c>
      <c r="G54" s="213" t="s">
        <v>1426</v>
      </c>
      <c r="H54" s="214">
        <v>999655</v>
      </c>
      <c r="I54" s="215">
        <f>0+J54</f>
        <v>450000</v>
      </c>
      <c r="J54" s="214">
        <f>999655-549655</f>
        <v>450000</v>
      </c>
      <c r="K54" s="216">
        <f t="shared" si="4"/>
        <v>0.45015530357973499</v>
      </c>
      <c r="L54" s="196"/>
      <c r="M54" s="196"/>
      <c r="N54" s="196"/>
      <c r="O54" s="196"/>
      <c r="P54" s="196"/>
      <c r="Q54" s="196"/>
      <c r="R54" s="196"/>
    </row>
    <row r="55" spans="1:18" ht="46.5" hidden="1" thickTop="1" thickBot="1" x14ac:dyDescent="0.25">
      <c r="A55" s="239"/>
      <c r="B55" s="222">
        <v>1000000</v>
      </c>
      <c r="C55" s="222"/>
      <c r="D55" s="222"/>
      <c r="E55" s="223" t="s">
        <v>24</v>
      </c>
      <c r="F55" s="222"/>
      <c r="G55" s="222"/>
      <c r="H55" s="224">
        <f>H56</f>
        <v>27064985</v>
      </c>
      <c r="I55" s="224">
        <f>I56</f>
        <v>19955037.289999999</v>
      </c>
      <c r="J55" s="224">
        <f>J56</f>
        <v>0</v>
      </c>
      <c r="K55" s="225"/>
      <c r="L55" s="196"/>
      <c r="M55" s="196"/>
      <c r="N55" s="196"/>
      <c r="O55" s="196"/>
      <c r="P55" s="196"/>
      <c r="Q55" s="196"/>
      <c r="R55" s="196"/>
    </row>
    <row r="56" spans="1:18" ht="44.25" hidden="1" thickTop="1" thickBot="1" x14ac:dyDescent="0.25">
      <c r="A56" s="239"/>
      <c r="B56" s="226">
        <v>1010000</v>
      </c>
      <c r="C56" s="226"/>
      <c r="D56" s="226"/>
      <c r="E56" s="227" t="s">
        <v>39</v>
      </c>
      <c r="F56" s="226"/>
      <c r="G56" s="226"/>
      <c r="H56" s="228">
        <f>SUM(H57:H58)</f>
        <v>27064985</v>
      </c>
      <c r="I56" s="228">
        <f>SUM(I57:I58)</f>
        <v>19955037.289999999</v>
      </c>
      <c r="J56" s="228">
        <f>SUM(J57:J58)</f>
        <v>0</v>
      </c>
      <c r="K56" s="229"/>
      <c r="L56" s="196"/>
      <c r="M56" s="196"/>
      <c r="N56" s="196"/>
      <c r="O56" s="196"/>
      <c r="P56" s="196"/>
      <c r="Q56" s="196"/>
      <c r="R56" s="196"/>
    </row>
    <row r="57" spans="1:18" ht="46.5" hidden="1" thickTop="1" thickBot="1" x14ac:dyDescent="0.25">
      <c r="B57" s="211" t="s">
        <v>175</v>
      </c>
      <c r="C57" s="211" t="s">
        <v>176</v>
      </c>
      <c r="D57" s="211" t="s">
        <v>173</v>
      </c>
      <c r="E57" s="211" t="s">
        <v>458</v>
      </c>
      <c r="F57" s="212" t="s">
        <v>916</v>
      </c>
      <c r="G57" s="214" t="s">
        <v>514</v>
      </c>
      <c r="H57" s="214">
        <v>27064985</v>
      </c>
      <c r="I57" s="214">
        <f>1430336+2994769.5+4929931.79+5600000+(3000000)+2000000</f>
        <v>19955037.289999999</v>
      </c>
      <c r="J57" s="214">
        <f>(4652920)-4652920</f>
        <v>0</v>
      </c>
      <c r="K57" s="230">
        <f>(J57+I57)/H57</f>
        <v>0.73730088119391157</v>
      </c>
      <c r="L57" s="196"/>
      <c r="M57" s="196"/>
      <c r="N57" s="196"/>
      <c r="O57" s="196"/>
      <c r="P57" s="196"/>
      <c r="Q57" s="196"/>
      <c r="R57" s="196"/>
    </row>
    <row r="58" spans="1:18" ht="106.5" hidden="1" thickTop="1" thickBot="1" x14ac:dyDescent="0.25">
      <c r="A58" s="239"/>
      <c r="B58" s="203" t="s">
        <v>899</v>
      </c>
      <c r="C58" s="203" t="s">
        <v>196</v>
      </c>
      <c r="D58" s="203" t="s">
        <v>169</v>
      </c>
      <c r="E58" s="203" t="s">
        <v>34</v>
      </c>
      <c r="F58" s="221" t="s">
        <v>923</v>
      </c>
      <c r="G58" s="208" t="s">
        <v>551</v>
      </c>
      <c r="H58" s="209"/>
      <c r="I58" s="210"/>
      <c r="J58" s="209"/>
      <c r="K58" s="210"/>
      <c r="L58" s="196"/>
      <c r="M58" s="196"/>
      <c r="N58" s="196"/>
      <c r="O58" s="196"/>
      <c r="P58" s="196"/>
      <c r="Q58" s="196"/>
      <c r="R58" s="196"/>
    </row>
    <row r="59" spans="1:18" ht="65.099999999999994" hidden="1" customHeight="1" thickTop="1" thickBot="1" x14ac:dyDescent="0.25">
      <c r="B59" s="540" t="s">
        <v>22</v>
      </c>
      <c r="C59" s="540"/>
      <c r="D59" s="540"/>
      <c r="E59" s="541" t="s">
        <v>23</v>
      </c>
      <c r="F59" s="540"/>
      <c r="G59" s="540"/>
      <c r="H59" s="542">
        <f t="shared" ref="H59:J59" si="5">H60</f>
        <v>35118863</v>
      </c>
      <c r="I59" s="542">
        <f t="shared" si="5"/>
        <v>31387992.66</v>
      </c>
      <c r="J59" s="542">
        <f t="shared" si="5"/>
        <v>1000000</v>
      </c>
      <c r="K59" s="543"/>
      <c r="L59" s="196"/>
      <c r="M59" s="196"/>
      <c r="N59" s="196"/>
      <c r="O59" s="196"/>
      <c r="P59" s="196"/>
      <c r="Q59" s="196"/>
      <c r="R59" s="196"/>
    </row>
    <row r="60" spans="1:18" ht="57" hidden="1" customHeight="1" thickTop="1" thickBot="1" x14ac:dyDescent="0.25">
      <c r="B60" s="544" t="s">
        <v>21</v>
      </c>
      <c r="C60" s="544"/>
      <c r="D60" s="544"/>
      <c r="E60" s="545" t="s">
        <v>35</v>
      </c>
      <c r="F60" s="544"/>
      <c r="G60" s="544"/>
      <c r="H60" s="546">
        <f>H62</f>
        <v>35118863</v>
      </c>
      <c r="I60" s="546">
        <f t="shared" ref="I60:J60" si="6">I62</f>
        <v>31387992.66</v>
      </c>
      <c r="J60" s="546">
        <f t="shared" si="6"/>
        <v>1000000</v>
      </c>
      <c r="K60" s="547"/>
      <c r="L60" s="196"/>
      <c r="M60" s="196"/>
      <c r="N60" s="196"/>
      <c r="O60" s="196"/>
      <c r="P60" s="196"/>
      <c r="Q60" s="196"/>
      <c r="R60" s="196"/>
    </row>
    <row r="61" spans="1:18" ht="46.5" hidden="1" customHeight="1" thickTop="1" thickBot="1" x14ac:dyDescent="0.25">
      <c r="B61" s="211" t="s">
        <v>188</v>
      </c>
      <c r="C61" s="211" t="s">
        <v>189</v>
      </c>
      <c r="D61" s="211" t="s">
        <v>184</v>
      </c>
      <c r="E61" s="211" t="s">
        <v>10</v>
      </c>
      <c r="F61" s="231" t="s">
        <v>1216</v>
      </c>
      <c r="G61" s="213" t="s">
        <v>599</v>
      </c>
      <c r="H61" s="214">
        <v>2102059</v>
      </c>
      <c r="I61" s="215">
        <f>66820+3338.56+J61</f>
        <v>80838.559999999998</v>
      </c>
      <c r="J61" s="215">
        <v>10680</v>
      </c>
      <c r="K61" s="216">
        <f>I61/H61</f>
        <v>3.8456846358736835E-2</v>
      </c>
      <c r="L61" s="196"/>
      <c r="M61" s="196"/>
      <c r="N61" s="196"/>
      <c r="O61" s="196"/>
      <c r="P61" s="196"/>
      <c r="Q61" s="196"/>
      <c r="R61" s="196"/>
    </row>
    <row r="62" spans="1:18" s="240" customFormat="1" ht="83.25" hidden="1" customHeight="1" thickTop="1" thickBot="1" x14ac:dyDescent="0.25">
      <c r="B62" s="211" t="s">
        <v>28</v>
      </c>
      <c r="C62" s="211" t="s">
        <v>191</v>
      </c>
      <c r="D62" s="211" t="s">
        <v>194</v>
      </c>
      <c r="E62" s="211" t="s">
        <v>48</v>
      </c>
      <c r="F62" s="231" t="s">
        <v>1212</v>
      </c>
      <c r="G62" s="213" t="s">
        <v>1225</v>
      </c>
      <c r="H62" s="214">
        <v>35118863</v>
      </c>
      <c r="I62" s="215">
        <f>30387992.66+J62</f>
        <v>31387992.66</v>
      </c>
      <c r="J62" s="215">
        <v>1000000</v>
      </c>
      <c r="K62" s="216">
        <f>I62/H62</f>
        <v>0.89376448947108567</v>
      </c>
      <c r="L62" s="324">
        <f>H62-I62-4929869.92</f>
        <v>-1198999.58</v>
      </c>
      <c r="M62" s="232"/>
      <c r="N62" s="232"/>
      <c r="O62" s="232"/>
      <c r="P62" s="232"/>
      <c r="Q62" s="232"/>
      <c r="R62" s="232"/>
    </row>
    <row r="63" spans="1:18" s="240" customFormat="1" ht="16.5" hidden="1" thickTop="1" thickBot="1" x14ac:dyDescent="0.25">
      <c r="B63" s="211"/>
      <c r="C63" s="211"/>
      <c r="D63" s="211"/>
      <c r="E63" s="211"/>
      <c r="F63" s="231"/>
      <c r="G63" s="213"/>
      <c r="H63" s="214"/>
      <c r="I63" s="215"/>
      <c r="J63" s="215"/>
      <c r="K63" s="216"/>
      <c r="L63" s="324"/>
      <c r="M63" s="232"/>
      <c r="N63" s="232"/>
      <c r="O63" s="232"/>
      <c r="P63" s="232"/>
      <c r="Q63" s="232"/>
      <c r="R63" s="232"/>
    </row>
    <row r="64" spans="1:18" s="240" customFormat="1" ht="16.5" hidden="1" thickTop="1" thickBot="1" x14ac:dyDescent="0.25">
      <c r="B64" s="211"/>
      <c r="C64" s="211"/>
      <c r="D64" s="211"/>
      <c r="E64" s="211"/>
      <c r="F64" s="231"/>
      <c r="G64" s="213"/>
      <c r="H64" s="214"/>
      <c r="I64" s="215"/>
      <c r="J64" s="215"/>
      <c r="K64" s="216"/>
      <c r="L64" s="324"/>
      <c r="M64" s="232"/>
      <c r="N64" s="232"/>
      <c r="O64" s="232"/>
      <c r="P64" s="232"/>
      <c r="Q64" s="232"/>
      <c r="R64" s="232"/>
    </row>
    <row r="65" spans="1:18" s="240" customFormat="1" ht="46.5" thickTop="1" thickBot="1" x14ac:dyDescent="0.25">
      <c r="B65" s="576" t="s">
        <v>157</v>
      </c>
      <c r="C65" s="576"/>
      <c r="D65" s="576"/>
      <c r="E65" s="577" t="s">
        <v>554</v>
      </c>
      <c r="F65" s="576"/>
      <c r="G65" s="576"/>
      <c r="H65" s="578">
        <f t="shared" ref="H65:J65" si="7">H66</f>
        <v>12157675</v>
      </c>
      <c r="I65" s="578">
        <f t="shared" si="7"/>
        <v>1730898.22</v>
      </c>
      <c r="J65" s="578">
        <f t="shared" si="7"/>
        <v>1652792</v>
      </c>
      <c r="K65" s="633"/>
      <c r="L65" s="233"/>
      <c r="M65" s="232"/>
      <c r="N65" s="232"/>
      <c r="O65" s="232"/>
      <c r="P65" s="232"/>
      <c r="Q65" s="232"/>
      <c r="R65" s="232"/>
    </row>
    <row r="66" spans="1:18" s="240" customFormat="1" ht="44.25" thickTop="1" thickBot="1" x14ac:dyDescent="0.25">
      <c r="B66" s="580" t="s">
        <v>158</v>
      </c>
      <c r="C66" s="580"/>
      <c r="D66" s="580"/>
      <c r="E66" s="581" t="s">
        <v>555</v>
      </c>
      <c r="F66" s="580"/>
      <c r="G66" s="580"/>
      <c r="H66" s="634">
        <f>H68+H67</f>
        <v>12157675</v>
      </c>
      <c r="I66" s="634">
        <f>I68+I67</f>
        <v>1730898.22</v>
      </c>
      <c r="J66" s="634">
        <f>J68+J67</f>
        <v>1652792</v>
      </c>
      <c r="K66" s="635"/>
      <c r="L66" s="233"/>
      <c r="M66" s="232"/>
      <c r="N66" s="232"/>
      <c r="O66" s="232"/>
      <c r="P66" s="232"/>
      <c r="Q66" s="232"/>
      <c r="R66" s="232"/>
    </row>
    <row r="67" spans="1:18" s="240" customFormat="1" ht="91.5" thickTop="1" thickBot="1" x14ac:dyDescent="0.25">
      <c r="B67" s="601" t="s">
        <v>1709</v>
      </c>
      <c r="C67" s="601" t="s">
        <v>1159</v>
      </c>
      <c r="D67" s="601" t="s">
        <v>205</v>
      </c>
      <c r="E67" s="613" t="s">
        <v>1679</v>
      </c>
      <c r="F67" s="614" t="s">
        <v>1680</v>
      </c>
      <c r="G67" s="603" t="s">
        <v>1730</v>
      </c>
      <c r="H67" s="603">
        <v>10326170</v>
      </c>
      <c r="I67" s="603">
        <f>78106.22+J67</f>
        <v>88106.22</v>
      </c>
      <c r="J67" s="603">
        <f>(1000000)-990000</f>
        <v>10000</v>
      </c>
      <c r="K67" s="604">
        <f t="shared" ref="K67" si="8">I67/H67</f>
        <v>8.5323232137375239E-3</v>
      </c>
      <c r="L67" s="233"/>
      <c r="M67" s="232"/>
      <c r="N67" s="232"/>
      <c r="O67" s="232"/>
      <c r="P67" s="232"/>
      <c r="Q67" s="232"/>
      <c r="R67" s="232"/>
    </row>
    <row r="68" spans="1:18" s="240" customFormat="1" ht="46.5" thickTop="1" thickBot="1" x14ac:dyDescent="0.25">
      <c r="B68" s="601" t="s">
        <v>1559</v>
      </c>
      <c r="C68" s="601" t="s">
        <v>1560</v>
      </c>
      <c r="D68" s="601" t="s">
        <v>1111</v>
      </c>
      <c r="E68" s="601" t="s">
        <v>1563</v>
      </c>
      <c r="F68" s="637" t="s">
        <v>1639</v>
      </c>
      <c r="G68" s="631" t="s">
        <v>1640</v>
      </c>
      <c r="H68" s="603">
        <v>1831505</v>
      </c>
      <c r="I68" s="603">
        <f>0+J68</f>
        <v>1642792</v>
      </c>
      <c r="J68" s="603">
        <f>(960631)+682161</f>
        <v>1642792</v>
      </c>
      <c r="K68" s="632">
        <f>I68/H68</f>
        <v>0.89696288025421711</v>
      </c>
      <c r="L68" s="233"/>
      <c r="M68" s="232"/>
      <c r="N68" s="232"/>
      <c r="O68" s="232"/>
      <c r="P68" s="232"/>
      <c r="Q68" s="232"/>
      <c r="R68" s="232"/>
    </row>
    <row r="69" spans="1:18" s="240" customFormat="1" ht="33.75" hidden="1" thickTop="1" thickBot="1" x14ac:dyDescent="0.25">
      <c r="B69" s="211" t="s">
        <v>1107</v>
      </c>
      <c r="C69" s="211" t="s">
        <v>303</v>
      </c>
      <c r="D69" s="211" t="s">
        <v>302</v>
      </c>
      <c r="E69" s="211" t="s">
        <v>1199</v>
      </c>
      <c r="F69" s="231" t="s">
        <v>1114</v>
      </c>
      <c r="G69" s="214" t="s">
        <v>1098</v>
      </c>
      <c r="H69" s="214">
        <v>4177606</v>
      </c>
      <c r="I69" s="214">
        <v>0</v>
      </c>
      <c r="J69" s="215"/>
      <c r="K69" s="230">
        <f>(I69+J69)/H69</f>
        <v>0</v>
      </c>
      <c r="L69" s="233"/>
      <c r="M69" s="232"/>
      <c r="N69" s="232"/>
      <c r="O69" s="232"/>
      <c r="P69" s="232"/>
      <c r="Q69" s="232"/>
      <c r="R69" s="232"/>
    </row>
    <row r="70" spans="1:18" s="240" customFormat="1" ht="46.5" thickTop="1" thickBot="1" x14ac:dyDescent="0.25">
      <c r="B70" s="576" t="s">
        <v>533</v>
      </c>
      <c r="C70" s="576"/>
      <c r="D70" s="576"/>
      <c r="E70" s="577" t="s">
        <v>552</v>
      </c>
      <c r="F70" s="576"/>
      <c r="G70" s="576"/>
      <c r="H70" s="578">
        <f>H71</f>
        <v>153730251</v>
      </c>
      <c r="I70" s="578">
        <f>I71</f>
        <v>72684341.930000007</v>
      </c>
      <c r="J70" s="578">
        <f>J71</f>
        <v>35430215.060000002</v>
      </c>
      <c r="K70" s="633"/>
      <c r="L70" s="233"/>
      <c r="M70" s="232"/>
      <c r="N70" s="232"/>
      <c r="O70" s="232"/>
      <c r="P70" s="232"/>
      <c r="Q70" s="232"/>
      <c r="R70" s="232"/>
    </row>
    <row r="71" spans="1:18" s="240" customFormat="1" ht="44.25" thickTop="1" thickBot="1" x14ac:dyDescent="0.25">
      <c r="B71" s="580" t="s">
        <v>534</v>
      </c>
      <c r="C71" s="580"/>
      <c r="D71" s="580"/>
      <c r="E71" s="581" t="s">
        <v>553</v>
      </c>
      <c r="F71" s="580"/>
      <c r="G71" s="580"/>
      <c r="H71" s="634">
        <f>H74+H79+H80+H101+H111+H112+H117</f>
        <v>153730251</v>
      </c>
      <c r="I71" s="634">
        <f>I74+I79+I80+I101+I111+I112+I117</f>
        <v>72684341.930000007</v>
      </c>
      <c r="J71" s="634">
        <f>J74+J79+J80+J101+J111+J112+J117</f>
        <v>35430215.060000002</v>
      </c>
      <c r="K71" s="635"/>
      <c r="L71" s="233"/>
      <c r="M71" s="232"/>
      <c r="N71" s="232"/>
      <c r="O71" s="232"/>
      <c r="P71" s="232"/>
      <c r="Q71" s="232"/>
      <c r="R71" s="232"/>
    </row>
    <row r="72" spans="1:18" s="240" customFormat="1" ht="46.5" hidden="1" thickTop="1" thickBot="1" x14ac:dyDescent="0.25">
      <c r="A72" s="167"/>
      <c r="B72" s="211" t="s">
        <v>541</v>
      </c>
      <c r="C72" s="211" t="s">
        <v>303</v>
      </c>
      <c r="D72" s="211" t="s">
        <v>302</v>
      </c>
      <c r="E72" s="211" t="s">
        <v>464</v>
      </c>
      <c r="F72" s="234" t="s">
        <v>1096</v>
      </c>
      <c r="G72" s="214" t="s">
        <v>1225</v>
      </c>
      <c r="H72" s="214">
        <v>10423167</v>
      </c>
      <c r="I72" s="214">
        <f>1987516+J72</f>
        <v>2297516</v>
      </c>
      <c r="J72" s="214">
        <f>(3000000-2000000)-690000</f>
        <v>310000</v>
      </c>
      <c r="K72" s="230">
        <f>I72/H72</f>
        <v>0.22042398438017927</v>
      </c>
      <c r="L72" s="233"/>
      <c r="M72" s="232"/>
      <c r="N72" s="232"/>
      <c r="O72" s="232"/>
      <c r="P72" s="232"/>
      <c r="Q72" s="232"/>
      <c r="R72" s="232"/>
    </row>
    <row r="73" spans="1:18" s="240" customFormat="1" ht="31.5" hidden="1" thickTop="1" thickBot="1" x14ac:dyDescent="0.25">
      <c r="A73" s="167"/>
      <c r="B73" s="211" t="s">
        <v>541</v>
      </c>
      <c r="C73" s="211" t="s">
        <v>303</v>
      </c>
      <c r="D73" s="211" t="s">
        <v>302</v>
      </c>
      <c r="E73" s="211" t="s">
        <v>464</v>
      </c>
      <c r="F73" s="234" t="s">
        <v>1097</v>
      </c>
      <c r="G73" s="214" t="s">
        <v>515</v>
      </c>
      <c r="H73" s="214">
        <v>19973126</v>
      </c>
      <c r="I73" s="214">
        <v>3000000</v>
      </c>
      <c r="J73" s="214">
        <f>(2000000)-2000000</f>
        <v>0</v>
      </c>
      <c r="K73" s="230">
        <f t="shared" ref="K73:K115" si="9">(I73+J73)/H73</f>
        <v>0.15020182619385669</v>
      </c>
      <c r="L73" s="233"/>
      <c r="M73" s="232"/>
      <c r="N73" s="232"/>
      <c r="O73" s="232"/>
      <c r="P73" s="232"/>
      <c r="Q73" s="232"/>
      <c r="R73" s="232"/>
    </row>
    <row r="74" spans="1:18" s="240" customFormat="1" ht="46.5" thickTop="1" thickBot="1" x14ac:dyDescent="0.25">
      <c r="A74" s="167"/>
      <c r="B74" s="601" t="s">
        <v>1562</v>
      </c>
      <c r="C74" s="601" t="s">
        <v>1560</v>
      </c>
      <c r="D74" s="601" t="s">
        <v>1111</v>
      </c>
      <c r="E74" s="601" t="s">
        <v>1563</v>
      </c>
      <c r="F74" s="315" t="s">
        <v>1132</v>
      </c>
      <c r="G74" s="603" t="s">
        <v>1564</v>
      </c>
      <c r="H74" s="603">
        <v>7326277</v>
      </c>
      <c r="I74" s="603">
        <f>0+J74</f>
        <v>200000</v>
      </c>
      <c r="J74" s="603">
        <v>200000</v>
      </c>
      <c r="K74" s="604">
        <f t="shared" ref="K74:K75" si="10">I74/H74</f>
        <v>2.729899511034049E-2</v>
      </c>
      <c r="L74" s="233"/>
      <c r="M74" s="232"/>
      <c r="N74" s="232"/>
      <c r="O74" s="232"/>
      <c r="P74" s="232"/>
      <c r="Q74" s="232"/>
      <c r="R74" s="232"/>
    </row>
    <row r="75" spans="1:18" s="240" customFormat="1" ht="46.5" hidden="1" thickTop="1" thickBot="1" x14ac:dyDescent="0.25">
      <c r="A75" s="167"/>
      <c r="B75" s="601" t="s">
        <v>1562</v>
      </c>
      <c r="C75" s="601" t="s">
        <v>1560</v>
      </c>
      <c r="D75" s="601" t="s">
        <v>1111</v>
      </c>
      <c r="E75" s="601" t="s">
        <v>1563</v>
      </c>
      <c r="F75" s="315" t="s">
        <v>1085</v>
      </c>
      <c r="G75" s="603" t="s">
        <v>1565</v>
      </c>
      <c r="H75" s="603">
        <v>19848834</v>
      </c>
      <c r="I75" s="603">
        <f>1639036.69+J75</f>
        <v>1639036.69</v>
      </c>
      <c r="J75" s="603">
        <f>(100000)-100000</f>
        <v>0</v>
      </c>
      <c r="K75" s="604">
        <f t="shared" si="10"/>
        <v>8.2575968442277256E-2</v>
      </c>
      <c r="L75" s="233"/>
      <c r="M75" s="232"/>
      <c r="N75" s="232"/>
      <c r="O75" s="232"/>
      <c r="P75" s="232"/>
      <c r="Q75" s="232"/>
      <c r="R75" s="232"/>
    </row>
    <row r="76" spans="1:18" s="240" customFormat="1" ht="46.5" hidden="1" thickTop="1" thickBot="1" x14ac:dyDescent="0.25">
      <c r="A76" s="167"/>
      <c r="B76" s="211" t="s">
        <v>541</v>
      </c>
      <c r="C76" s="211" t="s">
        <v>303</v>
      </c>
      <c r="D76" s="211" t="s">
        <v>302</v>
      </c>
      <c r="E76" s="211" t="s">
        <v>464</v>
      </c>
      <c r="F76" s="234" t="s">
        <v>1102</v>
      </c>
      <c r="G76" s="214" t="s">
        <v>1098</v>
      </c>
      <c r="H76" s="214">
        <v>8650378</v>
      </c>
      <c r="I76" s="697">
        <v>0</v>
      </c>
      <c r="J76" s="214"/>
      <c r="K76" s="230">
        <f t="shared" si="9"/>
        <v>0</v>
      </c>
      <c r="L76" s="233"/>
      <c r="M76" s="232"/>
      <c r="N76" s="232"/>
      <c r="O76" s="232"/>
      <c r="P76" s="232"/>
      <c r="Q76" s="232"/>
      <c r="R76" s="232"/>
    </row>
    <row r="77" spans="1:18" s="240" customFormat="1" ht="46.5" hidden="1" thickTop="1" thickBot="1" x14ac:dyDescent="0.25">
      <c r="A77" s="167"/>
      <c r="B77" s="211" t="s">
        <v>541</v>
      </c>
      <c r="C77" s="211" t="s">
        <v>303</v>
      </c>
      <c r="D77" s="211" t="s">
        <v>302</v>
      </c>
      <c r="E77" s="211" t="s">
        <v>464</v>
      </c>
      <c r="F77" s="234" t="s">
        <v>1103</v>
      </c>
      <c r="G77" s="214" t="s">
        <v>514</v>
      </c>
      <c r="H77" s="214">
        <v>68621716</v>
      </c>
      <c r="I77" s="697">
        <v>65923472</v>
      </c>
      <c r="J77" s="214"/>
      <c r="K77" s="230">
        <f t="shared" si="9"/>
        <v>0.96067944439046093</v>
      </c>
      <c r="L77" s="233"/>
      <c r="M77" s="232"/>
      <c r="N77" s="232"/>
      <c r="O77" s="232"/>
      <c r="P77" s="232"/>
      <c r="Q77" s="232"/>
      <c r="R77" s="232"/>
    </row>
    <row r="78" spans="1:18" s="240" customFormat="1" ht="46.5" hidden="1" thickTop="1" thickBot="1" x14ac:dyDescent="0.25">
      <c r="A78" s="167"/>
      <c r="B78" s="211" t="s">
        <v>541</v>
      </c>
      <c r="C78" s="211" t="s">
        <v>303</v>
      </c>
      <c r="D78" s="211" t="s">
        <v>302</v>
      </c>
      <c r="E78" s="211" t="s">
        <v>464</v>
      </c>
      <c r="F78" s="234" t="s">
        <v>1121</v>
      </c>
      <c r="G78" s="214" t="s">
        <v>514</v>
      </c>
      <c r="H78" s="214">
        <v>18370999</v>
      </c>
      <c r="I78" s="697">
        <f>(300000+171778.77+2000000+2000000)</f>
        <v>4471778.7699999996</v>
      </c>
      <c r="J78" s="214"/>
      <c r="K78" s="230">
        <f>(I78+J78)/H78</f>
        <v>0.24341511150264608</v>
      </c>
      <c r="L78" s="233"/>
      <c r="M78" s="232"/>
      <c r="N78" s="232"/>
      <c r="O78" s="232"/>
      <c r="P78" s="232"/>
      <c r="Q78" s="232"/>
      <c r="R78" s="232"/>
    </row>
    <row r="79" spans="1:18" s="240" customFormat="1" ht="46.5" thickTop="1" thickBot="1" x14ac:dyDescent="0.25">
      <c r="A79" s="167"/>
      <c r="B79" s="601" t="s">
        <v>1562</v>
      </c>
      <c r="C79" s="601" t="s">
        <v>1560</v>
      </c>
      <c r="D79" s="601" t="s">
        <v>1111</v>
      </c>
      <c r="E79" s="601" t="s">
        <v>1563</v>
      </c>
      <c r="F79" s="602" t="s">
        <v>1596</v>
      </c>
      <c r="G79" s="603" t="s">
        <v>1536</v>
      </c>
      <c r="H79" s="607">
        <v>6047024</v>
      </c>
      <c r="I79" s="603">
        <f>1276031.52+1940880.47+J79</f>
        <v>5869061.9900000002</v>
      </c>
      <c r="J79" s="603">
        <f>2057785+594365</f>
        <v>2652150</v>
      </c>
      <c r="K79" s="604">
        <f>I79/H79</f>
        <v>0.97057031524928628</v>
      </c>
      <c r="L79" s="233"/>
      <c r="M79" s="232"/>
      <c r="N79" s="232"/>
      <c r="O79" s="232"/>
      <c r="P79" s="232"/>
      <c r="Q79" s="232"/>
      <c r="R79" s="232"/>
    </row>
    <row r="80" spans="1:18" s="240" customFormat="1" ht="46.5" thickTop="1" thickBot="1" x14ac:dyDescent="0.25">
      <c r="A80" s="167"/>
      <c r="B80" s="601" t="s">
        <v>542</v>
      </c>
      <c r="C80" s="601" t="s">
        <v>291</v>
      </c>
      <c r="D80" s="601" t="s">
        <v>293</v>
      </c>
      <c r="E80" s="601" t="s">
        <v>292</v>
      </c>
      <c r="F80" s="315" t="s">
        <v>1416</v>
      </c>
      <c r="G80" s="603" t="s">
        <v>1731</v>
      </c>
      <c r="H80" s="607">
        <v>127379406</v>
      </c>
      <c r="I80" s="603">
        <f>29190319.74+1932527.78+J80</f>
        <v>55767847.519999996</v>
      </c>
      <c r="J80" s="603">
        <f>(((2000000)+8645000)+6000000)+8000000</f>
        <v>24645000</v>
      </c>
      <c r="K80" s="604">
        <f>I80/H80</f>
        <v>0.43780897769298749</v>
      </c>
      <c r="L80" s="233"/>
      <c r="M80" s="232"/>
      <c r="N80" s="232"/>
      <c r="O80" s="232"/>
      <c r="P80" s="232"/>
      <c r="Q80" s="232"/>
      <c r="R80" s="232"/>
    </row>
    <row r="81" spans="1:18" s="240" customFormat="1" ht="61.5" hidden="1" thickTop="1" thickBot="1" x14ac:dyDescent="0.25">
      <c r="A81" s="167"/>
      <c r="B81" s="211" t="s">
        <v>543</v>
      </c>
      <c r="C81" s="211" t="s">
        <v>211</v>
      </c>
      <c r="D81" s="211" t="s">
        <v>212</v>
      </c>
      <c r="E81" s="211" t="s">
        <v>41</v>
      </c>
      <c r="F81" s="235" t="s">
        <v>1099</v>
      </c>
      <c r="G81" s="213" t="s">
        <v>1424</v>
      </c>
      <c r="H81" s="549">
        <v>41231871</v>
      </c>
      <c r="I81" s="214">
        <f>19590037.78+J81</f>
        <v>34870208.130000003</v>
      </c>
      <c r="J81" s="214">
        <f>(((9760000)+4303884+1500000)+344886.99)-628600.64</f>
        <v>15280170.35</v>
      </c>
      <c r="K81" s="216">
        <v>1</v>
      </c>
      <c r="L81" s="233"/>
      <c r="M81" s="232"/>
      <c r="N81" s="232"/>
      <c r="O81" s="232"/>
      <c r="P81" s="232"/>
      <c r="Q81" s="232"/>
      <c r="R81" s="232"/>
    </row>
    <row r="82" spans="1:18" s="240" customFormat="1" ht="31.5" hidden="1" thickTop="1" thickBot="1" x14ac:dyDescent="0.25">
      <c r="A82" s="167"/>
      <c r="B82" s="390" t="s">
        <v>544</v>
      </c>
      <c r="C82" s="390" t="s">
        <v>196</v>
      </c>
      <c r="D82" s="390" t="s">
        <v>169</v>
      </c>
      <c r="E82" s="390" t="s">
        <v>34</v>
      </c>
      <c r="F82" s="410" t="s">
        <v>1275</v>
      </c>
      <c r="G82" s="213"/>
      <c r="H82" s="409"/>
      <c r="I82" s="214"/>
      <c r="J82" s="214"/>
      <c r="K82" s="216"/>
      <c r="L82" s="233"/>
      <c r="M82" s="232"/>
      <c r="N82" s="232"/>
      <c r="O82" s="232"/>
      <c r="P82" s="232"/>
      <c r="Q82" s="232"/>
      <c r="R82" s="232"/>
    </row>
    <row r="83" spans="1:18" s="240" customFormat="1" ht="76.5" hidden="1" thickTop="1" thickBot="1" x14ac:dyDescent="0.25">
      <c r="A83" s="167"/>
      <c r="B83" s="211" t="s">
        <v>544</v>
      </c>
      <c r="C83" s="211" t="s">
        <v>196</v>
      </c>
      <c r="D83" s="211" t="s">
        <v>169</v>
      </c>
      <c r="E83" s="211" t="s">
        <v>34</v>
      </c>
      <c r="F83" s="235" t="s">
        <v>1100</v>
      </c>
      <c r="G83" s="213" t="s">
        <v>1094</v>
      </c>
      <c r="H83" s="214">
        <v>4730960</v>
      </c>
      <c r="I83" s="214">
        <f>5000</f>
        <v>5000</v>
      </c>
      <c r="J83" s="214"/>
      <c r="K83" s="230">
        <f t="shared" si="9"/>
        <v>1.0568679506907689E-3</v>
      </c>
      <c r="L83" s="233"/>
      <c r="M83" s="232"/>
      <c r="N83" s="232"/>
      <c r="O83" s="232"/>
      <c r="P83" s="232"/>
      <c r="Q83" s="232"/>
      <c r="R83" s="232"/>
    </row>
    <row r="84" spans="1:18" s="240" customFormat="1" ht="31.5" hidden="1" thickTop="1" thickBot="1" x14ac:dyDescent="0.25">
      <c r="A84" s="167"/>
      <c r="B84" s="211" t="s">
        <v>544</v>
      </c>
      <c r="C84" s="211" t="s">
        <v>196</v>
      </c>
      <c r="D84" s="211" t="s">
        <v>169</v>
      </c>
      <c r="E84" s="211" t="s">
        <v>34</v>
      </c>
      <c r="F84" s="220" t="s">
        <v>1276</v>
      </c>
      <c r="G84" s="213" t="s">
        <v>1211</v>
      </c>
      <c r="H84" s="214">
        <v>3936902</v>
      </c>
      <c r="I84" s="214">
        <f>J84</f>
        <v>100000</v>
      </c>
      <c r="J84" s="214">
        <v>100000</v>
      </c>
      <c r="K84" s="216">
        <f>I84/H84</f>
        <v>2.5400683075169257E-2</v>
      </c>
      <c r="L84" s="233"/>
      <c r="M84" s="232"/>
      <c r="N84" s="232"/>
      <c r="O84" s="232"/>
      <c r="P84" s="232"/>
      <c r="Q84" s="232"/>
      <c r="R84" s="232"/>
    </row>
    <row r="85" spans="1:18" s="240" customFormat="1" ht="31.5" hidden="1" thickTop="1" thickBot="1" x14ac:dyDescent="0.25">
      <c r="A85" s="167"/>
      <c r="B85" s="390" t="s">
        <v>544</v>
      </c>
      <c r="C85" s="390" t="s">
        <v>196</v>
      </c>
      <c r="D85" s="390" t="s">
        <v>169</v>
      </c>
      <c r="E85" s="390" t="s">
        <v>34</v>
      </c>
      <c r="F85" s="410" t="s">
        <v>1275</v>
      </c>
      <c r="G85" s="213"/>
      <c r="H85" s="214"/>
      <c r="I85" s="214"/>
      <c r="J85" s="214"/>
      <c r="K85" s="230"/>
      <c r="L85" s="233"/>
      <c r="M85" s="232"/>
      <c r="N85" s="232"/>
      <c r="O85" s="232"/>
      <c r="P85" s="232"/>
      <c r="Q85" s="232"/>
      <c r="R85" s="232"/>
    </row>
    <row r="86" spans="1:18" s="240" customFormat="1" ht="46.5" hidden="1" thickTop="1" thickBot="1" x14ac:dyDescent="0.25">
      <c r="A86" s="167"/>
      <c r="B86" s="211" t="s">
        <v>544</v>
      </c>
      <c r="C86" s="211" t="s">
        <v>196</v>
      </c>
      <c r="D86" s="211" t="s">
        <v>169</v>
      </c>
      <c r="E86" s="211" t="s">
        <v>34</v>
      </c>
      <c r="F86" s="220" t="s">
        <v>1344</v>
      </c>
      <c r="G86" s="213" t="s">
        <v>1225</v>
      </c>
      <c r="H86" s="214">
        <v>7619432.4500000002</v>
      </c>
      <c r="I86" s="214">
        <f>2006390.45+J86</f>
        <v>6506390.4500000002</v>
      </c>
      <c r="J86" s="214">
        <f>(((100000)+1500000)+2000000)+900000</f>
        <v>4500000</v>
      </c>
      <c r="K86" s="216">
        <f>I86/H86</f>
        <v>0.85392061583274492</v>
      </c>
      <c r="L86" s="233"/>
      <c r="M86" s="232"/>
      <c r="N86" s="232"/>
      <c r="O86" s="232"/>
      <c r="P86" s="232"/>
      <c r="Q86" s="232"/>
      <c r="R86" s="232"/>
    </row>
    <row r="87" spans="1:18" s="240" customFormat="1" ht="31.5" hidden="1" thickTop="1" thickBot="1" x14ac:dyDescent="0.25">
      <c r="A87" s="167"/>
      <c r="B87" s="390" t="s">
        <v>544</v>
      </c>
      <c r="C87" s="390" t="s">
        <v>196</v>
      </c>
      <c r="D87" s="390" t="s">
        <v>169</v>
      </c>
      <c r="E87" s="390" t="s">
        <v>34</v>
      </c>
      <c r="F87" s="410" t="s">
        <v>1274</v>
      </c>
      <c r="G87" s="213"/>
      <c r="H87" s="214"/>
      <c r="I87" s="214"/>
      <c r="J87" s="214"/>
      <c r="K87" s="230"/>
      <c r="L87" s="233"/>
      <c r="M87" s="232"/>
      <c r="N87" s="232"/>
      <c r="O87" s="232"/>
      <c r="P87" s="232"/>
      <c r="Q87" s="232"/>
      <c r="R87" s="232"/>
    </row>
    <row r="88" spans="1:18" s="240" customFormat="1" ht="61.5" hidden="1" thickTop="1" thickBot="1" x14ac:dyDescent="0.25">
      <c r="A88" s="167"/>
      <c r="B88" s="211" t="s">
        <v>544</v>
      </c>
      <c r="C88" s="211" t="s">
        <v>196</v>
      </c>
      <c r="D88" s="211" t="s">
        <v>169</v>
      </c>
      <c r="E88" s="211" t="s">
        <v>34</v>
      </c>
      <c r="F88" s="220" t="s">
        <v>1273</v>
      </c>
      <c r="G88" s="214" t="s">
        <v>1221</v>
      </c>
      <c r="H88" s="214">
        <v>1814685</v>
      </c>
      <c r="I88" s="214">
        <f>0+J88</f>
        <v>1814685</v>
      </c>
      <c r="J88" s="214">
        <v>1814685</v>
      </c>
      <c r="K88" s="216">
        <f>I88/H88</f>
        <v>1</v>
      </c>
      <c r="L88" s="233"/>
      <c r="M88" s="232"/>
      <c r="N88" s="232"/>
      <c r="O88" s="232"/>
      <c r="P88" s="232"/>
      <c r="Q88" s="232"/>
      <c r="R88" s="232"/>
    </row>
    <row r="89" spans="1:18" s="240" customFormat="1" ht="46.5" thickTop="1" thickBot="1" x14ac:dyDescent="0.25">
      <c r="A89" s="167"/>
      <c r="B89" s="652" t="s">
        <v>544</v>
      </c>
      <c r="C89" s="652" t="s">
        <v>196</v>
      </c>
      <c r="D89" s="652" t="s">
        <v>169</v>
      </c>
      <c r="E89" s="652" t="s">
        <v>34</v>
      </c>
      <c r="F89" s="704" t="s">
        <v>1490</v>
      </c>
      <c r="G89" s="705"/>
      <c r="H89" s="705"/>
      <c r="I89" s="705"/>
      <c r="J89" s="705"/>
      <c r="K89" s="706"/>
      <c r="L89" s="233"/>
      <c r="M89" s="232"/>
      <c r="N89" s="232"/>
      <c r="O89" s="232"/>
      <c r="P89" s="232"/>
      <c r="Q89" s="232"/>
      <c r="R89" s="232"/>
    </row>
    <row r="90" spans="1:18" s="240" customFormat="1" ht="46.5" hidden="1" thickTop="1" thickBot="1" x14ac:dyDescent="0.25">
      <c r="A90" s="167"/>
      <c r="B90" s="211" t="s">
        <v>544</v>
      </c>
      <c r="C90" s="211" t="s">
        <v>196</v>
      </c>
      <c r="D90" s="211" t="s">
        <v>169</v>
      </c>
      <c r="E90" s="211" t="s">
        <v>34</v>
      </c>
      <c r="F90" s="220" t="s">
        <v>1261</v>
      </c>
      <c r="G90" s="214" t="s">
        <v>1220</v>
      </c>
      <c r="H90" s="214">
        <v>5372119</v>
      </c>
      <c r="I90" s="214">
        <f>98758+J90</f>
        <v>3645877</v>
      </c>
      <c r="J90" s="214">
        <f>(((800000)+4473361)-1008242)-718000</f>
        <v>3547119</v>
      </c>
      <c r="K90" s="216">
        <v>1</v>
      </c>
      <c r="L90" s="233"/>
      <c r="M90" s="232"/>
      <c r="N90" s="232"/>
      <c r="O90" s="232"/>
      <c r="P90" s="232"/>
      <c r="Q90" s="232"/>
      <c r="R90" s="232"/>
    </row>
    <row r="91" spans="1:18" s="240" customFormat="1" ht="46.5" hidden="1" thickTop="1" thickBot="1" x14ac:dyDescent="0.25">
      <c r="A91" s="317"/>
      <c r="B91" s="211" t="s">
        <v>544</v>
      </c>
      <c r="C91" s="211" t="s">
        <v>196</v>
      </c>
      <c r="D91" s="211" t="s">
        <v>169</v>
      </c>
      <c r="E91" s="211" t="s">
        <v>34</v>
      </c>
      <c r="F91" s="220" t="s">
        <v>1470</v>
      </c>
      <c r="G91" s="214" t="s">
        <v>1387</v>
      </c>
      <c r="H91" s="214">
        <v>7772411</v>
      </c>
      <c r="I91" s="214">
        <f>4658497.53+J91</f>
        <v>5218554.53</v>
      </c>
      <c r="J91" s="214">
        <f>(650000)-89943</f>
        <v>560057</v>
      </c>
      <c r="K91" s="216">
        <v>1</v>
      </c>
      <c r="L91" s="233"/>
      <c r="M91" s="232"/>
      <c r="N91" s="232"/>
      <c r="O91" s="232"/>
      <c r="P91" s="232"/>
      <c r="Q91" s="232"/>
      <c r="R91" s="232"/>
    </row>
    <row r="92" spans="1:18" s="240" customFormat="1" ht="46.5" hidden="1" thickTop="1" thickBot="1" x14ac:dyDescent="0.25">
      <c r="A92" s="167"/>
      <c r="B92" s="211" t="s">
        <v>544</v>
      </c>
      <c r="C92" s="211" t="s">
        <v>196</v>
      </c>
      <c r="D92" s="211" t="s">
        <v>169</v>
      </c>
      <c r="E92" s="211" t="s">
        <v>34</v>
      </c>
      <c r="F92" s="220" t="s">
        <v>1262</v>
      </c>
      <c r="G92" s="214" t="s">
        <v>1221</v>
      </c>
      <c r="H92" s="214">
        <f>9279628-9279628</f>
        <v>0</v>
      </c>
      <c r="I92" s="214">
        <f t="shared" ref="I92:I97" si="11">0+J92</f>
        <v>0</v>
      </c>
      <c r="J92" s="214">
        <f>(((800000)+8479628)-752674)-8526954</f>
        <v>0</v>
      </c>
      <c r="K92" s="216">
        <v>1</v>
      </c>
      <c r="L92" s="233"/>
      <c r="M92" s="232"/>
      <c r="N92" s="232"/>
      <c r="O92" s="232"/>
      <c r="P92" s="232"/>
      <c r="Q92" s="232"/>
      <c r="R92" s="232"/>
    </row>
    <row r="93" spans="1:18" s="240" customFormat="1" ht="46.5" hidden="1" thickTop="1" thickBot="1" x14ac:dyDescent="0.25">
      <c r="A93" s="167"/>
      <c r="B93" s="211" t="s">
        <v>544</v>
      </c>
      <c r="C93" s="211" t="s">
        <v>196</v>
      </c>
      <c r="D93" s="211" t="s">
        <v>169</v>
      </c>
      <c r="E93" s="211" t="s">
        <v>34</v>
      </c>
      <c r="F93" s="220" t="s">
        <v>1263</v>
      </c>
      <c r="G93" s="214" t="s">
        <v>1221</v>
      </c>
      <c r="H93" s="214">
        <v>1414397</v>
      </c>
      <c r="I93" s="214">
        <f t="shared" si="11"/>
        <v>1392754</v>
      </c>
      <c r="J93" s="214">
        <f>((216700)+1197697)-21643</f>
        <v>1392754</v>
      </c>
      <c r="K93" s="216">
        <v>1</v>
      </c>
      <c r="L93" s="233"/>
      <c r="M93" s="232"/>
      <c r="N93" s="232"/>
      <c r="O93" s="232"/>
      <c r="P93" s="232"/>
      <c r="Q93" s="232"/>
      <c r="R93" s="232"/>
    </row>
    <row r="94" spans="1:18" s="240" customFormat="1" ht="31.5" hidden="1" thickTop="1" thickBot="1" x14ac:dyDescent="0.25">
      <c r="A94" s="167"/>
      <c r="B94" s="211" t="s">
        <v>544</v>
      </c>
      <c r="C94" s="211" t="s">
        <v>196</v>
      </c>
      <c r="D94" s="211" t="s">
        <v>169</v>
      </c>
      <c r="E94" s="211" t="s">
        <v>34</v>
      </c>
      <c r="F94" s="220" t="s">
        <v>1267</v>
      </c>
      <c r="G94" s="214" t="s">
        <v>1221</v>
      </c>
      <c r="H94" s="214">
        <v>1102662</v>
      </c>
      <c r="I94" s="214">
        <f t="shared" si="11"/>
        <v>1083784</v>
      </c>
      <c r="J94" s="214">
        <f>((500000)+602662)-18878</f>
        <v>1083784</v>
      </c>
      <c r="K94" s="216">
        <v>1</v>
      </c>
      <c r="L94" s="233"/>
      <c r="M94" s="232"/>
      <c r="N94" s="232"/>
      <c r="O94" s="232"/>
      <c r="P94" s="232"/>
      <c r="Q94" s="232"/>
      <c r="R94" s="232"/>
    </row>
    <row r="95" spans="1:18" s="240" customFormat="1" ht="46.5" hidden="1" thickTop="1" thickBot="1" x14ac:dyDescent="0.25">
      <c r="A95" s="167"/>
      <c r="B95" s="211" t="s">
        <v>544</v>
      </c>
      <c r="C95" s="211" t="s">
        <v>196</v>
      </c>
      <c r="D95" s="211" t="s">
        <v>169</v>
      </c>
      <c r="E95" s="211" t="s">
        <v>34</v>
      </c>
      <c r="F95" s="220" t="s">
        <v>1264</v>
      </c>
      <c r="G95" s="214" t="s">
        <v>1221</v>
      </c>
      <c r="H95" s="214">
        <v>2295880</v>
      </c>
      <c r="I95" s="214">
        <f t="shared" si="11"/>
        <v>2272102</v>
      </c>
      <c r="J95" s="214">
        <f>((800000)+1495880)-23778</f>
        <v>2272102</v>
      </c>
      <c r="K95" s="216">
        <v>1</v>
      </c>
      <c r="L95" s="233"/>
      <c r="M95" s="232"/>
      <c r="N95" s="232"/>
      <c r="O95" s="232"/>
      <c r="P95" s="232"/>
      <c r="Q95" s="232"/>
      <c r="R95" s="232"/>
    </row>
    <row r="96" spans="1:18" s="240" customFormat="1" ht="46.5" hidden="1" thickTop="1" thickBot="1" x14ac:dyDescent="0.25">
      <c r="A96" s="167"/>
      <c r="B96" s="211" t="s">
        <v>544</v>
      </c>
      <c r="C96" s="211" t="s">
        <v>196</v>
      </c>
      <c r="D96" s="211" t="s">
        <v>169</v>
      </c>
      <c r="E96" s="211" t="s">
        <v>34</v>
      </c>
      <c r="F96" s="220" t="s">
        <v>1265</v>
      </c>
      <c r="G96" s="214" t="s">
        <v>1221</v>
      </c>
      <c r="H96" s="214">
        <v>130655</v>
      </c>
      <c r="I96" s="214">
        <f t="shared" si="11"/>
        <v>130655</v>
      </c>
      <c r="J96" s="214">
        <f>(119860)+10795</f>
        <v>130655</v>
      </c>
      <c r="K96" s="216">
        <f t="shared" ref="K96:K97" si="12">I96/H96</f>
        <v>1</v>
      </c>
      <c r="L96" s="233"/>
      <c r="M96" s="232"/>
      <c r="N96" s="232"/>
      <c r="O96" s="232"/>
      <c r="P96" s="232"/>
      <c r="Q96" s="232"/>
      <c r="R96" s="232"/>
    </row>
    <row r="97" spans="1:18" s="240" customFormat="1" ht="46.5" hidden="1" thickTop="1" thickBot="1" x14ac:dyDescent="0.25">
      <c r="A97" s="167"/>
      <c r="B97" s="211" t="s">
        <v>544</v>
      </c>
      <c r="C97" s="211" t="s">
        <v>196</v>
      </c>
      <c r="D97" s="211" t="s">
        <v>169</v>
      </c>
      <c r="E97" s="211" t="s">
        <v>34</v>
      </c>
      <c r="F97" s="220" t="s">
        <v>1266</v>
      </c>
      <c r="G97" s="214" t="s">
        <v>1221</v>
      </c>
      <c r="H97" s="214">
        <v>294266</v>
      </c>
      <c r="I97" s="214">
        <f t="shared" si="11"/>
        <v>294266</v>
      </c>
      <c r="J97" s="214">
        <f>(213380)+80886</f>
        <v>294266</v>
      </c>
      <c r="K97" s="216">
        <f t="shared" si="12"/>
        <v>1</v>
      </c>
      <c r="L97" s="233"/>
      <c r="M97" s="232"/>
      <c r="N97" s="232"/>
      <c r="O97" s="232"/>
      <c r="P97" s="232"/>
      <c r="Q97" s="232"/>
      <c r="R97" s="232"/>
    </row>
    <row r="98" spans="1:18" s="240" customFormat="1" ht="61.5" hidden="1" thickTop="1" thickBot="1" x14ac:dyDescent="0.25">
      <c r="A98" s="167"/>
      <c r="B98" s="211" t="s">
        <v>544</v>
      </c>
      <c r="C98" s="211" t="s">
        <v>196</v>
      </c>
      <c r="D98" s="211" t="s">
        <v>169</v>
      </c>
      <c r="E98" s="211" t="s">
        <v>34</v>
      </c>
      <c r="F98" s="220" t="s">
        <v>1471</v>
      </c>
      <c r="G98" s="214" t="s">
        <v>1387</v>
      </c>
      <c r="H98" s="214">
        <v>17008063</v>
      </c>
      <c r="I98" s="214">
        <f>12294844.89+J98</f>
        <v>12818628.890000001</v>
      </c>
      <c r="J98" s="214">
        <v>523784</v>
      </c>
      <c r="K98" s="216">
        <v>1</v>
      </c>
      <c r="L98" s="233"/>
      <c r="M98" s="232"/>
      <c r="N98" s="232"/>
      <c r="O98" s="232"/>
      <c r="P98" s="232"/>
      <c r="Q98" s="232"/>
      <c r="R98" s="232"/>
    </row>
    <row r="99" spans="1:18" s="240" customFormat="1" ht="46.5" hidden="1" thickTop="1" thickBot="1" x14ac:dyDescent="0.25">
      <c r="A99" s="167"/>
      <c r="B99" s="211" t="s">
        <v>544</v>
      </c>
      <c r="C99" s="211" t="s">
        <v>196</v>
      </c>
      <c r="D99" s="211" t="s">
        <v>169</v>
      </c>
      <c r="E99" s="211" t="s">
        <v>34</v>
      </c>
      <c r="F99" s="220" t="s">
        <v>1472</v>
      </c>
      <c r="G99" s="214" t="s">
        <v>1387</v>
      </c>
      <c r="H99" s="214">
        <v>5736181</v>
      </c>
      <c r="I99" s="214">
        <f>4740400.33+J99</f>
        <v>5067178.33</v>
      </c>
      <c r="J99" s="214">
        <v>326778</v>
      </c>
      <c r="K99" s="216">
        <v>1</v>
      </c>
      <c r="L99" s="233"/>
      <c r="M99" s="232"/>
      <c r="N99" s="232"/>
      <c r="O99" s="232"/>
      <c r="P99" s="232"/>
      <c r="Q99" s="232"/>
      <c r="R99" s="232"/>
    </row>
    <row r="100" spans="1:18" s="240" customFormat="1" ht="76.5" hidden="1" thickTop="1" thickBot="1" x14ac:dyDescent="0.25">
      <c r="A100" s="167"/>
      <c r="B100" s="211" t="s">
        <v>544</v>
      </c>
      <c r="C100" s="211" t="s">
        <v>196</v>
      </c>
      <c r="D100" s="211" t="s">
        <v>169</v>
      </c>
      <c r="E100" s="211" t="s">
        <v>34</v>
      </c>
      <c r="F100" s="220" t="s">
        <v>1475</v>
      </c>
      <c r="G100" s="214" t="s">
        <v>1387</v>
      </c>
      <c r="H100" s="214">
        <v>2852505</v>
      </c>
      <c r="I100" s="214">
        <f>1038210.19+J100</f>
        <v>2406282.19</v>
      </c>
      <c r="J100" s="214">
        <f>(1736486)-368414</f>
        <v>1368072</v>
      </c>
      <c r="K100" s="216">
        <v>1</v>
      </c>
      <c r="L100" s="233"/>
      <c r="M100" s="232"/>
      <c r="N100" s="232"/>
      <c r="O100" s="232"/>
      <c r="P100" s="232"/>
      <c r="Q100" s="232"/>
      <c r="R100" s="232"/>
    </row>
    <row r="101" spans="1:18" s="240" customFormat="1" ht="61.5" thickTop="1" thickBot="1" x14ac:dyDescent="0.25">
      <c r="A101" s="167"/>
      <c r="B101" s="601" t="s">
        <v>544</v>
      </c>
      <c r="C101" s="601" t="s">
        <v>196</v>
      </c>
      <c r="D101" s="601" t="s">
        <v>169</v>
      </c>
      <c r="E101" s="601" t="s">
        <v>34</v>
      </c>
      <c r="F101" s="637" t="s">
        <v>1676</v>
      </c>
      <c r="G101" s="603" t="s">
        <v>1536</v>
      </c>
      <c r="H101" s="603">
        <v>3429988</v>
      </c>
      <c r="I101" s="603">
        <f>2914367.36+J101</f>
        <v>3368885.42</v>
      </c>
      <c r="J101" s="603">
        <f>502490-47971.94</f>
        <v>454518.06</v>
      </c>
      <c r="K101" s="632">
        <v>1</v>
      </c>
      <c r="L101" s="233"/>
      <c r="M101" s="232"/>
      <c r="N101" s="232"/>
      <c r="O101" s="232"/>
      <c r="P101" s="232"/>
      <c r="Q101" s="232"/>
      <c r="R101" s="232"/>
    </row>
    <row r="102" spans="1:18" s="240" customFormat="1" ht="46.5" hidden="1" thickTop="1" thickBot="1" x14ac:dyDescent="0.25">
      <c r="A102" s="167"/>
      <c r="B102" s="211" t="s">
        <v>544</v>
      </c>
      <c r="C102" s="211" t="s">
        <v>196</v>
      </c>
      <c r="D102" s="211" t="s">
        <v>169</v>
      </c>
      <c r="E102" s="211" t="s">
        <v>34</v>
      </c>
      <c r="F102" s="220" t="s">
        <v>1268</v>
      </c>
      <c r="G102" s="214" t="s">
        <v>1211</v>
      </c>
      <c r="H102" s="214">
        <v>2163176</v>
      </c>
      <c r="I102" s="214">
        <f>333866.12+J102</f>
        <v>1685143</v>
      </c>
      <c r="J102" s="214">
        <f>(778960+362316.88)+210000</f>
        <v>1351276.88</v>
      </c>
      <c r="K102" s="216">
        <f>I102/H102</f>
        <v>0.77901335813636985</v>
      </c>
      <c r="L102" s="233" t="s">
        <v>1413</v>
      </c>
      <c r="M102" s="232"/>
      <c r="N102" s="232"/>
      <c r="O102" s="232"/>
      <c r="P102" s="232"/>
      <c r="Q102" s="232"/>
      <c r="R102" s="232"/>
    </row>
    <row r="103" spans="1:18" s="240" customFormat="1" ht="61.5" hidden="1" thickTop="1" thickBot="1" x14ac:dyDescent="0.25">
      <c r="A103" s="167"/>
      <c r="B103" s="211" t="s">
        <v>544</v>
      </c>
      <c r="C103" s="211" t="s">
        <v>196</v>
      </c>
      <c r="D103" s="211" t="s">
        <v>169</v>
      </c>
      <c r="E103" s="211" t="s">
        <v>34</v>
      </c>
      <c r="F103" s="220" t="s">
        <v>1269</v>
      </c>
      <c r="G103" s="214" t="s">
        <v>1211</v>
      </c>
      <c r="H103" s="214">
        <v>990371</v>
      </c>
      <c r="I103" s="214">
        <f>495172+J103</f>
        <v>602150</v>
      </c>
      <c r="J103" s="214">
        <v>106978</v>
      </c>
      <c r="K103" s="216">
        <f>I103/H103</f>
        <v>0.60800447509064781</v>
      </c>
      <c r="L103" s="233" t="s">
        <v>1270</v>
      </c>
      <c r="M103" s="232"/>
      <c r="N103" s="232"/>
      <c r="O103" s="232"/>
      <c r="P103" s="232"/>
      <c r="Q103" s="232"/>
      <c r="R103" s="232"/>
    </row>
    <row r="104" spans="1:18" s="240" customFormat="1" ht="61.5" hidden="1" thickTop="1" thickBot="1" x14ac:dyDescent="0.25">
      <c r="A104" s="167"/>
      <c r="B104" s="211" t="s">
        <v>544</v>
      </c>
      <c r="C104" s="211" t="s">
        <v>196</v>
      </c>
      <c r="D104" s="211" t="s">
        <v>169</v>
      </c>
      <c r="E104" s="211" t="s">
        <v>34</v>
      </c>
      <c r="F104" s="220" t="s">
        <v>1272</v>
      </c>
      <c r="G104" s="214" t="s">
        <v>1211</v>
      </c>
      <c r="H104" s="214">
        <v>3193463</v>
      </c>
      <c r="I104" s="214">
        <f>990793.71+J104</f>
        <v>2706428.58</v>
      </c>
      <c r="J104" s="214">
        <f>500000+1215634.87</f>
        <v>1715634.87</v>
      </c>
      <c r="K104" s="216">
        <f>I104/H104</f>
        <v>0.84749019481359267</v>
      </c>
      <c r="L104" s="233" t="s">
        <v>1270</v>
      </c>
      <c r="M104" s="232"/>
      <c r="N104" s="232"/>
      <c r="O104" s="232"/>
      <c r="P104" s="232"/>
      <c r="Q104" s="232"/>
      <c r="R104" s="232"/>
    </row>
    <row r="105" spans="1:18" s="240" customFormat="1" ht="76.5" hidden="1" thickTop="1" thickBot="1" x14ac:dyDescent="0.25">
      <c r="A105" s="167"/>
      <c r="B105" s="211" t="s">
        <v>544</v>
      </c>
      <c r="C105" s="211" t="s">
        <v>196</v>
      </c>
      <c r="D105" s="211" t="s">
        <v>169</v>
      </c>
      <c r="E105" s="211" t="s">
        <v>34</v>
      </c>
      <c r="F105" s="220" t="s">
        <v>1104</v>
      </c>
      <c r="G105" s="214" t="s">
        <v>1098</v>
      </c>
      <c r="H105" s="214">
        <v>3387286</v>
      </c>
      <c r="I105" s="214">
        <v>0</v>
      </c>
      <c r="J105" s="214">
        <f>(500000)-500000</f>
        <v>0</v>
      </c>
      <c r="K105" s="230">
        <f t="shared" si="9"/>
        <v>0</v>
      </c>
      <c r="L105" s="233"/>
      <c r="M105" s="232"/>
      <c r="N105" s="232"/>
      <c r="O105" s="232"/>
      <c r="P105" s="232"/>
      <c r="Q105" s="232"/>
      <c r="R105" s="232"/>
    </row>
    <row r="106" spans="1:18" s="240" customFormat="1" ht="76.5" hidden="1" thickTop="1" thickBot="1" x14ac:dyDescent="0.25">
      <c r="A106" s="167"/>
      <c r="B106" s="211" t="s">
        <v>544</v>
      </c>
      <c r="C106" s="211" t="s">
        <v>196</v>
      </c>
      <c r="D106" s="211" t="s">
        <v>169</v>
      </c>
      <c r="E106" s="211" t="s">
        <v>34</v>
      </c>
      <c r="F106" s="220" t="s">
        <v>1101</v>
      </c>
      <c r="G106" s="214" t="s">
        <v>1098</v>
      </c>
      <c r="H106" s="214">
        <v>5891152</v>
      </c>
      <c r="I106" s="214">
        <v>0</v>
      </c>
      <c r="J106" s="214">
        <f>(1000000)-1000000</f>
        <v>0</v>
      </c>
      <c r="K106" s="230">
        <f t="shared" si="9"/>
        <v>0</v>
      </c>
      <c r="L106" s="233"/>
      <c r="M106" s="232"/>
      <c r="N106" s="232"/>
      <c r="O106" s="232"/>
      <c r="P106" s="232"/>
      <c r="Q106" s="232"/>
      <c r="R106" s="232"/>
    </row>
    <row r="107" spans="1:18" s="240" customFormat="1" ht="31.5" hidden="1" thickTop="1" thickBot="1" x14ac:dyDescent="0.25">
      <c r="A107" s="167"/>
      <c r="B107" s="211" t="s">
        <v>544</v>
      </c>
      <c r="C107" s="211" t="s">
        <v>196</v>
      </c>
      <c r="D107" s="211" t="s">
        <v>169</v>
      </c>
      <c r="E107" s="211" t="s">
        <v>34</v>
      </c>
      <c r="F107" s="220" t="s">
        <v>1271</v>
      </c>
      <c r="G107" s="214" t="s">
        <v>1220</v>
      </c>
      <c r="H107" s="214">
        <v>1442309</v>
      </c>
      <c r="I107" s="214">
        <f>0+J107</f>
        <v>1165856.81</v>
      </c>
      <c r="J107" s="214">
        <v>1165856.81</v>
      </c>
      <c r="K107" s="216">
        <v>1</v>
      </c>
      <c r="L107" s="233"/>
      <c r="M107" s="232"/>
      <c r="N107" s="232"/>
      <c r="O107" s="232"/>
      <c r="P107" s="232"/>
      <c r="Q107" s="232"/>
      <c r="R107" s="232"/>
    </row>
    <row r="108" spans="1:18" s="240" customFormat="1" ht="46.5" hidden="1" thickTop="1" thickBot="1" x14ac:dyDescent="0.25">
      <c r="A108" s="167"/>
      <c r="B108" s="211" t="s">
        <v>544</v>
      </c>
      <c r="C108" s="211" t="s">
        <v>196</v>
      </c>
      <c r="D108" s="211" t="s">
        <v>169</v>
      </c>
      <c r="E108" s="211" t="s">
        <v>34</v>
      </c>
      <c r="F108" s="220" t="s">
        <v>1282</v>
      </c>
      <c r="G108" s="214" t="s">
        <v>919</v>
      </c>
      <c r="H108" s="214">
        <v>21842639</v>
      </c>
      <c r="I108" s="214">
        <f>3147154.85+J108</f>
        <v>9252879.8499999996</v>
      </c>
      <c r="J108" s="214">
        <f>(5891152)+214573</f>
        <v>6105725</v>
      </c>
      <c r="K108" s="216">
        <f t="shared" ref="K108:K114" si="13">I108/H108</f>
        <v>0.42361547292888918</v>
      </c>
      <c r="L108" s="233"/>
      <c r="M108" s="232"/>
      <c r="N108" s="232"/>
      <c r="O108" s="232"/>
      <c r="P108" s="232"/>
      <c r="Q108" s="232"/>
      <c r="R108" s="232"/>
    </row>
    <row r="109" spans="1:18" s="240" customFormat="1" ht="31.5" hidden="1" thickTop="1" thickBot="1" x14ac:dyDescent="0.25">
      <c r="A109" s="167"/>
      <c r="B109" s="211" t="s">
        <v>544</v>
      </c>
      <c r="C109" s="211" t="s">
        <v>196</v>
      </c>
      <c r="D109" s="211" t="s">
        <v>169</v>
      </c>
      <c r="E109" s="211" t="s">
        <v>34</v>
      </c>
      <c r="F109" s="220" t="s">
        <v>1373</v>
      </c>
      <c r="G109" s="214" t="s">
        <v>1221</v>
      </c>
      <c r="H109" s="214">
        <v>428388</v>
      </c>
      <c r="I109" s="214">
        <v>428388</v>
      </c>
      <c r="J109" s="214">
        <f>(428388)-12412</f>
        <v>415976</v>
      </c>
      <c r="K109" s="216">
        <f t="shared" si="13"/>
        <v>1</v>
      </c>
      <c r="L109" s="233"/>
      <c r="M109" s="232"/>
      <c r="N109" s="232"/>
      <c r="O109" s="232"/>
      <c r="P109" s="232"/>
      <c r="Q109" s="232"/>
      <c r="R109" s="232"/>
    </row>
    <row r="110" spans="1:18" s="240" customFormat="1" ht="46.5" hidden="1" thickTop="1" thickBot="1" x14ac:dyDescent="0.25">
      <c r="A110" s="167"/>
      <c r="B110" s="211" t="s">
        <v>544</v>
      </c>
      <c r="C110" s="211" t="s">
        <v>196</v>
      </c>
      <c r="D110" s="211" t="s">
        <v>169</v>
      </c>
      <c r="E110" s="211" t="s">
        <v>34</v>
      </c>
      <c r="F110" s="220" t="s">
        <v>1421</v>
      </c>
      <c r="G110" s="214" t="s">
        <v>1221</v>
      </c>
      <c r="H110" s="214">
        <v>3122498</v>
      </c>
      <c r="I110" s="214">
        <v>3122498</v>
      </c>
      <c r="J110" s="214">
        <f>(3122498)-325803</f>
        <v>2796695</v>
      </c>
      <c r="K110" s="216">
        <f t="shared" si="13"/>
        <v>1</v>
      </c>
      <c r="L110" s="233"/>
      <c r="M110" s="232"/>
      <c r="N110" s="232"/>
      <c r="O110" s="232"/>
      <c r="P110" s="232"/>
      <c r="Q110" s="232"/>
      <c r="R110" s="232"/>
    </row>
    <row r="111" spans="1:18" s="240" customFormat="1" ht="41.25" customHeight="1" thickTop="1" thickBot="1" x14ac:dyDescent="0.25">
      <c r="A111" s="167"/>
      <c r="B111" s="601" t="s">
        <v>544</v>
      </c>
      <c r="C111" s="601" t="s">
        <v>196</v>
      </c>
      <c r="D111" s="601" t="s">
        <v>169</v>
      </c>
      <c r="E111" s="601" t="s">
        <v>34</v>
      </c>
      <c r="F111" s="637" t="s">
        <v>1716</v>
      </c>
      <c r="G111" s="631" t="s">
        <v>1536</v>
      </c>
      <c r="H111" s="603">
        <v>738847</v>
      </c>
      <c r="I111" s="603">
        <f>0+J111</f>
        <v>738847</v>
      </c>
      <c r="J111" s="603">
        <v>738847</v>
      </c>
      <c r="K111" s="632">
        <f t="shared" si="13"/>
        <v>1</v>
      </c>
      <c r="L111" s="233"/>
      <c r="M111" s="232"/>
      <c r="N111" s="232"/>
      <c r="O111" s="232"/>
      <c r="P111" s="232"/>
      <c r="Q111" s="232"/>
      <c r="R111" s="232"/>
    </row>
    <row r="112" spans="1:18" s="240" customFormat="1" ht="41.25" customHeight="1" thickTop="1" thickBot="1" x14ac:dyDescent="0.25">
      <c r="A112" s="167"/>
      <c r="B112" s="601" t="s">
        <v>544</v>
      </c>
      <c r="C112" s="601" t="s">
        <v>196</v>
      </c>
      <c r="D112" s="601" t="s">
        <v>169</v>
      </c>
      <c r="E112" s="601" t="s">
        <v>34</v>
      </c>
      <c r="F112" s="637" t="s">
        <v>1710</v>
      </c>
      <c r="G112" s="603" t="s">
        <v>1640</v>
      </c>
      <c r="H112" s="603">
        <v>8194247</v>
      </c>
      <c r="I112" s="603">
        <f>0+J112</f>
        <v>6240800</v>
      </c>
      <c r="J112" s="603">
        <f>2000000+4240800</f>
        <v>6240800</v>
      </c>
      <c r="K112" s="632">
        <f t="shared" si="13"/>
        <v>0.76160750341062455</v>
      </c>
      <c r="L112" s="233"/>
      <c r="M112" s="232"/>
      <c r="N112" s="232"/>
      <c r="O112" s="232"/>
      <c r="P112" s="232"/>
      <c r="Q112" s="232"/>
      <c r="R112" s="232"/>
    </row>
    <row r="113" spans="1:18" s="240" customFormat="1" ht="31.5" hidden="1" thickTop="1" thickBot="1" x14ac:dyDescent="0.25">
      <c r="A113" s="167"/>
      <c r="B113" s="211" t="s">
        <v>544</v>
      </c>
      <c r="C113" s="211" t="s">
        <v>196</v>
      </c>
      <c r="D113" s="211" t="s">
        <v>169</v>
      </c>
      <c r="E113" s="211" t="s">
        <v>34</v>
      </c>
      <c r="F113" s="220" t="s">
        <v>1354</v>
      </c>
      <c r="G113" s="213" t="s">
        <v>1387</v>
      </c>
      <c r="H113" s="214">
        <v>963194</v>
      </c>
      <c r="I113" s="214">
        <f>0+J113</f>
        <v>663000</v>
      </c>
      <c r="J113" s="214">
        <v>663000</v>
      </c>
      <c r="K113" s="216">
        <f t="shared" si="13"/>
        <v>0.68833485258421456</v>
      </c>
      <c r="L113" s="233"/>
      <c r="M113" s="232"/>
      <c r="N113" s="232"/>
      <c r="O113" s="232"/>
      <c r="P113" s="232"/>
      <c r="Q113" s="232"/>
      <c r="R113" s="232"/>
    </row>
    <row r="114" spans="1:18" s="240" customFormat="1" ht="46.5" hidden="1" thickTop="1" thickBot="1" x14ac:dyDescent="0.25">
      <c r="A114" s="167"/>
      <c r="B114" s="211" t="s">
        <v>544</v>
      </c>
      <c r="C114" s="211" t="s">
        <v>196</v>
      </c>
      <c r="D114" s="211" t="s">
        <v>169</v>
      </c>
      <c r="E114" s="211" t="s">
        <v>34</v>
      </c>
      <c r="F114" s="220" t="s">
        <v>1355</v>
      </c>
      <c r="G114" s="214" t="s">
        <v>1221</v>
      </c>
      <c r="H114" s="214">
        <v>923291</v>
      </c>
      <c r="I114" s="214">
        <v>923291</v>
      </c>
      <c r="J114" s="214">
        <f>(923291)-17624</f>
        <v>905667</v>
      </c>
      <c r="K114" s="216">
        <f t="shared" si="13"/>
        <v>1</v>
      </c>
      <c r="L114" s="233"/>
      <c r="M114" s="232"/>
      <c r="N114" s="232"/>
      <c r="O114" s="232"/>
      <c r="P114" s="232"/>
      <c r="Q114" s="232"/>
      <c r="R114" s="232"/>
    </row>
    <row r="115" spans="1:18" s="240" customFormat="1" ht="76.5" hidden="1" thickTop="1" thickBot="1" x14ac:dyDescent="0.25">
      <c r="A115" s="167"/>
      <c r="B115" s="211" t="s">
        <v>544</v>
      </c>
      <c r="C115" s="211" t="s">
        <v>196</v>
      </c>
      <c r="D115" s="211" t="s">
        <v>169</v>
      </c>
      <c r="E115" s="211" t="s">
        <v>34</v>
      </c>
      <c r="F115" s="220" t="s">
        <v>887</v>
      </c>
      <c r="G115" s="213" t="s">
        <v>971</v>
      </c>
      <c r="H115" s="214">
        <v>2924077</v>
      </c>
      <c r="I115" s="214">
        <v>100000</v>
      </c>
      <c r="J115" s="214">
        <f>(500000)-500000</f>
        <v>0</v>
      </c>
      <c r="K115" s="230">
        <f t="shared" si="9"/>
        <v>3.4198825817514385E-2</v>
      </c>
      <c r="L115" s="233"/>
      <c r="M115" s="232"/>
      <c r="N115" s="232"/>
      <c r="O115" s="232"/>
      <c r="P115" s="232"/>
      <c r="Q115" s="232"/>
      <c r="R115" s="232"/>
    </row>
    <row r="116" spans="1:18" s="240" customFormat="1" ht="46.5" thickTop="1" thickBot="1" x14ac:dyDescent="0.25">
      <c r="A116" s="167"/>
      <c r="B116" s="652" t="s">
        <v>544</v>
      </c>
      <c r="C116" s="652" t="s">
        <v>196</v>
      </c>
      <c r="D116" s="652" t="s">
        <v>169</v>
      </c>
      <c r="E116" s="652" t="s">
        <v>34</v>
      </c>
      <c r="F116" s="704" t="s">
        <v>1677</v>
      </c>
      <c r="G116" s="213"/>
      <c r="H116" s="214"/>
      <c r="I116" s="214"/>
      <c r="J116" s="214"/>
      <c r="K116" s="230"/>
      <c r="L116" s="233"/>
      <c r="M116" s="232"/>
      <c r="N116" s="232"/>
      <c r="O116" s="232"/>
      <c r="P116" s="232"/>
      <c r="Q116" s="232"/>
      <c r="R116" s="232"/>
    </row>
    <row r="117" spans="1:18" s="240" customFormat="1" ht="46.5" thickTop="1" thickBot="1" x14ac:dyDescent="0.25">
      <c r="A117" s="167"/>
      <c r="B117" s="601" t="s">
        <v>544</v>
      </c>
      <c r="C117" s="601" t="s">
        <v>196</v>
      </c>
      <c r="D117" s="601" t="s">
        <v>169</v>
      </c>
      <c r="E117" s="601" t="s">
        <v>34</v>
      </c>
      <c r="F117" s="637" t="s">
        <v>1686</v>
      </c>
      <c r="G117" s="603" t="s">
        <v>1640</v>
      </c>
      <c r="H117" s="603">
        <v>614462</v>
      </c>
      <c r="I117" s="603">
        <f>0+J117</f>
        <v>498900</v>
      </c>
      <c r="J117" s="603">
        <v>498900</v>
      </c>
      <c r="K117" s="632">
        <v>1</v>
      </c>
      <c r="L117" s="233"/>
      <c r="M117" s="232"/>
      <c r="N117" s="232"/>
      <c r="O117" s="232"/>
      <c r="P117" s="232"/>
      <c r="Q117" s="232"/>
      <c r="R117" s="232"/>
    </row>
    <row r="118" spans="1:18" s="240" customFormat="1" ht="61.5" hidden="1" thickTop="1" thickBot="1" x14ac:dyDescent="0.25">
      <c r="A118" s="167"/>
      <c r="B118" s="390" t="s">
        <v>544</v>
      </c>
      <c r="C118" s="390" t="s">
        <v>196</v>
      </c>
      <c r="D118" s="390" t="s">
        <v>169</v>
      </c>
      <c r="E118" s="390" t="s">
        <v>34</v>
      </c>
      <c r="F118" s="410" t="s">
        <v>1489</v>
      </c>
      <c r="G118" s="550"/>
      <c r="H118" s="550"/>
      <c r="I118" s="550"/>
      <c r="J118" s="550"/>
      <c r="K118" s="551"/>
      <c r="L118" s="233"/>
      <c r="M118" s="232"/>
      <c r="N118" s="232"/>
      <c r="O118" s="232"/>
      <c r="P118" s="232"/>
      <c r="Q118" s="232"/>
      <c r="R118" s="232"/>
    </row>
    <row r="119" spans="1:18" s="240" customFormat="1" ht="61.5" hidden="1" thickTop="1" thickBot="1" x14ac:dyDescent="0.25">
      <c r="A119" s="167"/>
      <c r="B119" s="211" t="s">
        <v>544</v>
      </c>
      <c r="C119" s="211" t="s">
        <v>196</v>
      </c>
      <c r="D119" s="211" t="s">
        <v>169</v>
      </c>
      <c r="E119" s="211" t="s">
        <v>34</v>
      </c>
      <c r="F119" s="548" t="s">
        <v>1491</v>
      </c>
      <c r="G119" s="214" t="s">
        <v>1426</v>
      </c>
      <c r="H119" s="409">
        <v>2297842</v>
      </c>
      <c r="I119" s="214">
        <f>0+J119</f>
        <v>2247104</v>
      </c>
      <c r="J119" s="214">
        <f>((1090264)+400000)+756840</f>
        <v>2247104</v>
      </c>
      <c r="K119" s="230">
        <f>I119/H119</f>
        <v>0.97791928252682303</v>
      </c>
      <c r="L119" s="233"/>
      <c r="M119" s="232"/>
      <c r="N119" s="232"/>
      <c r="O119" s="232"/>
      <c r="P119" s="232"/>
      <c r="Q119" s="232"/>
      <c r="R119" s="232"/>
    </row>
    <row r="120" spans="1:18" ht="46.5" thickTop="1" thickBot="1" x14ac:dyDescent="0.25">
      <c r="B120" s="576" t="s">
        <v>25</v>
      </c>
      <c r="C120" s="576"/>
      <c r="D120" s="576"/>
      <c r="E120" s="577" t="s">
        <v>873</v>
      </c>
      <c r="F120" s="576"/>
      <c r="G120" s="576"/>
      <c r="H120" s="578">
        <f>H121</f>
        <v>1031021373</v>
      </c>
      <c r="I120" s="578">
        <f>I121</f>
        <v>493410253.14999998</v>
      </c>
      <c r="J120" s="578">
        <f>J121</f>
        <v>99171167.319999993</v>
      </c>
      <c r="K120" s="633"/>
      <c r="L120" s="236"/>
      <c r="M120" s="196"/>
      <c r="N120" s="196"/>
      <c r="O120" s="196"/>
      <c r="P120" s="196"/>
      <c r="Q120" s="196"/>
      <c r="R120" s="196"/>
    </row>
    <row r="121" spans="1:18" ht="44.25" thickTop="1" thickBot="1" x14ac:dyDescent="0.25">
      <c r="B121" s="580" t="s">
        <v>26</v>
      </c>
      <c r="C121" s="580"/>
      <c r="D121" s="580"/>
      <c r="E121" s="581" t="s">
        <v>874</v>
      </c>
      <c r="F121" s="580"/>
      <c r="G121" s="580"/>
      <c r="H121" s="634">
        <f>H122+H123+H124+H125+H126+H138+H141</f>
        <v>1031021373</v>
      </c>
      <c r="I121" s="634">
        <f>I122+I123+I124+I125+I126+I138+I141</f>
        <v>493410253.14999998</v>
      </c>
      <c r="J121" s="634">
        <f>J122+J123+J124+J125+J126+J138+J141</f>
        <v>99171167.319999993</v>
      </c>
      <c r="K121" s="635"/>
      <c r="L121" s="236"/>
      <c r="M121" s="196"/>
      <c r="N121" s="196"/>
      <c r="O121" s="196"/>
      <c r="P121" s="196"/>
      <c r="Q121" s="196"/>
      <c r="R121" s="196"/>
    </row>
    <row r="122" spans="1:18" ht="76.5" thickTop="1" thickBot="1" x14ac:dyDescent="0.25">
      <c r="B122" s="601" t="s">
        <v>1568</v>
      </c>
      <c r="C122" s="601" t="s">
        <v>1569</v>
      </c>
      <c r="D122" s="601" t="s">
        <v>209</v>
      </c>
      <c r="E122" s="601" t="s">
        <v>1571</v>
      </c>
      <c r="F122" s="614" t="s">
        <v>1494</v>
      </c>
      <c r="G122" s="603" t="s">
        <v>1536</v>
      </c>
      <c r="H122" s="603">
        <v>42648202</v>
      </c>
      <c r="I122" s="603">
        <f>5381378.3+29152728.52+J122</f>
        <v>40719907.020000003</v>
      </c>
      <c r="J122" s="603">
        <f>((10000000)-1885905)-1928294.8</f>
        <v>6185800.2000000002</v>
      </c>
      <c r="K122" s="604">
        <v>1</v>
      </c>
      <c r="L122" s="603">
        <v>42847731</v>
      </c>
      <c r="M122" s="196"/>
      <c r="N122" s="196"/>
      <c r="O122" s="196"/>
      <c r="P122" s="196"/>
      <c r="Q122" s="196"/>
      <c r="R122" s="196"/>
    </row>
    <row r="123" spans="1:18" ht="106.5" thickTop="1" thickBot="1" x14ac:dyDescent="0.25">
      <c r="B123" s="601" t="s">
        <v>1568</v>
      </c>
      <c r="C123" s="601" t="s">
        <v>1569</v>
      </c>
      <c r="D123" s="601" t="s">
        <v>209</v>
      </c>
      <c r="E123" s="601" t="s">
        <v>1571</v>
      </c>
      <c r="F123" s="614" t="s">
        <v>1641</v>
      </c>
      <c r="G123" s="603" t="s">
        <v>1536</v>
      </c>
      <c r="H123" s="603">
        <v>52821934</v>
      </c>
      <c r="I123" s="603">
        <f>15718602.62+J123</f>
        <v>52821932.619999997</v>
      </c>
      <c r="J123" s="603">
        <f>(((7000000)+10000000)+6000000)+14103330</f>
        <v>37103330</v>
      </c>
      <c r="K123" s="604">
        <f t="shared" ref="K123" si="14">I123/H123</f>
        <v>0.99999997387448925</v>
      </c>
      <c r="L123" s="236"/>
      <c r="M123" s="196"/>
      <c r="N123" s="196"/>
      <c r="O123" s="196"/>
      <c r="P123" s="196"/>
      <c r="Q123" s="196"/>
      <c r="R123" s="196"/>
    </row>
    <row r="124" spans="1:18" ht="61.5" thickTop="1" thickBot="1" x14ac:dyDescent="0.25">
      <c r="B124" s="601" t="s">
        <v>1568</v>
      </c>
      <c r="C124" s="601" t="s">
        <v>1569</v>
      </c>
      <c r="D124" s="601" t="s">
        <v>209</v>
      </c>
      <c r="E124" s="601" t="s">
        <v>1571</v>
      </c>
      <c r="F124" s="614" t="s">
        <v>1733</v>
      </c>
      <c r="G124" s="603" t="s">
        <v>1732</v>
      </c>
      <c r="H124" s="603">
        <f>9300000+10829899</f>
        <v>20129899</v>
      </c>
      <c r="I124" s="603">
        <f>7572904.16+J124</f>
        <v>8393804.1600000001</v>
      </c>
      <c r="J124" s="603">
        <f>(100000)+720900</f>
        <v>820900</v>
      </c>
      <c r="K124" s="604">
        <f>I124/H124</f>
        <v>0.41698193120591415</v>
      </c>
      <c r="L124" s="236"/>
      <c r="M124" s="196"/>
      <c r="N124" s="196"/>
      <c r="O124" s="196"/>
      <c r="P124" s="196"/>
      <c r="Q124" s="196"/>
      <c r="R124" s="196"/>
    </row>
    <row r="125" spans="1:18" ht="46.5" thickTop="1" thickBot="1" x14ac:dyDescent="0.25">
      <c r="B125" s="601" t="s">
        <v>1576</v>
      </c>
      <c r="C125" s="601" t="s">
        <v>1577</v>
      </c>
      <c r="D125" s="601" t="s">
        <v>181</v>
      </c>
      <c r="E125" s="613" t="s">
        <v>1575</v>
      </c>
      <c r="F125" s="614" t="s">
        <v>1711</v>
      </c>
      <c r="G125" s="603" t="s">
        <v>1728</v>
      </c>
      <c r="H125" s="603">
        <v>100294275</v>
      </c>
      <c r="I125" s="603">
        <f>980635.67+1049900+J125</f>
        <v>6782975.6699999999</v>
      </c>
      <c r="J125" s="603">
        <f>((200000)+2022440)+2530000</f>
        <v>4752440</v>
      </c>
      <c r="K125" s="604">
        <f>I125/H125</f>
        <v>6.7630736350604265E-2</v>
      </c>
      <c r="L125" s="236"/>
      <c r="M125" s="196"/>
      <c r="N125" s="196"/>
      <c r="O125" s="196"/>
      <c r="P125" s="196"/>
      <c r="Q125" s="196"/>
      <c r="R125" s="196"/>
    </row>
    <row r="126" spans="1:18" ht="91.5" thickTop="1" thickBot="1" x14ac:dyDescent="0.25">
      <c r="A126" s="317"/>
      <c r="B126" s="611" t="s">
        <v>428</v>
      </c>
      <c r="C126" s="611" t="s">
        <v>429</v>
      </c>
      <c r="D126" s="611" t="s">
        <v>194</v>
      </c>
      <c r="E126" s="601" t="s">
        <v>1138</v>
      </c>
      <c r="F126" s="630" t="s">
        <v>1084</v>
      </c>
      <c r="G126" s="603" t="s">
        <v>1678</v>
      </c>
      <c r="H126" s="603">
        <v>448128773</v>
      </c>
      <c r="I126" s="603">
        <f>293440728.91+J126</f>
        <v>295969377.91000003</v>
      </c>
      <c r="J126" s="603">
        <f>(100000)+2428649</f>
        <v>2528649</v>
      </c>
      <c r="K126" s="604">
        <f t="shared" ref="K126:K141" si="15">I126/H126</f>
        <v>0.66045609151278495</v>
      </c>
      <c r="L126" s="236"/>
      <c r="M126" s="196"/>
      <c r="N126" s="196"/>
      <c r="O126" s="196"/>
      <c r="P126" s="196"/>
      <c r="Q126" s="196"/>
      <c r="R126" s="196"/>
    </row>
    <row r="127" spans="1:18" ht="46.5" hidden="1" thickTop="1" thickBot="1" x14ac:dyDescent="0.25">
      <c r="A127" s="317"/>
      <c r="B127" s="411" t="s">
        <v>907</v>
      </c>
      <c r="C127" s="411" t="s">
        <v>303</v>
      </c>
      <c r="D127" s="411" t="s">
        <v>302</v>
      </c>
      <c r="E127" s="411" t="s">
        <v>464</v>
      </c>
      <c r="F127" s="412" t="s">
        <v>1085</v>
      </c>
      <c r="G127" s="214" t="s">
        <v>1225</v>
      </c>
      <c r="H127" s="214">
        <v>6293206</v>
      </c>
      <c r="I127" s="697">
        <f>1639036.69+J127</f>
        <v>6139036.6899999995</v>
      </c>
      <c r="J127" s="214">
        <f>(100000+1000000)+3400000</f>
        <v>4500000</v>
      </c>
      <c r="K127" s="230">
        <f t="shared" si="15"/>
        <v>0.97550226228094228</v>
      </c>
      <c r="L127" s="413">
        <f>1639037+J127</f>
        <v>6139037</v>
      </c>
      <c r="M127" s="196"/>
      <c r="N127" s="196"/>
      <c r="O127" s="196"/>
      <c r="P127" s="196"/>
      <c r="Q127" s="196"/>
      <c r="R127" s="196"/>
    </row>
    <row r="128" spans="1:18" ht="61.5" hidden="1" thickTop="1" thickBot="1" x14ac:dyDescent="0.25">
      <c r="A128" s="317"/>
      <c r="B128" s="411" t="s">
        <v>308</v>
      </c>
      <c r="C128" s="411" t="s">
        <v>309</v>
      </c>
      <c r="D128" s="411" t="s">
        <v>302</v>
      </c>
      <c r="E128" s="411" t="s">
        <v>307</v>
      </c>
      <c r="F128" s="412" t="s">
        <v>917</v>
      </c>
      <c r="G128" s="214" t="s">
        <v>1086</v>
      </c>
      <c r="H128" s="214">
        <f>(9300000+10829899)-20129899</f>
        <v>0</v>
      </c>
      <c r="I128" s="697">
        <f>(7572904.16+J128)-7572904.16</f>
        <v>0</v>
      </c>
      <c r="J128" s="214">
        <f>(200000+2000000)-2200000</f>
        <v>0</v>
      </c>
      <c r="K128" s="230" t="e">
        <f t="shared" si="15"/>
        <v>#DIV/0!</v>
      </c>
      <c r="L128" s="413">
        <f>7572904+J128</f>
        <v>7572904</v>
      </c>
      <c r="M128" s="196"/>
      <c r="N128" s="196"/>
      <c r="O128" s="196"/>
      <c r="P128" s="196"/>
      <c r="Q128" s="196"/>
      <c r="R128" s="196"/>
    </row>
    <row r="129" spans="1:18" ht="46.5" hidden="1" thickTop="1" thickBot="1" x14ac:dyDescent="0.25">
      <c r="A129" s="317"/>
      <c r="B129" s="411" t="s">
        <v>308</v>
      </c>
      <c r="C129" s="411" t="s">
        <v>309</v>
      </c>
      <c r="D129" s="411" t="s">
        <v>302</v>
      </c>
      <c r="E129" s="411" t="s">
        <v>307</v>
      </c>
      <c r="F129" s="412" t="s">
        <v>1285</v>
      </c>
      <c r="G129" s="214" t="s">
        <v>1286</v>
      </c>
      <c r="H129" s="214">
        <f>56437448-56437448</f>
        <v>0</v>
      </c>
      <c r="I129" s="697">
        <f>48973733.31+J129-48973733.31</f>
        <v>0</v>
      </c>
      <c r="J129" s="214">
        <f>(2000000)-2000000</f>
        <v>0</v>
      </c>
      <c r="K129" s="230" t="e">
        <f>I129/H129</f>
        <v>#DIV/0!</v>
      </c>
      <c r="L129" s="413">
        <f>28071676+15122869+2857360+1500000+1458181+J129</f>
        <v>49010086</v>
      </c>
      <c r="M129" s="332"/>
      <c r="N129" s="196"/>
      <c r="O129" s="196"/>
      <c r="P129" s="196"/>
      <c r="Q129" s="196"/>
      <c r="R129" s="196"/>
    </row>
    <row r="130" spans="1:18" ht="61.5" hidden="1" thickTop="1" thickBot="1" x14ac:dyDescent="0.25">
      <c r="A130" s="317"/>
      <c r="B130" s="411" t="s">
        <v>308</v>
      </c>
      <c r="C130" s="411" t="s">
        <v>309</v>
      </c>
      <c r="D130" s="411" t="s">
        <v>302</v>
      </c>
      <c r="E130" s="411" t="s">
        <v>307</v>
      </c>
      <c r="F130" s="412" t="s">
        <v>1287</v>
      </c>
      <c r="G130" s="214" t="s">
        <v>1288</v>
      </c>
      <c r="H130" s="214">
        <f>34056704-34056704</f>
        <v>0</v>
      </c>
      <c r="I130" s="697">
        <f>24032981.17+J130-24032981.17</f>
        <v>0</v>
      </c>
      <c r="J130" s="214">
        <f>1000000-1000000</f>
        <v>0</v>
      </c>
      <c r="K130" s="230" t="e">
        <f>I130/H130</f>
        <v>#DIV/0!</v>
      </c>
      <c r="L130" s="413">
        <f>13051785+7748088+1427600+2095030-176100+J130</f>
        <v>24146403</v>
      </c>
      <c r="M130" s="332"/>
      <c r="N130" s="196"/>
      <c r="O130" s="196"/>
      <c r="P130" s="196"/>
      <c r="Q130" s="196"/>
      <c r="R130" s="196"/>
    </row>
    <row r="131" spans="1:18" ht="79.5" hidden="1" thickTop="1" thickBot="1" x14ac:dyDescent="0.25">
      <c r="A131" s="317"/>
      <c r="B131" s="411" t="s">
        <v>308</v>
      </c>
      <c r="C131" s="411" t="s">
        <v>309</v>
      </c>
      <c r="D131" s="411" t="s">
        <v>302</v>
      </c>
      <c r="E131" s="411" t="s">
        <v>307</v>
      </c>
      <c r="F131" s="412" t="s">
        <v>1542</v>
      </c>
      <c r="G131" s="214" t="s">
        <v>1387</v>
      </c>
      <c r="H131" s="214">
        <v>31706437</v>
      </c>
      <c r="I131" s="697">
        <f>9023652.06+J131</f>
        <v>25189076.849999998</v>
      </c>
      <c r="J131" s="214">
        <f>((((5000000)+12265815.94)+2500000)+2400000)-6000391.15</f>
        <v>16165424.789999997</v>
      </c>
      <c r="K131" s="230">
        <f t="shared" ref="K131:K132" si="16">I131/H131</f>
        <v>0.7944467822101865</v>
      </c>
      <c r="L131" s="413"/>
      <c r="M131" s="332"/>
      <c r="N131" s="196"/>
      <c r="O131" s="196"/>
      <c r="P131" s="196"/>
      <c r="Q131" s="196"/>
      <c r="R131" s="196"/>
    </row>
    <row r="132" spans="1:18" ht="80.25" hidden="1" thickTop="1" thickBot="1" x14ac:dyDescent="0.25">
      <c r="A132" s="317"/>
      <c r="B132" s="411" t="s">
        <v>308</v>
      </c>
      <c r="C132" s="411" t="s">
        <v>309</v>
      </c>
      <c r="D132" s="411" t="s">
        <v>302</v>
      </c>
      <c r="E132" s="411" t="s">
        <v>307</v>
      </c>
      <c r="F132" s="512" t="s">
        <v>1453</v>
      </c>
      <c r="G132" s="214" t="s">
        <v>1387</v>
      </c>
      <c r="H132" s="214">
        <v>54864985</v>
      </c>
      <c r="I132" s="697">
        <f>1449509.74+J132</f>
        <v>1449509.74</v>
      </c>
      <c r="J132" s="214">
        <f>(1000000)-1000000</f>
        <v>0</v>
      </c>
      <c r="K132" s="230">
        <f t="shared" si="16"/>
        <v>2.641957780540722E-2</v>
      </c>
      <c r="L132" s="413"/>
      <c r="M132" s="332"/>
      <c r="N132" s="196"/>
      <c r="O132" s="196"/>
      <c r="P132" s="196"/>
      <c r="Q132" s="196"/>
      <c r="R132" s="196"/>
    </row>
    <row r="133" spans="1:18" ht="61.5" hidden="1" thickTop="1" thickBot="1" x14ac:dyDescent="0.25">
      <c r="B133" s="411" t="s">
        <v>312</v>
      </c>
      <c r="C133" s="411" t="s">
        <v>313</v>
      </c>
      <c r="D133" s="411" t="s">
        <v>302</v>
      </c>
      <c r="E133" s="411" t="s">
        <v>457</v>
      </c>
      <c r="F133" s="414" t="s">
        <v>1087</v>
      </c>
      <c r="G133" s="214" t="s">
        <v>920</v>
      </c>
      <c r="H133" s="214">
        <v>15423995</v>
      </c>
      <c r="I133" s="697">
        <f>211261.75+1743.5+J133</f>
        <v>663787.25</v>
      </c>
      <c r="J133" s="214">
        <f>100000+350782</f>
        <v>450782</v>
      </c>
      <c r="K133" s="230">
        <f t="shared" si="15"/>
        <v>4.3036013043313358E-2</v>
      </c>
      <c r="L133" s="413">
        <f>213005+J133</f>
        <v>663787</v>
      </c>
      <c r="M133" s="196"/>
      <c r="N133" s="196"/>
      <c r="O133" s="196"/>
      <c r="P133" s="196"/>
      <c r="Q133" s="196"/>
      <c r="R133" s="196"/>
    </row>
    <row r="134" spans="1:18" ht="61.5" hidden="1" thickTop="1" thickBot="1" x14ac:dyDescent="0.25">
      <c r="B134" s="411" t="s">
        <v>312</v>
      </c>
      <c r="C134" s="411" t="s">
        <v>313</v>
      </c>
      <c r="D134" s="411" t="s">
        <v>302</v>
      </c>
      <c r="E134" s="411" t="s">
        <v>457</v>
      </c>
      <c r="F134" s="414" t="s">
        <v>1088</v>
      </c>
      <c r="G134" s="214" t="s">
        <v>1086</v>
      </c>
      <c r="H134" s="214">
        <v>14473674</v>
      </c>
      <c r="I134" s="697">
        <f>8250400.29+J134</f>
        <v>8833240.2899999991</v>
      </c>
      <c r="J134" s="214">
        <f>((100000+1760720)+4362554)-5640434</f>
        <v>582840</v>
      </c>
      <c r="K134" s="230">
        <f t="shared" si="15"/>
        <v>0.61029703239136102</v>
      </c>
      <c r="L134" s="413">
        <f>8250400+J134</f>
        <v>8833240</v>
      </c>
      <c r="M134" s="196"/>
      <c r="N134" s="196"/>
      <c r="O134" s="196"/>
      <c r="P134" s="196"/>
      <c r="Q134" s="196"/>
      <c r="R134" s="196"/>
    </row>
    <row r="135" spans="1:18" ht="31.5" hidden="1" thickTop="1" thickBot="1" x14ac:dyDescent="0.25">
      <c r="B135" s="411" t="s">
        <v>312</v>
      </c>
      <c r="C135" s="411" t="s">
        <v>313</v>
      </c>
      <c r="D135" s="411" t="s">
        <v>302</v>
      </c>
      <c r="E135" s="411" t="s">
        <v>457</v>
      </c>
      <c r="F135" s="414" t="s">
        <v>1340</v>
      </c>
      <c r="G135" s="214" t="s">
        <v>918</v>
      </c>
      <c r="H135" s="214">
        <v>80787509</v>
      </c>
      <c r="I135" s="697">
        <f>1618673.51+31922.71+J135</f>
        <v>2046000.22</v>
      </c>
      <c r="J135" s="214">
        <f>(270000)+125404</f>
        <v>395404</v>
      </c>
      <c r="K135" s="230">
        <f t="shared" si="15"/>
        <v>2.5325700041079369E-2</v>
      </c>
      <c r="L135" s="413">
        <f>1618674+J135</f>
        <v>2014078</v>
      </c>
      <c r="M135" s="196"/>
      <c r="N135" s="196"/>
      <c r="O135" s="196"/>
      <c r="P135" s="196"/>
      <c r="Q135" s="196"/>
      <c r="R135" s="196"/>
    </row>
    <row r="136" spans="1:18" ht="46.5" hidden="1" thickTop="1" thickBot="1" x14ac:dyDescent="0.25">
      <c r="B136" s="411" t="s">
        <v>312</v>
      </c>
      <c r="C136" s="411" t="s">
        <v>313</v>
      </c>
      <c r="D136" s="411" t="s">
        <v>302</v>
      </c>
      <c r="E136" s="411" t="s">
        <v>457</v>
      </c>
      <c r="F136" s="415" t="s">
        <v>1187</v>
      </c>
      <c r="G136" s="214" t="s">
        <v>920</v>
      </c>
      <c r="H136" s="214">
        <v>65017720</v>
      </c>
      <c r="I136" s="697">
        <f>22468487.3+J136</f>
        <v>38809572.299999997</v>
      </c>
      <c r="J136" s="214">
        <f>(100000+2000000)+14241085</f>
        <v>16341085</v>
      </c>
      <c r="K136" s="230">
        <f t="shared" si="15"/>
        <v>0.59690761687736815</v>
      </c>
      <c r="L136" s="413">
        <f>22468487+J136</f>
        <v>38809572</v>
      </c>
      <c r="M136" s="196"/>
      <c r="N136" s="196"/>
      <c r="O136" s="196"/>
      <c r="P136" s="196"/>
      <c r="Q136" s="196"/>
      <c r="R136" s="196"/>
    </row>
    <row r="137" spans="1:18" ht="61.5" hidden="1" thickTop="1" thickBot="1" x14ac:dyDescent="0.25">
      <c r="B137" s="411" t="s">
        <v>312</v>
      </c>
      <c r="C137" s="411" t="s">
        <v>313</v>
      </c>
      <c r="D137" s="411" t="s">
        <v>302</v>
      </c>
      <c r="E137" s="411" t="s">
        <v>457</v>
      </c>
      <c r="F137" s="415" t="s">
        <v>1224</v>
      </c>
      <c r="G137" s="214" t="s">
        <v>1226</v>
      </c>
      <c r="H137" s="214">
        <v>14225016</v>
      </c>
      <c r="I137" s="697">
        <f>49956+33089.84+J137</f>
        <v>133045.84</v>
      </c>
      <c r="J137" s="214">
        <v>50000</v>
      </c>
      <c r="K137" s="230">
        <f t="shared" si="15"/>
        <v>9.3529483552074744E-3</v>
      </c>
      <c r="L137" s="413">
        <f>83046+J137</f>
        <v>133046</v>
      </c>
      <c r="M137" s="196"/>
      <c r="N137" s="196"/>
      <c r="O137" s="196"/>
      <c r="P137" s="196"/>
      <c r="Q137" s="196"/>
      <c r="R137" s="196"/>
    </row>
    <row r="138" spans="1:18" ht="61.5" thickTop="1" thickBot="1" x14ac:dyDescent="0.25">
      <c r="B138" s="611" t="s">
        <v>312</v>
      </c>
      <c r="C138" s="611" t="s">
        <v>313</v>
      </c>
      <c r="D138" s="611" t="s">
        <v>302</v>
      </c>
      <c r="E138" s="611" t="s">
        <v>457</v>
      </c>
      <c r="F138" s="612" t="s">
        <v>1511</v>
      </c>
      <c r="G138" s="603" t="s">
        <v>919</v>
      </c>
      <c r="H138" s="603">
        <v>192098922</v>
      </c>
      <c r="I138" s="603">
        <f>1481149.2+25760014.6-14856743.92+J138</f>
        <v>50064468</v>
      </c>
      <c r="J138" s="603">
        <f>((2000000)+20823304.2)+14856743.92</f>
        <v>37680048.119999997</v>
      </c>
      <c r="K138" s="604">
        <f>I138/H138</f>
        <v>0.26061816213627687</v>
      </c>
      <c r="L138" s="413">
        <f>151662+J138</f>
        <v>37831710.119999997</v>
      </c>
      <c r="M138" s="196"/>
      <c r="N138" s="196"/>
      <c r="O138" s="196"/>
      <c r="P138" s="196"/>
      <c r="Q138" s="196"/>
      <c r="R138" s="196"/>
    </row>
    <row r="139" spans="1:18" ht="61.5" hidden="1" thickTop="1" thickBot="1" x14ac:dyDescent="0.25">
      <c r="B139" s="411" t="s">
        <v>312</v>
      </c>
      <c r="C139" s="411" t="s">
        <v>313</v>
      </c>
      <c r="D139" s="411" t="s">
        <v>302</v>
      </c>
      <c r="E139" s="411" t="s">
        <v>457</v>
      </c>
      <c r="F139" s="415" t="s">
        <v>1357</v>
      </c>
      <c r="G139" s="214" t="s">
        <v>1252</v>
      </c>
      <c r="H139" s="214">
        <v>2848861</v>
      </c>
      <c r="I139" s="697">
        <f>102794.48+J139</f>
        <v>2848861.48</v>
      </c>
      <c r="J139" s="214">
        <f>(2000000)+746067</f>
        <v>2746067</v>
      </c>
      <c r="K139" s="230">
        <f t="shared" si="15"/>
        <v>1.0000001684883888</v>
      </c>
      <c r="L139" s="413">
        <f>102794+J139</f>
        <v>2848861</v>
      </c>
      <c r="M139" s="196"/>
      <c r="N139" s="196"/>
      <c r="O139" s="196"/>
      <c r="P139" s="196"/>
      <c r="Q139" s="196"/>
      <c r="R139" s="196"/>
    </row>
    <row r="140" spans="1:18" ht="76.5" hidden="1" thickTop="1" thickBot="1" x14ac:dyDescent="0.25">
      <c r="B140" s="411" t="s">
        <v>312</v>
      </c>
      <c r="C140" s="411" t="s">
        <v>313</v>
      </c>
      <c r="D140" s="411" t="s">
        <v>302</v>
      </c>
      <c r="E140" s="411" t="s">
        <v>457</v>
      </c>
      <c r="F140" s="415" t="s">
        <v>1425</v>
      </c>
      <c r="G140" s="214" t="s">
        <v>1534</v>
      </c>
      <c r="H140" s="214">
        <v>3686595</v>
      </c>
      <c r="I140" s="697">
        <f>J140</f>
        <v>1471760.73</v>
      </c>
      <c r="J140" s="214">
        <f>(1500000)-28239.27</f>
        <v>1471760.73</v>
      </c>
      <c r="K140" s="230">
        <f t="shared" si="15"/>
        <v>0.39921953184442555</v>
      </c>
      <c r="L140" s="413"/>
      <c r="M140" s="196"/>
      <c r="N140" s="196"/>
      <c r="O140" s="196"/>
      <c r="P140" s="196"/>
      <c r="Q140" s="196"/>
      <c r="R140" s="196"/>
    </row>
    <row r="141" spans="1:18" ht="61.5" thickTop="1" thickBot="1" x14ac:dyDescent="0.25">
      <c r="B141" s="611" t="s">
        <v>312</v>
      </c>
      <c r="C141" s="611" t="s">
        <v>313</v>
      </c>
      <c r="D141" s="611" t="s">
        <v>302</v>
      </c>
      <c r="E141" s="611" t="s">
        <v>457</v>
      </c>
      <c r="F141" s="612" t="s">
        <v>1512</v>
      </c>
      <c r="G141" s="603" t="s">
        <v>1728</v>
      </c>
      <c r="H141" s="603">
        <v>174899368</v>
      </c>
      <c r="I141" s="603">
        <f>20837715.5+7720072.27+J141</f>
        <v>38657787.769999996</v>
      </c>
      <c r="J141" s="603">
        <f>((4100000)+1000000)+5000000</f>
        <v>10100000</v>
      </c>
      <c r="K141" s="604">
        <f t="shared" si="15"/>
        <v>0.22102874476939216</v>
      </c>
      <c r="L141" s="413">
        <f>4088+756990+J141</f>
        <v>10861078</v>
      </c>
      <c r="M141" s="196"/>
      <c r="N141" s="196"/>
      <c r="O141" s="196"/>
      <c r="P141" s="196"/>
      <c r="Q141" s="196"/>
      <c r="R141" s="196"/>
    </row>
    <row r="142" spans="1:18" ht="46.5" thickTop="1" thickBot="1" x14ac:dyDescent="0.25">
      <c r="B142" s="576" t="s">
        <v>439</v>
      </c>
      <c r="C142" s="576"/>
      <c r="D142" s="576"/>
      <c r="E142" s="577" t="s">
        <v>441</v>
      </c>
      <c r="F142" s="576"/>
      <c r="G142" s="576"/>
      <c r="H142" s="578">
        <f>H143</f>
        <v>27109599</v>
      </c>
      <c r="I142" s="578">
        <f>I143</f>
        <v>16158300</v>
      </c>
      <c r="J142" s="578">
        <f>J143</f>
        <v>15000000</v>
      </c>
      <c r="K142" s="633"/>
      <c r="L142" s="413"/>
      <c r="M142" s="196"/>
      <c r="N142" s="196"/>
      <c r="O142" s="196"/>
      <c r="P142" s="196"/>
      <c r="Q142" s="196"/>
      <c r="R142" s="196"/>
    </row>
    <row r="143" spans="1:18" ht="44.25" thickTop="1" thickBot="1" x14ac:dyDescent="0.25">
      <c r="B143" s="580" t="s">
        <v>440</v>
      </c>
      <c r="C143" s="580"/>
      <c r="D143" s="580"/>
      <c r="E143" s="581" t="s">
        <v>442</v>
      </c>
      <c r="F143" s="580"/>
      <c r="G143" s="580"/>
      <c r="H143" s="634">
        <f>H145</f>
        <v>27109599</v>
      </c>
      <c r="I143" s="634">
        <f t="shared" ref="I143:J143" si="17">I145</f>
        <v>16158300</v>
      </c>
      <c r="J143" s="634">
        <f t="shared" si="17"/>
        <v>15000000</v>
      </c>
      <c r="K143" s="635"/>
      <c r="L143" s="413"/>
      <c r="M143" s="196"/>
      <c r="N143" s="196"/>
      <c r="O143" s="196"/>
      <c r="P143" s="196"/>
      <c r="Q143" s="196"/>
      <c r="R143" s="196"/>
    </row>
    <row r="144" spans="1:18" ht="46.5" thickTop="1" thickBot="1" x14ac:dyDescent="0.25">
      <c r="B144" s="652" t="s">
        <v>1134</v>
      </c>
      <c r="C144" s="652" t="s">
        <v>196</v>
      </c>
      <c r="D144" s="652" t="s">
        <v>169</v>
      </c>
      <c r="E144" s="652" t="s">
        <v>34</v>
      </c>
      <c r="F144" s="704" t="s">
        <v>1684</v>
      </c>
      <c r="G144" s="705"/>
      <c r="H144" s="705"/>
      <c r="I144" s="705"/>
      <c r="J144" s="705"/>
      <c r="K144" s="706"/>
      <c r="L144" s="413"/>
      <c r="M144" s="196"/>
      <c r="N144" s="196"/>
      <c r="O144" s="196"/>
      <c r="P144" s="196"/>
      <c r="Q144" s="196"/>
      <c r="R144" s="196"/>
    </row>
    <row r="145" spans="1:18" ht="91.5" thickTop="1" thickBot="1" x14ac:dyDescent="0.25">
      <c r="B145" s="601" t="s">
        <v>1134</v>
      </c>
      <c r="C145" s="601" t="s">
        <v>196</v>
      </c>
      <c r="D145" s="601" t="s">
        <v>169</v>
      </c>
      <c r="E145" s="601" t="s">
        <v>34</v>
      </c>
      <c r="F145" s="637" t="s">
        <v>1685</v>
      </c>
      <c r="G145" s="603" t="s">
        <v>1730</v>
      </c>
      <c r="H145" s="603">
        <v>27109599</v>
      </c>
      <c r="I145" s="603">
        <f>1158300+J145</f>
        <v>16158300</v>
      </c>
      <c r="J145" s="603">
        <f>((2000000)+3000000)+10000000</f>
        <v>15000000</v>
      </c>
      <c r="K145" s="632">
        <f>I145/H145</f>
        <v>0.59603611252235789</v>
      </c>
      <c r="L145" s="413"/>
      <c r="M145" s="196"/>
      <c r="N145" s="196"/>
      <c r="O145" s="196"/>
      <c r="P145" s="196"/>
      <c r="Q145" s="196"/>
      <c r="R145" s="196"/>
    </row>
    <row r="146" spans="1:18" ht="21.75" thickTop="1" thickBot="1" x14ac:dyDescent="0.25">
      <c r="A146" s="238"/>
      <c r="B146" s="682" t="s">
        <v>377</v>
      </c>
      <c r="C146" s="682" t="s">
        <v>377</v>
      </c>
      <c r="D146" s="682" t="s">
        <v>377</v>
      </c>
      <c r="E146" s="682" t="s">
        <v>379</v>
      </c>
      <c r="F146" s="682" t="s">
        <v>377</v>
      </c>
      <c r="G146" s="682" t="s">
        <v>377</v>
      </c>
      <c r="H146" s="682">
        <f>H120+H70+H45+H19+H65+H37+H142</f>
        <v>1569279555.0999999</v>
      </c>
      <c r="I146" s="682">
        <f>I120+I70+I45+I19+I65+I37+I142</f>
        <v>844015983.49999988</v>
      </c>
      <c r="J146" s="682">
        <f>J120+J70+J45+J19+J65+J37+J142</f>
        <v>298368823.25</v>
      </c>
      <c r="K146" s="682" t="s">
        <v>377</v>
      </c>
      <c r="L146" s="527" t="b">
        <f>H146=H145+H141+H138+H126+H125+H124+H123+H122+H117+H112+H111+H101+H80+H79+H74+H68+H67+H53+H51+H50+H49+H47+H44+H40+H34+H32+H29+H28+H27+H26+H25+H24+H23+H22+H52</f>
        <v>1</v>
      </c>
      <c r="M146" s="527" t="b">
        <f>I146=I145+I141+I138+I126+I125+I124+I123+I122+I117+I112+I111+I101+I80+I79+I74+I68+I67+I53+I51+I50+I49+I47+I44+I40+I34+I32+I29+I28+I27+I26+I25+I24+I23+I22+I52</f>
        <v>1</v>
      </c>
      <c r="N146" s="527" t="b">
        <f>J146=J145+J141+J138+J126+J125+J124+J123+J122+J117+J112+J111+J101+J80+J79+J74+J68+J67+J53+J51+J50+J49+J47+J44+J40+J34+J32+J29+J28+J27+J26+J25+J24+J23+J22+J52</f>
        <v>1</v>
      </c>
      <c r="O146" s="196"/>
      <c r="P146" s="196"/>
      <c r="Q146" s="196"/>
      <c r="R146" s="196"/>
    </row>
    <row r="147" spans="1:18" ht="16.5" thickTop="1" x14ac:dyDescent="0.2">
      <c r="B147" s="890" t="s">
        <v>1443</v>
      </c>
      <c r="C147" s="890"/>
      <c r="D147" s="890"/>
      <c r="E147" s="890"/>
      <c r="F147" s="890"/>
      <c r="G147" s="890"/>
      <c r="H147" s="890"/>
      <c r="I147" s="890"/>
      <c r="J147" s="890"/>
      <c r="K147" s="890"/>
      <c r="L147" s="696"/>
      <c r="M147" s="696"/>
      <c r="N147" s="696"/>
      <c r="O147" s="696"/>
      <c r="P147" s="696"/>
      <c r="Q147" s="696"/>
      <c r="R147" s="696"/>
    </row>
    <row r="148" spans="1:18" ht="18.75" x14ac:dyDescent="0.2">
      <c r="B148" s="888"/>
      <c r="C148" s="888"/>
      <c r="D148" s="888"/>
      <c r="E148" s="888"/>
      <c r="F148" s="888"/>
      <c r="G148" s="888"/>
      <c r="H148" s="888"/>
      <c r="I148" s="888"/>
      <c r="J148" s="888"/>
      <c r="K148" s="888"/>
      <c r="L148" s="317"/>
      <c r="M148" s="317"/>
      <c r="N148" s="317"/>
      <c r="O148" s="317"/>
      <c r="P148" s="317"/>
      <c r="Q148" s="317"/>
      <c r="R148" s="317"/>
    </row>
    <row r="149" spans="1:18" ht="15" hidden="1" x14ac:dyDescent="0.25">
      <c r="B149" s="312"/>
      <c r="C149" s="312"/>
      <c r="D149" s="889" t="s">
        <v>1649</v>
      </c>
      <c r="E149" s="887"/>
      <c r="F149" s="340"/>
      <c r="G149" s="340" t="s">
        <v>1650</v>
      </c>
      <c r="H149" s="325"/>
      <c r="I149" s="321"/>
      <c r="J149" s="321"/>
      <c r="K149" s="319"/>
      <c r="L149" s="317"/>
      <c r="M149" s="317"/>
      <c r="N149" s="317"/>
      <c r="O149" s="317"/>
      <c r="P149" s="317"/>
      <c r="Q149" s="317"/>
      <c r="R149" s="317"/>
    </row>
    <row r="150" spans="1:18" ht="15" hidden="1" x14ac:dyDescent="0.25">
      <c r="B150" s="312"/>
      <c r="C150" s="312"/>
      <c r="D150" s="319" t="s">
        <v>1409</v>
      </c>
      <c r="E150" s="320"/>
      <c r="F150" s="319"/>
      <c r="G150" s="319" t="s">
        <v>1377</v>
      </c>
      <c r="H150" s="325"/>
      <c r="I150" s="321"/>
      <c r="J150" s="321"/>
      <c r="K150" s="319"/>
      <c r="L150" s="317"/>
      <c r="M150" s="317"/>
      <c r="N150" s="317"/>
      <c r="O150" s="317"/>
      <c r="P150" s="317"/>
      <c r="Q150" s="317"/>
      <c r="R150" s="317"/>
    </row>
    <row r="151" spans="1:18" ht="32.25" customHeight="1" x14ac:dyDescent="0.25">
      <c r="B151" s="312"/>
      <c r="C151" s="312"/>
      <c r="D151" s="952" t="s">
        <v>1751</v>
      </c>
      <c r="E151" s="958"/>
      <c r="F151" s="319"/>
      <c r="G151" s="954" t="s">
        <v>1750</v>
      </c>
      <c r="H151" s="325"/>
      <c r="I151" s="321"/>
      <c r="J151" s="321"/>
      <c r="K151" s="319"/>
      <c r="L151" s="317"/>
      <c r="M151" s="317"/>
      <c r="N151" s="317"/>
      <c r="O151" s="317"/>
      <c r="P151" s="317"/>
      <c r="Q151" s="317"/>
      <c r="R151" s="317"/>
    </row>
    <row r="152" spans="1:18" ht="33.75" customHeight="1" x14ac:dyDescent="0.25">
      <c r="B152" s="312"/>
      <c r="C152" s="312"/>
      <c r="D152" s="886" t="s">
        <v>516</v>
      </c>
      <c r="E152" s="887"/>
      <c r="F152" s="319"/>
      <c r="G152" s="319" t="s">
        <v>1290</v>
      </c>
      <c r="H152" s="319"/>
      <c r="I152" s="321"/>
      <c r="J152" s="321"/>
      <c r="K152" s="319"/>
      <c r="L152" s="317"/>
      <c r="M152" s="317"/>
      <c r="N152" s="317"/>
      <c r="O152" s="317"/>
      <c r="P152" s="317"/>
      <c r="Q152" s="317"/>
      <c r="R152" s="317"/>
    </row>
    <row r="162" spans="12:12" ht="90" x14ac:dyDescent="1.1499999999999999">
      <c r="L162" s="182"/>
    </row>
  </sheetData>
  <mergeCells count="26">
    <mergeCell ref="D151:E151"/>
    <mergeCell ref="L25:L26"/>
    <mergeCell ref="L27:L28"/>
    <mergeCell ref="M25:M26"/>
    <mergeCell ref="M27:M28"/>
    <mergeCell ref="D152:E152"/>
    <mergeCell ref="B148:K148"/>
    <mergeCell ref="D149:E149"/>
    <mergeCell ref="B147:K147"/>
    <mergeCell ref="B47:B48"/>
    <mergeCell ref="C47:C48"/>
    <mergeCell ref="D47:D48"/>
    <mergeCell ref="E47:E48"/>
    <mergeCell ref="G47:G48"/>
    <mergeCell ref="H47:H48"/>
    <mergeCell ref="I47:I48"/>
    <mergeCell ref="J47:J48"/>
    <mergeCell ref="K47:K48"/>
    <mergeCell ref="F47:F48"/>
    <mergeCell ref="B8:C8"/>
    <mergeCell ref="B1:K1"/>
    <mergeCell ref="G2:K2"/>
    <mergeCell ref="B4:K4"/>
    <mergeCell ref="B5:K5"/>
    <mergeCell ref="B7:C7"/>
    <mergeCell ref="B6:K6"/>
  </mergeCells>
  <printOptions horizontalCentered="1"/>
  <pageMargins left="0.82677165354330717" right="0" top="0.31496062992125984" bottom="0.31496062992125984" header="0.23622047244094491" footer="0.19685039370078741"/>
  <pageSetup paperSize="9" scale="58" fitToHeight="0" orientation="landscape" r:id="rId1"/>
  <headerFooter alignWithMargins="0">
    <oddFooter>&amp;R&amp;P</oddFooter>
  </headerFooter>
  <rowBreaks count="1" manualBreakCount="1">
    <brk id="26"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41"/>
  <sheetViews>
    <sheetView view="pageBreakPreview" zoomScale="25" zoomScaleNormal="25" zoomScaleSheetLayoutView="25" zoomScalePageLayoutView="10" workbookViewId="0">
      <pane ySplit="14" topLeftCell="A44" activePane="bottomLeft" state="frozen"/>
      <selection activeCell="H66" sqref="H63:H66"/>
      <selection pane="bottomLeft" activeCell="J49" sqref="J49"/>
    </sheetView>
  </sheetViews>
  <sheetFormatPr defaultColWidth="9.140625" defaultRowHeight="12.75" x14ac:dyDescent="0.2"/>
  <cols>
    <col min="1" max="1" width="48" style="183" customWidth="1"/>
    <col min="2" max="2" width="52.5703125" style="183" customWidth="1"/>
    <col min="3" max="3" width="65.7109375" style="183" customWidth="1"/>
    <col min="4" max="4" width="180" style="183" customWidth="1"/>
    <col min="5" max="5" width="190.42578125" style="273" customWidth="1"/>
    <col min="6" max="6" width="114" style="183" customWidth="1"/>
    <col min="7" max="7" width="55.42578125" style="183" customWidth="1"/>
    <col min="8" max="8" width="63.5703125" style="183" customWidth="1"/>
    <col min="9" max="9" width="62.140625" style="183" customWidth="1"/>
    <col min="10" max="10" width="70.28515625" style="273" customWidth="1"/>
    <col min="11" max="11" width="91.7109375" style="121" customWidth="1"/>
    <col min="12" max="12" width="87" style="121" customWidth="1"/>
    <col min="13" max="13" width="71.5703125" style="121" bestFit="1" customWidth="1"/>
    <col min="14" max="14" width="71.5703125" style="13" bestFit="1" customWidth="1"/>
    <col min="15" max="15" width="52.140625" style="13" bestFit="1" customWidth="1"/>
    <col min="16" max="16" width="9.140625" style="13"/>
    <col min="17" max="17" width="70.28515625" style="13" customWidth="1"/>
    <col min="18" max="16384" width="9.140625" style="13"/>
  </cols>
  <sheetData>
    <row r="1" spans="1:13" ht="45.75" x14ac:dyDescent="0.2">
      <c r="A1" s="75"/>
      <c r="B1" s="75"/>
      <c r="C1" s="75"/>
      <c r="D1" s="76"/>
      <c r="E1" s="77"/>
      <c r="F1" s="78"/>
      <c r="G1" s="77"/>
      <c r="H1" s="77"/>
      <c r="I1" s="790" t="s">
        <v>582</v>
      </c>
      <c r="J1" s="790"/>
    </row>
    <row r="2" spans="1:13" ht="45.75" x14ac:dyDescent="0.2">
      <c r="A2" s="76"/>
      <c r="B2" s="76"/>
      <c r="C2" s="76"/>
      <c r="D2" s="76"/>
      <c r="E2" s="77"/>
      <c r="F2" s="78"/>
      <c r="G2" s="77"/>
      <c r="H2" s="77"/>
      <c r="I2" s="790" t="s">
        <v>1610</v>
      </c>
      <c r="J2" s="793"/>
    </row>
    <row r="3" spans="1:13" ht="40.700000000000003" customHeight="1" x14ac:dyDescent="0.2">
      <c r="A3" s="76"/>
      <c r="B3" s="76"/>
      <c r="C3" s="76"/>
      <c r="D3" s="76"/>
      <c r="E3" s="77"/>
      <c r="F3" s="78"/>
      <c r="G3" s="77"/>
      <c r="H3" s="77"/>
      <c r="I3" s="790"/>
      <c r="J3" s="793"/>
    </row>
    <row r="4" spans="1:13" ht="45.75" hidden="1" x14ac:dyDescent="0.2">
      <c r="A4" s="76"/>
      <c r="B4" s="76"/>
      <c r="C4" s="76"/>
      <c r="D4" s="76"/>
      <c r="E4" s="77"/>
      <c r="F4" s="78"/>
      <c r="G4" s="77"/>
      <c r="H4" s="77"/>
      <c r="I4" s="76"/>
      <c r="J4" s="78"/>
    </row>
    <row r="5" spans="1:13" ht="45" x14ac:dyDescent="0.2">
      <c r="A5" s="794" t="s">
        <v>558</v>
      </c>
      <c r="B5" s="794"/>
      <c r="C5" s="794"/>
      <c r="D5" s="794"/>
      <c r="E5" s="794"/>
      <c r="F5" s="794"/>
      <c r="G5" s="794"/>
      <c r="H5" s="794"/>
      <c r="I5" s="794"/>
      <c r="J5" s="794"/>
    </row>
    <row r="6" spans="1:13" ht="45" x14ac:dyDescent="0.2">
      <c r="A6" s="794" t="s">
        <v>1082</v>
      </c>
      <c r="B6" s="794"/>
      <c r="C6" s="794"/>
      <c r="D6" s="794"/>
      <c r="E6" s="794"/>
      <c r="F6" s="794"/>
      <c r="G6" s="794"/>
      <c r="H6" s="794"/>
      <c r="I6" s="794"/>
      <c r="J6" s="794"/>
    </row>
    <row r="7" spans="1:13" ht="45" x14ac:dyDescent="0.2">
      <c r="A7" s="794" t="s">
        <v>1539</v>
      </c>
      <c r="B7" s="794"/>
      <c r="C7" s="794"/>
      <c r="D7" s="794"/>
      <c r="E7" s="794"/>
      <c r="F7" s="794"/>
      <c r="G7" s="794"/>
      <c r="H7" s="794"/>
      <c r="I7" s="794"/>
      <c r="J7" s="794"/>
    </row>
    <row r="8" spans="1:13" ht="45" x14ac:dyDescent="0.2">
      <c r="A8" s="794"/>
      <c r="B8" s="794"/>
      <c r="C8" s="794"/>
      <c r="D8" s="794"/>
      <c r="E8" s="794"/>
      <c r="F8" s="794"/>
      <c r="G8" s="794"/>
      <c r="H8" s="794"/>
      <c r="I8" s="794"/>
      <c r="J8" s="794"/>
    </row>
    <row r="9" spans="1:13" ht="45.75" x14ac:dyDescent="0.65">
      <c r="A9" s="795">
        <v>2256400000</v>
      </c>
      <c r="B9" s="796"/>
      <c r="C9" s="747"/>
      <c r="D9" s="747"/>
      <c r="E9" s="747"/>
      <c r="F9" s="747"/>
      <c r="G9" s="747"/>
      <c r="H9" s="747"/>
      <c r="I9" s="747"/>
      <c r="J9" s="747"/>
      <c r="K9" s="137"/>
      <c r="L9" s="137"/>
      <c r="M9" s="137"/>
    </row>
    <row r="10" spans="1:13" ht="45.75" x14ac:dyDescent="0.2">
      <c r="A10" s="800" t="s">
        <v>485</v>
      </c>
      <c r="B10" s="801"/>
      <c r="C10" s="747"/>
      <c r="D10" s="747"/>
      <c r="E10" s="747"/>
      <c r="F10" s="747"/>
      <c r="G10" s="747"/>
      <c r="H10" s="747"/>
      <c r="I10" s="747"/>
      <c r="J10" s="747"/>
      <c r="K10" s="137"/>
      <c r="L10" s="137"/>
      <c r="M10" s="137"/>
    </row>
    <row r="11" spans="1:13" ht="53.45" customHeight="1" thickBot="1" x14ac:dyDescent="0.25">
      <c r="A11" s="77"/>
      <c r="B11" s="77"/>
      <c r="C11" s="77"/>
      <c r="D11" s="77"/>
      <c r="E11" s="77"/>
      <c r="F11" s="78"/>
      <c r="G11" s="77"/>
      <c r="H11" s="77"/>
      <c r="I11" s="77"/>
      <c r="J11" s="300" t="s">
        <v>400</v>
      </c>
      <c r="K11" s="137"/>
      <c r="L11" s="137"/>
      <c r="M11" s="137"/>
    </row>
    <row r="12" spans="1:13" ht="104.25" customHeight="1" thickTop="1" thickBot="1" x14ac:dyDescent="0.25">
      <c r="A12" s="912" t="s">
        <v>486</v>
      </c>
      <c r="B12" s="912" t="s">
        <v>487</v>
      </c>
      <c r="C12" s="912" t="s">
        <v>386</v>
      </c>
      <c r="D12" s="912" t="s">
        <v>559</v>
      </c>
      <c r="E12" s="912" t="s">
        <v>490</v>
      </c>
      <c r="F12" s="912" t="s">
        <v>491</v>
      </c>
      <c r="G12" s="912" t="s">
        <v>379</v>
      </c>
      <c r="H12" s="912" t="s">
        <v>12</v>
      </c>
      <c r="I12" s="913" t="s">
        <v>52</v>
      </c>
      <c r="J12" s="798"/>
      <c r="K12" s="137"/>
      <c r="L12" s="137"/>
      <c r="M12" s="137"/>
    </row>
    <row r="13" spans="1:13" ht="406.5" customHeight="1" thickTop="1" thickBot="1" x14ac:dyDescent="0.25">
      <c r="A13" s="913"/>
      <c r="B13" s="798"/>
      <c r="C13" s="798"/>
      <c r="D13" s="913"/>
      <c r="E13" s="913"/>
      <c r="F13" s="913"/>
      <c r="G13" s="913"/>
      <c r="H13" s="913"/>
      <c r="I13" s="304" t="s">
        <v>380</v>
      </c>
      <c r="J13" s="304" t="s">
        <v>381</v>
      </c>
      <c r="K13" s="137"/>
      <c r="L13" s="137"/>
      <c r="M13" s="137"/>
    </row>
    <row r="14" spans="1:13" s="4" customFormat="1" ht="47.25" thickTop="1" thickBot="1" x14ac:dyDescent="0.25">
      <c r="A14" s="101" t="s">
        <v>2</v>
      </c>
      <c r="B14" s="101" t="s">
        <v>3</v>
      </c>
      <c r="C14" s="101" t="s">
        <v>14</v>
      </c>
      <c r="D14" s="101" t="s">
        <v>5</v>
      </c>
      <c r="E14" s="101" t="s">
        <v>388</v>
      </c>
      <c r="F14" s="101" t="s">
        <v>389</v>
      </c>
      <c r="G14" s="101" t="s">
        <v>390</v>
      </c>
      <c r="H14" s="101" t="s">
        <v>391</v>
      </c>
      <c r="I14" s="101" t="s">
        <v>392</v>
      </c>
      <c r="J14" s="101" t="s">
        <v>393</v>
      </c>
      <c r="K14" s="131"/>
      <c r="L14" s="131"/>
      <c r="M14" s="131"/>
    </row>
    <row r="15" spans="1:13" s="4" customFormat="1" ht="170.45" customHeight="1" thickTop="1" thickBot="1" x14ac:dyDescent="0.25">
      <c r="A15" s="585" t="s">
        <v>147</v>
      </c>
      <c r="B15" s="585"/>
      <c r="C15" s="585"/>
      <c r="D15" s="586" t="s">
        <v>149</v>
      </c>
      <c r="E15" s="585"/>
      <c r="F15" s="585"/>
      <c r="G15" s="587">
        <f>G16</f>
        <v>465623481.09000003</v>
      </c>
      <c r="H15" s="587">
        <f t="shared" ref="H15:J15" si="0">H16</f>
        <v>200285060.84</v>
      </c>
      <c r="I15" s="587">
        <f>I16</f>
        <v>265338420.25</v>
      </c>
      <c r="J15" s="587">
        <f t="shared" si="0"/>
        <v>252201401.28</v>
      </c>
      <c r="K15" s="95" t="b">
        <f>H16='d3'!E16-'d3'!E18+'d7'!H17+'d7'!H20+'d7'!H22+H21</f>
        <v>1</v>
      </c>
      <c r="L15" s="95" t="b">
        <f>I16='d3'!J16-'d3'!J18+I17+I20+I22+I21</f>
        <v>1</v>
      </c>
      <c r="M15" s="95" t="b">
        <f>J16='d3'!K16-'d3'!K18+J17+J20+J22+J21</f>
        <v>1</v>
      </c>
    </row>
    <row r="16" spans="1:13" s="4" customFormat="1" ht="170.45" customHeight="1" thickTop="1" thickBot="1" x14ac:dyDescent="0.25">
      <c r="A16" s="588" t="s">
        <v>148</v>
      </c>
      <c r="B16" s="588"/>
      <c r="C16" s="588"/>
      <c r="D16" s="589" t="s">
        <v>150</v>
      </c>
      <c r="E16" s="590"/>
      <c r="F16" s="590"/>
      <c r="G16" s="590">
        <f>SUM(G17:G61)</f>
        <v>465623481.09000003</v>
      </c>
      <c r="H16" s="590">
        <f>SUM(H17:H61)</f>
        <v>200285060.84</v>
      </c>
      <c r="I16" s="590">
        <f>SUM(I17:I61)</f>
        <v>265338420.25</v>
      </c>
      <c r="J16" s="590">
        <f>SUM(J17:J61)</f>
        <v>252201401.28</v>
      </c>
      <c r="K16" s="131"/>
      <c r="L16" s="131"/>
      <c r="M16" s="131"/>
    </row>
    <row r="17" spans="1:13" ht="184.5" thickTop="1" thickBot="1" x14ac:dyDescent="0.25">
      <c r="A17" s="101" t="s">
        <v>231</v>
      </c>
      <c r="B17" s="101" t="s">
        <v>232</v>
      </c>
      <c r="C17" s="101" t="s">
        <v>233</v>
      </c>
      <c r="D17" s="101" t="s">
        <v>230</v>
      </c>
      <c r="E17" s="305" t="s">
        <v>1005</v>
      </c>
      <c r="F17" s="302" t="s">
        <v>841</v>
      </c>
      <c r="G17" s="302">
        <f t="shared" ref="G17:G38" si="1">H17+I17</f>
        <v>1357000</v>
      </c>
      <c r="H17" s="306">
        <v>0</v>
      </c>
      <c r="I17" s="302">
        <f>(342000+50000+75000+630000+150000+30000+30000)+50000</f>
        <v>1357000</v>
      </c>
      <c r="J17" s="302">
        <f>(342000+50000+75000+630000+150000+30000+30000)+50000</f>
        <v>1357000</v>
      </c>
      <c r="K17" s="242"/>
      <c r="L17" s="242"/>
      <c r="M17" s="242"/>
    </row>
    <row r="18" spans="1:13" ht="276" hidden="1" thickTop="1" thickBot="1" x14ac:dyDescent="0.25">
      <c r="A18" s="126" t="s">
        <v>231</v>
      </c>
      <c r="B18" s="126" t="s">
        <v>232</v>
      </c>
      <c r="C18" s="126" t="s">
        <v>233</v>
      </c>
      <c r="D18" s="126" t="s">
        <v>230</v>
      </c>
      <c r="E18" s="187" t="s">
        <v>1170</v>
      </c>
      <c r="F18" s="187" t="s">
        <v>843</v>
      </c>
      <c r="G18" s="187">
        <f t="shared" si="1"/>
        <v>0</v>
      </c>
      <c r="H18" s="244">
        <v>0</v>
      </c>
      <c r="I18" s="187">
        <v>0</v>
      </c>
      <c r="J18" s="187">
        <v>0</v>
      </c>
      <c r="K18" s="245"/>
      <c r="L18" s="245"/>
      <c r="M18" s="245"/>
    </row>
    <row r="19" spans="1:13" ht="184.5" hidden="1" thickTop="1" thickBot="1" x14ac:dyDescent="0.25">
      <c r="A19" s="41" t="s">
        <v>231</v>
      </c>
      <c r="B19" s="41" t="s">
        <v>232</v>
      </c>
      <c r="C19" s="41" t="s">
        <v>233</v>
      </c>
      <c r="D19" s="41" t="s">
        <v>230</v>
      </c>
      <c r="E19" s="246" t="s">
        <v>855</v>
      </c>
      <c r="F19" s="73" t="s">
        <v>856</v>
      </c>
      <c r="G19" s="73">
        <f t="shared" si="1"/>
        <v>0</v>
      </c>
      <c r="H19" s="247"/>
      <c r="I19" s="73"/>
      <c r="J19" s="73"/>
      <c r="K19" s="248"/>
      <c r="L19" s="148"/>
      <c r="M19" s="137"/>
    </row>
    <row r="20" spans="1:13" ht="184.5" hidden="1" thickTop="1" thickBot="1" x14ac:dyDescent="0.25">
      <c r="A20" s="126" t="s">
        <v>231</v>
      </c>
      <c r="B20" s="126" t="s">
        <v>232</v>
      </c>
      <c r="C20" s="126" t="s">
        <v>233</v>
      </c>
      <c r="D20" s="126" t="s">
        <v>230</v>
      </c>
      <c r="E20" s="243" t="s">
        <v>1113</v>
      </c>
      <c r="F20" s="187" t="s">
        <v>1112</v>
      </c>
      <c r="G20" s="187">
        <f t="shared" si="1"/>
        <v>0</v>
      </c>
      <c r="H20" s="244">
        <v>0</v>
      </c>
      <c r="I20" s="187">
        <v>0</v>
      </c>
      <c r="J20" s="187">
        <v>0</v>
      </c>
      <c r="K20" s="248"/>
      <c r="L20" s="148"/>
      <c r="M20" s="137"/>
    </row>
    <row r="21" spans="1:13" ht="184.5" hidden="1" thickTop="1" thickBot="1" x14ac:dyDescent="0.25">
      <c r="A21" s="126" t="s">
        <v>231</v>
      </c>
      <c r="B21" s="126" t="s">
        <v>232</v>
      </c>
      <c r="C21" s="126" t="s">
        <v>233</v>
      </c>
      <c r="D21" s="126" t="s">
        <v>230</v>
      </c>
      <c r="E21" s="243" t="s">
        <v>1374</v>
      </c>
      <c r="F21" s="187" t="s">
        <v>1375</v>
      </c>
      <c r="G21" s="187">
        <f t="shared" si="1"/>
        <v>0</v>
      </c>
      <c r="H21" s="244">
        <v>0</v>
      </c>
      <c r="I21" s="187">
        <v>0</v>
      </c>
      <c r="J21" s="187">
        <v>0</v>
      </c>
      <c r="K21" s="248"/>
      <c r="L21" s="148"/>
      <c r="M21" s="137"/>
    </row>
    <row r="22" spans="1:13" ht="184.5" thickTop="1" thickBot="1" x14ac:dyDescent="0.25">
      <c r="A22" s="101" t="s">
        <v>231</v>
      </c>
      <c r="B22" s="101" t="s">
        <v>232</v>
      </c>
      <c r="C22" s="101" t="s">
        <v>233</v>
      </c>
      <c r="D22" s="101" t="s">
        <v>230</v>
      </c>
      <c r="E22" s="305" t="s">
        <v>1566</v>
      </c>
      <c r="F22" s="302" t="s">
        <v>1598</v>
      </c>
      <c r="G22" s="302">
        <f t="shared" si="1"/>
        <v>988500</v>
      </c>
      <c r="H22" s="306">
        <v>0</v>
      </c>
      <c r="I22" s="302">
        <f>(200000)+788500</f>
        <v>988500</v>
      </c>
      <c r="J22" s="302">
        <f>(200000)+788500</f>
        <v>988500</v>
      </c>
      <c r="K22" s="248"/>
      <c r="L22" s="148"/>
      <c r="M22" s="137"/>
    </row>
    <row r="23" spans="1:13" ht="276" hidden="1" thickTop="1" thickBot="1" x14ac:dyDescent="0.25">
      <c r="A23" s="126" t="s">
        <v>615</v>
      </c>
      <c r="B23" s="126" t="s">
        <v>358</v>
      </c>
      <c r="C23" s="126" t="s">
        <v>616</v>
      </c>
      <c r="D23" s="126" t="s">
        <v>617</v>
      </c>
      <c r="E23" s="243" t="s">
        <v>1248</v>
      </c>
      <c r="F23" s="187" t="s">
        <v>1249</v>
      </c>
      <c r="G23" s="187">
        <f t="shared" si="1"/>
        <v>0</v>
      </c>
      <c r="H23" s="244">
        <f>'d3'!E20</f>
        <v>0</v>
      </c>
      <c r="I23" s="187">
        <v>0</v>
      </c>
      <c r="J23" s="187">
        <v>0</v>
      </c>
      <c r="K23" s="248"/>
      <c r="L23" s="148"/>
      <c r="M23" s="137"/>
    </row>
    <row r="24" spans="1:13" ht="230.25" thickTop="1" thickBot="1" x14ac:dyDescent="0.25">
      <c r="A24" s="101" t="s">
        <v>245</v>
      </c>
      <c r="B24" s="101" t="s">
        <v>43</v>
      </c>
      <c r="C24" s="101" t="s">
        <v>42</v>
      </c>
      <c r="D24" s="101" t="s">
        <v>246</v>
      </c>
      <c r="E24" s="305" t="s">
        <v>1322</v>
      </c>
      <c r="F24" s="302" t="s">
        <v>1292</v>
      </c>
      <c r="G24" s="302">
        <f t="shared" si="1"/>
        <v>19773000</v>
      </c>
      <c r="H24" s="306">
        <f>(1071000+26598400)-7896400</f>
        <v>19773000</v>
      </c>
      <c r="I24" s="302">
        <v>0</v>
      </c>
      <c r="J24" s="302">
        <v>0</v>
      </c>
      <c r="K24" s="914" t="b">
        <f>H24+H27+H26+H29+H28+H25='d3'!E21</f>
        <v>1</v>
      </c>
      <c r="L24" s="910"/>
      <c r="M24" s="910"/>
    </row>
    <row r="25" spans="1:13" ht="138.75" thickTop="1" thickBot="1" x14ac:dyDescent="0.25">
      <c r="A25" s="101" t="s">
        <v>245</v>
      </c>
      <c r="B25" s="101" t="s">
        <v>43</v>
      </c>
      <c r="C25" s="101" t="s">
        <v>42</v>
      </c>
      <c r="D25" s="101" t="s">
        <v>246</v>
      </c>
      <c r="E25" s="305" t="s">
        <v>1695</v>
      </c>
      <c r="F25" s="302" t="s">
        <v>1748</v>
      </c>
      <c r="G25" s="302">
        <f t="shared" ref="G25" si="2">H25+I25</f>
        <v>166200</v>
      </c>
      <c r="H25" s="306">
        <f>166200</f>
        <v>166200</v>
      </c>
      <c r="I25" s="302">
        <v>0</v>
      </c>
      <c r="J25" s="302">
        <v>0</v>
      </c>
      <c r="K25" s="914"/>
      <c r="L25" s="910"/>
      <c r="M25" s="910"/>
    </row>
    <row r="26" spans="1:13" ht="138.75" hidden="1" thickTop="1" thickBot="1" x14ac:dyDescent="0.25">
      <c r="A26" s="126" t="s">
        <v>245</v>
      </c>
      <c r="B26" s="126" t="s">
        <v>43</v>
      </c>
      <c r="C26" s="126" t="s">
        <v>42</v>
      </c>
      <c r="D26" s="126" t="s">
        <v>246</v>
      </c>
      <c r="E26" s="243" t="s">
        <v>1433</v>
      </c>
      <c r="F26" s="187" t="s">
        <v>1444</v>
      </c>
      <c r="G26" s="187">
        <f t="shared" ref="G26" si="3">H26+I26</f>
        <v>0</v>
      </c>
      <c r="H26" s="244">
        <f>950000-100000-850000</f>
        <v>0</v>
      </c>
      <c r="I26" s="187">
        <v>0</v>
      </c>
      <c r="J26" s="187">
        <v>0</v>
      </c>
      <c r="K26" s="914"/>
      <c r="L26" s="910"/>
      <c r="M26" s="910"/>
    </row>
    <row r="27" spans="1:13" ht="184.7" customHeight="1" thickTop="1" thickBot="1" x14ac:dyDescent="0.25">
      <c r="A27" s="101" t="s">
        <v>245</v>
      </c>
      <c r="B27" s="101" t="s">
        <v>43</v>
      </c>
      <c r="C27" s="101" t="s">
        <v>42</v>
      </c>
      <c r="D27" s="101" t="s">
        <v>246</v>
      </c>
      <c r="E27" s="305" t="s">
        <v>1566</v>
      </c>
      <c r="F27" s="302" t="s">
        <v>1598</v>
      </c>
      <c r="G27" s="302">
        <f t="shared" si="1"/>
        <v>2105800</v>
      </c>
      <c r="H27" s="306">
        <f>188000+1788600+129200</f>
        <v>2105800</v>
      </c>
      <c r="I27" s="302">
        <v>0</v>
      </c>
      <c r="J27" s="302">
        <v>0</v>
      </c>
      <c r="K27" s="915"/>
      <c r="L27" s="911"/>
      <c r="M27" s="911"/>
    </row>
    <row r="28" spans="1:13" ht="184.7" hidden="1" customHeight="1" thickTop="1" thickBot="1" x14ac:dyDescent="0.25">
      <c r="A28" s="126" t="s">
        <v>245</v>
      </c>
      <c r="B28" s="126" t="s">
        <v>43</v>
      </c>
      <c r="C28" s="126" t="s">
        <v>42</v>
      </c>
      <c r="D28" s="126" t="s">
        <v>246</v>
      </c>
      <c r="E28" s="243" t="s">
        <v>1223</v>
      </c>
      <c r="F28" s="187" t="s">
        <v>915</v>
      </c>
      <c r="G28" s="187">
        <f t="shared" si="1"/>
        <v>0</v>
      </c>
      <c r="H28" s="244">
        <v>0</v>
      </c>
      <c r="I28" s="187">
        <v>0</v>
      </c>
      <c r="J28" s="187">
        <v>0</v>
      </c>
      <c r="K28" s="137"/>
      <c r="L28" s="137"/>
      <c r="M28" s="137"/>
    </row>
    <row r="29" spans="1:13" ht="184.5" hidden="1" thickTop="1" thickBot="1" x14ac:dyDescent="0.25">
      <c r="A29" s="126" t="s">
        <v>245</v>
      </c>
      <c r="B29" s="126" t="s">
        <v>43</v>
      </c>
      <c r="C29" s="126" t="s">
        <v>42</v>
      </c>
      <c r="D29" s="126" t="s">
        <v>246</v>
      </c>
      <c r="E29" s="187" t="s">
        <v>1434</v>
      </c>
      <c r="F29" s="149" t="s">
        <v>1150</v>
      </c>
      <c r="G29" s="187">
        <f>H29+I29</f>
        <v>0</v>
      </c>
      <c r="H29" s="187">
        <f>((((90000000-10000000+32000000-67690000+1000000-2000000+30000000)-23310000)-30000000)-7182000)-12818000</f>
        <v>0</v>
      </c>
      <c r="I29" s="187">
        <v>0</v>
      </c>
      <c r="J29" s="187">
        <v>0</v>
      </c>
      <c r="K29" s="137"/>
      <c r="L29" s="137"/>
      <c r="M29" s="137"/>
    </row>
    <row r="30" spans="1:13" ht="184.5" thickTop="1" thickBot="1" x14ac:dyDescent="0.25">
      <c r="A30" s="101" t="s">
        <v>1643</v>
      </c>
      <c r="B30" s="101" t="s">
        <v>1644</v>
      </c>
      <c r="C30" s="101" t="s">
        <v>204</v>
      </c>
      <c r="D30" s="600" t="s">
        <v>1645</v>
      </c>
      <c r="E30" s="305" t="s">
        <v>1186</v>
      </c>
      <c r="F30" s="302" t="s">
        <v>852</v>
      </c>
      <c r="G30" s="302">
        <f>H30+I30</f>
        <v>3455220</v>
      </c>
      <c r="H30" s="302">
        <f>'d3'!E24</f>
        <v>3455220</v>
      </c>
      <c r="I30" s="302">
        <f>'d3'!J24</f>
        <v>0</v>
      </c>
      <c r="J30" s="302">
        <f>'d3'!K24</f>
        <v>0</v>
      </c>
      <c r="K30" s="137"/>
      <c r="L30" s="137"/>
      <c r="M30" s="137"/>
    </row>
    <row r="31" spans="1:13" ht="184.5" thickTop="1" thickBot="1" x14ac:dyDescent="0.25">
      <c r="A31" s="101" t="s">
        <v>1503</v>
      </c>
      <c r="B31" s="101" t="s">
        <v>327</v>
      </c>
      <c r="C31" s="101" t="s">
        <v>190</v>
      </c>
      <c r="D31" s="600" t="s">
        <v>1621</v>
      </c>
      <c r="E31" s="305" t="s">
        <v>1186</v>
      </c>
      <c r="F31" s="302" t="s">
        <v>852</v>
      </c>
      <c r="G31" s="302">
        <f>H31+I31</f>
        <v>4785029</v>
      </c>
      <c r="H31" s="302">
        <f>'d3'!E26-H32</f>
        <v>4360029</v>
      </c>
      <c r="I31" s="302">
        <f>'d3'!J26-I32</f>
        <v>425000</v>
      </c>
      <c r="J31" s="302">
        <f>'d3'!K26-J32</f>
        <v>425000</v>
      </c>
      <c r="K31" s="137"/>
      <c r="L31" s="137"/>
      <c r="M31" s="137"/>
    </row>
    <row r="32" spans="1:13" ht="138.75" thickTop="1" thickBot="1" x14ac:dyDescent="0.25">
      <c r="A32" s="101" t="s">
        <v>1503</v>
      </c>
      <c r="B32" s="101" t="s">
        <v>327</v>
      </c>
      <c r="C32" s="101" t="s">
        <v>190</v>
      </c>
      <c r="D32" s="600" t="s">
        <v>1621</v>
      </c>
      <c r="E32" s="305" t="s">
        <v>1498</v>
      </c>
      <c r="F32" s="302" t="s">
        <v>1499</v>
      </c>
      <c r="G32" s="302">
        <f>H32+I32</f>
        <v>326900</v>
      </c>
      <c r="H32" s="302">
        <v>247900</v>
      </c>
      <c r="I32" s="302">
        <v>79000</v>
      </c>
      <c r="J32" s="302">
        <v>79000</v>
      </c>
      <c r="K32" s="137"/>
      <c r="L32" s="137"/>
      <c r="M32" s="137"/>
    </row>
    <row r="33" spans="1:13" ht="138.75" thickTop="1" thickBot="1" x14ac:dyDescent="0.25">
      <c r="A33" s="101" t="s">
        <v>237</v>
      </c>
      <c r="B33" s="101" t="s">
        <v>238</v>
      </c>
      <c r="C33" s="101" t="s">
        <v>239</v>
      </c>
      <c r="D33" s="101" t="s">
        <v>236</v>
      </c>
      <c r="E33" s="305" t="s">
        <v>1005</v>
      </c>
      <c r="F33" s="302" t="s">
        <v>841</v>
      </c>
      <c r="G33" s="302">
        <f t="shared" si="1"/>
        <v>11425100</v>
      </c>
      <c r="H33" s="302">
        <f>'d3'!E29</f>
        <v>7425100</v>
      </c>
      <c r="I33" s="302">
        <f>'d3'!J29</f>
        <v>4000000</v>
      </c>
      <c r="J33" s="302">
        <f>'d3'!K29</f>
        <v>4000000</v>
      </c>
      <c r="K33" s="95" t="b">
        <f>H33='d3'!E29</f>
        <v>1</v>
      </c>
      <c r="L33" s="426" t="b">
        <f>I33='d3'!J29</f>
        <v>1</v>
      </c>
      <c r="M33" s="471" t="b">
        <f>J33='d3'!K29</f>
        <v>1</v>
      </c>
    </row>
    <row r="34" spans="1:13" ht="138.75" hidden="1" thickTop="1" thickBot="1" x14ac:dyDescent="0.25">
      <c r="A34" s="41" t="s">
        <v>956</v>
      </c>
      <c r="B34" s="41" t="s">
        <v>957</v>
      </c>
      <c r="C34" s="41" t="s">
        <v>239</v>
      </c>
      <c r="D34" s="41" t="s">
        <v>958</v>
      </c>
      <c r="E34" s="246" t="s">
        <v>1005</v>
      </c>
      <c r="F34" s="73" t="s">
        <v>841</v>
      </c>
      <c r="G34" s="187">
        <f t="shared" si="1"/>
        <v>0</v>
      </c>
      <c r="H34" s="187">
        <f>'d3'!E30</f>
        <v>0</v>
      </c>
      <c r="I34" s="187">
        <f>'d3'!J30</f>
        <v>0</v>
      </c>
      <c r="J34" s="187">
        <f>'d3'!K30</f>
        <v>0</v>
      </c>
      <c r="K34" s="242" t="b">
        <f>H34='d3'!E30</f>
        <v>1</v>
      </c>
      <c r="L34" s="249" t="b">
        <f>I34='d3'!J30</f>
        <v>1</v>
      </c>
      <c r="M34" s="250" t="b">
        <f>J34='d3'!K30</f>
        <v>1</v>
      </c>
    </row>
    <row r="35" spans="1:13" ht="138.75" thickTop="1" thickBot="1" x14ac:dyDescent="0.25">
      <c r="A35" s="101" t="s">
        <v>1737</v>
      </c>
      <c r="B35" s="101" t="s">
        <v>252</v>
      </c>
      <c r="C35" s="101" t="s">
        <v>212</v>
      </c>
      <c r="D35" s="101" t="s">
        <v>251</v>
      </c>
      <c r="E35" s="302" t="s">
        <v>1228</v>
      </c>
      <c r="F35" s="302" t="s">
        <v>846</v>
      </c>
      <c r="G35" s="302">
        <f t="shared" si="1"/>
        <v>586205.97</v>
      </c>
      <c r="H35" s="302">
        <f>'d3'!E32</f>
        <v>586205.97</v>
      </c>
      <c r="I35" s="302">
        <f>'d3'!J32</f>
        <v>0</v>
      </c>
      <c r="J35" s="302">
        <f>'d3'!K32</f>
        <v>0</v>
      </c>
      <c r="K35" s="242"/>
      <c r="L35" s="249"/>
      <c r="M35" s="250"/>
    </row>
    <row r="36" spans="1:13" ht="138.75" hidden="1" thickTop="1" thickBot="1" x14ac:dyDescent="0.25">
      <c r="A36" s="126" t="s">
        <v>1341</v>
      </c>
      <c r="B36" s="126" t="s">
        <v>211</v>
      </c>
      <c r="C36" s="126" t="s">
        <v>212</v>
      </c>
      <c r="D36" s="126" t="s">
        <v>41</v>
      </c>
      <c r="E36" s="243" t="s">
        <v>1374</v>
      </c>
      <c r="F36" s="187" t="s">
        <v>1375</v>
      </c>
      <c r="G36" s="187">
        <f t="shared" si="1"/>
        <v>0</v>
      </c>
      <c r="H36" s="187">
        <v>0</v>
      </c>
      <c r="I36" s="187">
        <v>0</v>
      </c>
      <c r="J36" s="187">
        <v>0</v>
      </c>
      <c r="K36" s="242" t="b">
        <f>'d3'!E33='d7'!H36</f>
        <v>1</v>
      </c>
      <c r="L36" s="249" t="b">
        <f>I36='d3'!J33</f>
        <v>1</v>
      </c>
      <c r="M36" s="250" t="b">
        <f>J36='d3'!K33</f>
        <v>1</v>
      </c>
    </row>
    <row r="37" spans="1:13" ht="138.75" thickTop="1" thickBot="1" x14ac:dyDescent="0.25">
      <c r="A37" s="101" t="s">
        <v>297</v>
      </c>
      <c r="B37" s="101" t="s">
        <v>298</v>
      </c>
      <c r="C37" s="101" t="s">
        <v>169</v>
      </c>
      <c r="D37" s="101" t="s">
        <v>437</v>
      </c>
      <c r="E37" s="305" t="s">
        <v>1566</v>
      </c>
      <c r="F37" s="302" t="s">
        <v>1598</v>
      </c>
      <c r="G37" s="302">
        <f t="shared" si="1"/>
        <v>626435</v>
      </c>
      <c r="H37" s="302">
        <f>'d3'!E34</f>
        <v>626435</v>
      </c>
      <c r="I37" s="302">
        <f>'d3'!J34</f>
        <v>0</v>
      </c>
      <c r="J37" s="302">
        <f>'d3'!K34</f>
        <v>0</v>
      </c>
      <c r="K37" s="95" t="b">
        <f>H37='d3'!E34</f>
        <v>1</v>
      </c>
      <c r="L37" s="426" t="b">
        <f>I37='d3'!J34</f>
        <v>1</v>
      </c>
      <c r="M37" s="471" t="b">
        <f>J37='d3'!K34</f>
        <v>1</v>
      </c>
    </row>
    <row r="38" spans="1:13" ht="292.7" customHeight="1" thickTop="1" thickBot="1" x14ac:dyDescent="0.7">
      <c r="A38" s="789" t="s">
        <v>336</v>
      </c>
      <c r="B38" s="789" t="s">
        <v>335</v>
      </c>
      <c r="C38" s="789" t="s">
        <v>169</v>
      </c>
      <c r="D38" s="475" t="s">
        <v>435</v>
      </c>
      <c r="E38" s="908" t="s">
        <v>1566</v>
      </c>
      <c r="F38" s="850" t="s">
        <v>1598</v>
      </c>
      <c r="G38" s="850">
        <f t="shared" si="1"/>
        <v>13137018.969999999</v>
      </c>
      <c r="H38" s="850">
        <f>'d3'!E36</f>
        <v>0</v>
      </c>
      <c r="I38" s="850">
        <f>'d3'!J36</f>
        <v>13137018.969999999</v>
      </c>
      <c r="J38" s="850">
        <f>'d3'!K36</f>
        <v>0</v>
      </c>
      <c r="K38" s="95" t="b">
        <f>H38='d3'!E36</f>
        <v>1</v>
      </c>
      <c r="L38" s="426" t="b">
        <f>I38='d3'!J36</f>
        <v>1</v>
      </c>
      <c r="M38" s="471" t="b">
        <f>J38='d3'!K36</f>
        <v>1</v>
      </c>
    </row>
    <row r="39" spans="1:13" ht="138.75" customHeight="1" thickTop="1" thickBot="1" x14ac:dyDescent="0.25">
      <c r="A39" s="907"/>
      <c r="B39" s="907"/>
      <c r="C39" s="907"/>
      <c r="D39" s="476" t="s">
        <v>436</v>
      </c>
      <c r="E39" s="909"/>
      <c r="F39" s="851"/>
      <c r="G39" s="916"/>
      <c r="H39" s="916"/>
      <c r="I39" s="916"/>
      <c r="J39" s="916"/>
      <c r="K39" s="137"/>
      <c r="L39" s="137"/>
      <c r="M39" s="137"/>
    </row>
    <row r="40" spans="1:13" ht="168.75" customHeight="1" thickTop="1" thickBot="1" x14ac:dyDescent="0.25">
      <c r="A40" s="101" t="s">
        <v>896</v>
      </c>
      <c r="B40" s="101" t="s">
        <v>255</v>
      </c>
      <c r="C40" s="101" t="s">
        <v>169</v>
      </c>
      <c r="D40" s="101" t="s">
        <v>253</v>
      </c>
      <c r="E40" s="302" t="s">
        <v>1749</v>
      </c>
      <c r="F40" s="302" t="s">
        <v>1598</v>
      </c>
      <c r="G40" s="302">
        <f t="shared" ref="G40:G48" si="4">H40+I40</f>
        <v>2955014</v>
      </c>
      <c r="H40" s="302">
        <f>'d3'!E37</f>
        <v>2955014</v>
      </c>
      <c r="I40" s="302">
        <f>'d3'!J37</f>
        <v>0</v>
      </c>
      <c r="J40" s="302">
        <f>'d3'!K37</f>
        <v>0</v>
      </c>
      <c r="K40" s="137"/>
      <c r="L40" s="137"/>
      <c r="M40" s="137"/>
    </row>
    <row r="41" spans="1:13" ht="138.75" thickTop="1" thickBot="1" x14ac:dyDescent="0.25">
      <c r="A41" s="101" t="s">
        <v>1171</v>
      </c>
      <c r="B41" s="101" t="s">
        <v>1172</v>
      </c>
      <c r="C41" s="101" t="s">
        <v>1147</v>
      </c>
      <c r="D41" s="101" t="s">
        <v>1173</v>
      </c>
      <c r="E41" s="302" t="s">
        <v>1727</v>
      </c>
      <c r="F41" s="302" t="s">
        <v>1599</v>
      </c>
      <c r="G41" s="302">
        <f t="shared" si="4"/>
        <v>133200000</v>
      </c>
      <c r="H41" s="302">
        <f>((((10000000)+10000000)+10000000+4800000)+2000000)+4000000+2000000</f>
        <v>42800000</v>
      </c>
      <c r="I41" s="302">
        <f>((((30200000)-10000000)+16000000+200000)+26000000)+25000000+3000000</f>
        <v>90400000</v>
      </c>
      <c r="J41" s="302">
        <f>((((30200000)-10000000)+16000000+200000)+26000000)+25000000+3000000</f>
        <v>90400000</v>
      </c>
      <c r="K41" s="95" t="b">
        <f>H41+H43+H42='d3'!E40</f>
        <v>1</v>
      </c>
      <c r="L41" s="426" t="b">
        <f>I41+I43+I42='d3'!J40</f>
        <v>1</v>
      </c>
      <c r="M41" s="426" t="b">
        <f>J41+J43+J42='d3'!K40</f>
        <v>1</v>
      </c>
    </row>
    <row r="42" spans="1:13" ht="138.75" hidden="1" thickTop="1" thickBot="1" x14ac:dyDescent="0.25">
      <c r="A42" s="126" t="s">
        <v>1171</v>
      </c>
      <c r="B42" s="126" t="s">
        <v>1172</v>
      </c>
      <c r="C42" s="126" t="s">
        <v>1147</v>
      </c>
      <c r="D42" s="126" t="s">
        <v>1173</v>
      </c>
      <c r="E42" s="126" t="s">
        <v>1429</v>
      </c>
      <c r="F42" s="187" t="s">
        <v>1446</v>
      </c>
      <c r="G42" s="187">
        <f t="shared" ref="G42" si="5">H42+I42</f>
        <v>0</v>
      </c>
      <c r="H42" s="187">
        <v>0</v>
      </c>
      <c r="I42" s="187">
        <v>0</v>
      </c>
      <c r="J42" s="187">
        <v>0</v>
      </c>
      <c r="K42" s="529"/>
      <c r="L42" s="529"/>
      <c r="M42" s="529"/>
    </row>
    <row r="43" spans="1:13" ht="276" hidden="1" thickTop="1" thickBot="1" x14ac:dyDescent="0.25">
      <c r="A43" s="126" t="s">
        <v>1171</v>
      </c>
      <c r="B43" s="126" t="s">
        <v>1172</v>
      </c>
      <c r="C43" s="126" t="s">
        <v>1147</v>
      </c>
      <c r="D43" s="126" t="s">
        <v>1173</v>
      </c>
      <c r="E43" s="187" t="s">
        <v>1327</v>
      </c>
      <c r="F43" s="187" t="s">
        <v>843</v>
      </c>
      <c r="G43" s="187">
        <f t="shared" si="4"/>
        <v>0</v>
      </c>
      <c r="H43" s="187">
        <v>0</v>
      </c>
      <c r="I43" s="187">
        <v>0</v>
      </c>
      <c r="J43" s="187">
        <v>0</v>
      </c>
      <c r="K43" s="137"/>
      <c r="L43" s="137"/>
      <c r="M43" s="137"/>
    </row>
    <row r="44" spans="1:13" ht="138.75" thickTop="1" thickBot="1" x14ac:dyDescent="0.25">
      <c r="A44" s="101" t="s">
        <v>1148</v>
      </c>
      <c r="B44" s="101" t="s">
        <v>1149</v>
      </c>
      <c r="C44" s="101" t="s">
        <v>1147</v>
      </c>
      <c r="D44" s="101" t="s">
        <v>1146</v>
      </c>
      <c r="E44" s="101" t="s">
        <v>1724</v>
      </c>
      <c r="F44" s="302" t="s">
        <v>1655</v>
      </c>
      <c r="G44" s="302">
        <f t="shared" si="4"/>
        <v>500000</v>
      </c>
      <c r="H44" s="302">
        <f>(100000+200000)+200000</f>
        <v>500000</v>
      </c>
      <c r="I44" s="302">
        <v>0</v>
      </c>
      <c r="J44" s="302">
        <v>0</v>
      </c>
    </row>
    <row r="45" spans="1:13" ht="138.75" thickTop="1" thickBot="1" x14ac:dyDescent="0.25">
      <c r="A45" s="101" t="s">
        <v>1148</v>
      </c>
      <c r="B45" s="101" t="s">
        <v>1149</v>
      </c>
      <c r="C45" s="101" t="s">
        <v>1147</v>
      </c>
      <c r="D45" s="101" t="s">
        <v>1146</v>
      </c>
      <c r="E45" s="302" t="s">
        <v>1578</v>
      </c>
      <c r="F45" s="302" t="s">
        <v>1447</v>
      </c>
      <c r="G45" s="302">
        <f>H45+I45</f>
        <v>9244059.7200000007</v>
      </c>
      <c r="H45" s="302">
        <f>(((6806114)+200000)+50000)+300000</f>
        <v>7356114</v>
      </c>
      <c r="I45" s="302">
        <f>(((0)+1400000)+287945.72)+200000</f>
        <v>1887945.72</v>
      </c>
      <c r="J45" s="302">
        <f>(((0)+1400000)+287945.72)+200000</f>
        <v>1887945.72</v>
      </c>
      <c r="K45" s="95" t="b">
        <f>H44+H45='d3'!E41</f>
        <v>1</v>
      </c>
      <c r="L45" s="426" t="b">
        <f>I44+I45='d3'!J41</f>
        <v>1</v>
      </c>
      <c r="M45" s="426" t="b">
        <f>J44+J45='d3'!K41</f>
        <v>1</v>
      </c>
    </row>
    <row r="46" spans="1:13" ht="138.75" thickTop="1" thickBot="1" x14ac:dyDescent="0.25">
      <c r="A46" s="101" t="s">
        <v>240</v>
      </c>
      <c r="B46" s="101" t="s">
        <v>241</v>
      </c>
      <c r="C46" s="101" t="s">
        <v>242</v>
      </c>
      <c r="D46" s="101" t="s">
        <v>1580</v>
      </c>
      <c r="E46" s="302" t="s">
        <v>1597</v>
      </c>
      <c r="F46" s="302" t="s">
        <v>1448</v>
      </c>
      <c r="G46" s="302">
        <f t="shared" si="4"/>
        <v>11748571</v>
      </c>
      <c r="H46" s="302">
        <f>'d3'!E43</f>
        <v>11148571</v>
      </c>
      <c r="I46" s="302">
        <f>'d3'!J43</f>
        <v>600000</v>
      </c>
      <c r="J46" s="302">
        <f>'d3'!K43</f>
        <v>600000</v>
      </c>
      <c r="K46" s="95" t="b">
        <f>H46='d3'!E43</f>
        <v>1</v>
      </c>
      <c r="L46" s="426" t="b">
        <f>I46='d3'!J43</f>
        <v>1</v>
      </c>
      <c r="M46" s="471" t="b">
        <f>J46='d3'!K43</f>
        <v>1</v>
      </c>
    </row>
    <row r="47" spans="1:13" ht="138.75" thickTop="1" thickBot="1" x14ac:dyDescent="0.25">
      <c r="A47" s="101" t="s">
        <v>243</v>
      </c>
      <c r="B47" s="101" t="s">
        <v>244</v>
      </c>
      <c r="C47" s="101" t="s">
        <v>43</v>
      </c>
      <c r="D47" s="101" t="s">
        <v>438</v>
      </c>
      <c r="E47" s="305" t="s">
        <v>1566</v>
      </c>
      <c r="F47" s="302" t="s">
        <v>1598</v>
      </c>
      <c r="G47" s="302">
        <f t="shared" si="4"/>
        <v>1359600</v>
      </c>
      <c r="H47" s="306">
        <f>'d3'!E46</f>
        <v>1359600</v>
      </c>
      <c r="I47" s="302">
        <f>'d3'!J46</f>
        <v>0</v>
      </c>
      <c r="J47" s="302">
        <f>'d3'!K46</f>
        <v>0</v>
      </c>
      <c r="K47" s="95" t="b">
        <f>H47='d3'!E46</f>
        <v>1</v>
      </c>
      <c r="L47" s="426" t="b">
        <f>I47='d3'!J46</f>
        <v>1</v>
      </c>
      <c r="M47" s="426" t="b">
        <f>J47='d3'!K46</f>
        <v>1</v>
      </c>
    </row>
    <row r="48" spans="1:13" ht="138.75" hidden="1" thickTop="1" thickBot="1" x14ac:dyDescent="0.25">
      <c r="A48" s="101" t="s">
        <v>568</v>
      </c>
      <c r="B48" s="101" t="s">
        <v>359</v>
      </c>
      <c r="C48" s="101" t="s">
        <v>43</v>
      </c>
      <c r="D48" s="101" t="s">
        <v>360</v>
      </c>
      <c r="E48" s="305" t="s">
        <v>1566</v>
      </c>
      <c r="F48" s="302" t="s">
        <v>1598</v>
      </c>
      <c r="G48" s="302">
        <f t="shared" si="4"/>
        <v>0</v>
      </c>
      <c r="H48" s="306">
        <f>'d3'!E47</f>
        <v>0</v>
      </c>
      <c r="I48" s="302">
        <f>'d3'!J47</f>
        <v>0</v>
      </c>
      <c r="J48" s="302">
        <f>'d3'!K47</f>
        <v>0</v>
      </c>
      <c r="K48" s="95" t="b">
        <f>H48='d3'!E47</f>
        <v>1</v>
      </c>
      <c r="L48" s="426" t="b">
        <f>I48='d3'!J47</f>
        <v>1</v>
      </c>
      <c r="M48" s="426" t="b">
        <f>J48='d3'!K47</f>
        <v>1</v>
      </c>
    </row>
    <row r="49" spans="1:13" ht="138.75" thickTop="1" thickBot="1" x14ac:dyDescent="0.25">
      <c r="A49" s="101" t="s">
        <v>508</v>
      </c>
      <c r="B49" s="101" t="s">
        <v>509</v>
      </c>
      <c r="C49" s="101" t="s">
        <v>43</v>
      </c>
      <c r="D49" s="101" t="s">
        <v>510</v>
      </c>
      <c r="E49" s="302" t="s">
        <v>1727</v>
      </c>
      <c r="F49" s="302" t="s">
        <v>1599</v>
      </c>
      <c r="G49" s="302">
        <f t="shared" ref="G49:G61" si="6">H49+I49</f>
        <v>217323827.43000001</v>
      </c>
      <c r="H49" s="302">
        <f>((((54500000+10000000)-32429356.72+5200000)+1000000+340000+200000+1000000+1000000+365000+400000+400000+199000+170000+100000+100000+500000+1000000+2000000+500000+500000+800000+3000000+2200000+500000+3500000+2000000)+2000000-204000+1000000+5000000+500000-2000000+1000000+1000000+1000000+500000-500000+1600000+300000+100000+16800+15500+100000+53205+341523.59-4000000-500000+200000+1000000+1700000-1500000)-1000000+465000+462000+1000000+1665000+150000+1000000+1500000+550000+254000+800000+2000000-0.4-4240+4240.4+15000+400000-1000000-1600000+200000+500000+120000+220000</f>
        <v>75468671.870000005</v>
      </c>
      <c r="I49" s="302">
        <f>((((0)+32785000-5200000+1500000)+4000000+2000000+4000000+2836000+1963500+500000+1000000+135000+6000000+200000+1431000+5000000+500000+2000000+1500000+1500000+1000000+1000000+2000000+1000000+1500000+2000000-2000000)+1000000+204000+500000+1000000+3000000+500000+1000000+5000000+200000+300000-5000000+5500000+1000000+1000000+2000000+2000000-16800+1000000+453000+520000+34110+482661.41+6500000+1500000+2000000+800000+1000000+1300000+150000)+35000+75000+2685000+1500000+1000000+1000000+1000000+500000+2000000+396000+3000000+3000000-10000-31000+41000+1200000+339000+211000+35000+800000+2600000-1500000+3000000+841684.15+1000000+1000000+500000+500000+2500000+8500000+2060000-3000000</f>
        <v>141855155.56</v>
      </c>
      <c r="J49" s="302">
        <f>((((0)+32785000-5200000+1500000)+4000000+2000000+4000000+2836000+1963500+500000+1000000+135000+6000000+200000+1431000+5000000+500000+2000000+1500000+1500000+1000000+1000000+2000000+1000000+1500000+2000000-2000000)+1000000+204000+500000+1000000+3000000+500000+1000000+5000000+200000+300000-5000000+5500000+1000000+1000000+2000000+2000000-16800+1000000+453000+520000+34110+482661.41+6500000+1500000+2000000+800000+1000000+1300000+150000)+35000+75000+2685000+1500000+1000000+1000000+1000000+500000+2000000+396000+3000000+3000000-10000-31000+41000+1200000+339000+211000+35000+800000+2600000-1500000+3000000+841684.15+1000000+1000000+500000+500000+2500000+8500000+2060000-3000000</f>
        <v>141855155.56</v>
      </c>
      <c r="K49" s="95" t="b">
        <f>H49+H50+H51+H52+H53+H54+H60+H55+H57+H59+H56+H61+H58='d3'!E48</f>
        <v>1</v>
      </c>
      <c r="L49" s="426" t="b">
        <f>I49+I50+I51+I52+I53+I54+I60+I57+I59+I55+I56+I61+I58='d3'!J48</f>
        <v>1</v>
      </c>
      <c r="M49" s="426" t="b">
        <f>J49+J50+J51+J52+J53+J54+J60+J57+J59+J55+J56+J61+J58='d3'!K48</f>
        <v>1</v>
      </c>
    </row>
    <row r="50" spans="1:13" ht="360.75" customHeight="1" thickTop="1" thickBot="1" x14ac:dyDescent="0.25">
      <c r="A50" s="101" t="s">
        <v>508</v>
      </c>
      <c r="B50" s="101" t="s">
        <v>509</v>
      </c>
      <c r="C50" s="101" t="s">
        <v>43</v>
      </c>
      <c r="D50" s="101" t="s">
        <v>510</v>
      </c>
      <c r="E50" s="302" t="s">
        <v>1327</v>
      </c>
      <c r="F50" s="302" t="s">
        <v>843</v>
      </c>
      <c r="G50" s="302">
        <f t="shared" si="6"/>
        <v>3000000</v>
      </c>
      <c r="H50" s="302">
        <f>(((500000)+500000)+1000000)+1000000</f>
        <v>3000000</v>
      </c>
      <c r="I50" s="302">
        <v>0</v>
      </c>
      <c r="J50" s="302">
        <v>0</v>
      </c>
      <c r="K50" s="242"/>
      <c r="L50" s="249"/>
      <c r="M50" s="250"/>
    </row>
    <row r="51" spans="1:13" ht="263.25" customHeight="1" thickTop="1" thickBot="1" x14ac:dyDescent="0.25">
      <c r="A51" s="101" t="s">
        <v>508</v>
      </c>
      <c r="B51" s="101" t="s">
        <v>509</v>
      </c>
      <c r="C51" s="101" t="s">
        <v>43</v>
      </c>
      <c r="D51" s="101" t="s">
        <v>510</v>
      </c>
      <c r="E51" s="302" t="s">
        <v>1009</v>
      </c>
      <c r="F51" s="302" t="s">
        <v>914</v>
      </c>
      <c r="G51" s="302">
        <f t="shared" si="6"/>
        <v>7000000</v>
      </c>
      <c r="H51" s="302">
        <f>((0+850000+350000+100000+450000)+250000+100000+565000)+1000000+450000</f>
        <v>4115000</v>
      </c>
      <c r="I51" s="302">
        <f>((0+250000)+1085000)+600000+400000+550000</f>
        <v>2885000</v>
      </c>
      <c r="J51" s="302">
        <f>((0+250000)+1085000)+600000+400000+550000</f>
        <v>2885000</v>
      </c>
      <c r="K51" s="242"/>
      <c r="L51" s="249"/>
      <c r="M51" s="250"/>
    </row>
    <row r="52" spans="1:13" ht="177.75" customHeight="1" thickTop="1" thickBot="1" x14ac:dyDescent="0.25">
      <c r="A52" s="101" t="s">
        <v>508</v>
      </c>
      <c r="B52" s="101" t="s">
        <v>509</v>
      </c>
      <c r="C52" s="101" t="s">
        <v>43</v>
      </c>
      <c r="D52" s="101" t="s">
        <v>510</v>
      </c>
      <c r="E52" s="302" t="s">
        <v>1687</v>
      </c>
      <c r="F52" s="302" t="s">
        <v>1689</v>
      </c>
      <c r="G52" s="302">
        <f t="shared" si="6"/>
        <v>10000000</v>
      </c>
      <c r="H52" s="302">
        <f>(0+2000000+3000000)+1000000</f>
        <v>6000000</v>
      </c>
      <c r="I52" s="302">
        <f>((0)+3000000)+1000000</f>
        <v>4000000</v>
      </c>
      <c r="J52" s="302">
        <f>((0)+3000000)+1000000</f>
        <v>4000000</v>
      </c>
      <c r="K52" s="242"/>
      <c r="L52" s="249"/>
      <c r="M52" s="250"/>
    </row>
    <row r="53" spans="1:13" ht="276" thickTop="1" thickBot="1" x14ac:dyDescent="0.25">
      <c r="A53" s="101" t="s">
        <v>508</v>
      </c>
      <c r="B53" s="101" t="s">
        <v>509</v>
      </c>
      <c r="C53" s="101" t="s">
        <v>43</v>
      </c>
      <c r="D53" s="101" t="s">
        <v>510</v>
      </c>
      <c r="E53" s="302" t="s">
        <v>1746</v>
      </c>
      <c r="F53" s="302" t="s">
        <v>1690</v>
      </c>
      <c r="G53" s="302">
        <f t="shared" si="6"/>
        <v>5500000</v>
      </c>
      <c r="H53" s="302">
        <f>(0+2000000)+1500000</f>
        <v>3500000</v>
      </c>
      <c r="I53" s="302">
        <f>2000000</f>
        <v>2000000</v>
      </c>
      <c r="J53" s="302">
        <f>2000000</f>
        <v>2000000</v>
      </c>
      <c r="K53" s="242"/>
      <c r="L53" s="249"/>
      <c r="M53" s="250"/>
    </row>
    <row r="54" spans="1:13" ht="138.75" thickTop="1" thickBot="1" x14ac:dyDescent="0.25">
      <c r="A54" s="101" t="s">
        <v>508</v>
      </c>
      <c r="B54" s="101" t="s">
        <v>509</v>
      </c>
      <c r="C54" s="101" t="s">
        <v>43</v>
      </c>
      <c r="D54" s="101" t="s">
        <v>510</v>
      </c>
      <c r="E54" s="302" t="s">
        <v>1747</v>
      </c>
      <c r="F54" s="302" t="s">
        <v>1726</v>
      </c>
      <c r="G54" s="302">
        <f>H54+I54</f>
        <v>3560000</v>
      </c>
      <c r="H54" s="302">
        <f>(1500000)+72200+264000</f>
        <v>1836200</v>
      </c>
      <c r="I54" s="302">
        <f>(0)+1663800+60000</f>
        <v>1723800</v>
      </c>
      <c r="J54" s="302">
        <f>(0)+1663800+60000</f>
        <v>1723800</v>
      </c>
      <c r="K54" s="242"/>
      <c r="L54" s="249"/>
      <c r="M54" s="250"/>
    </row>
    <row r="55" spans="1:13" ht="230.25" thickTop="1" thickBot="1" x14ac:dyDescent="0.25">
      <c r="A55" s="101" t="s">
        <v>508</v>
      </c>
      <c r="B55" s="101" t="s">
        <v>509</v>
      </c>
      <c r="C55" s="101" t="s">
        <v>43</v>
      </c>
      <c r="D55" s="101" t="s">
        <v>510</v>
      </c>
      <c r="E55" s="302" t="s">
        <v>1480</v>
      </c>
      <c r="F55" s="302" t="s">
        <v>1505</v>
      </c>
      <c r="G55" s="302">
        <f t="shared" si="6"/>
        <v>1000000</v>
      </c>
      <c r="H55" s="302">
        <v>1000000</v>
      </c>
      <c r="I55" s="302">
        <v>0</v>
      </c>
      <c r="J55" s="302">
        <v>0</v>
      </c>
      <c r="K55" s="242"/>
      <c r="L55" s="249"/>
      <c r="M55" s="250"/>
    </row>
    <row r="56" spans="1:13" ht="184.5" hidden="1" thickTop="1" thickBot="1" x14ac:dyDescent="0.25">
      <c r="A56" s="126" t="s">
        <v>508</v>
      </c>
      <c r="B56" s="126" t="s">
        <v>509</v>
      </c>
      <c r="C56" s="126" t="s">
        <v>43</v>
      </c>
      <c r="D56" s="126" t="s">
        <v>510</v>
      </c>
      <c r="E56" s="187" t="s">
        <v>1342</v>
      </c>
      <c r="F56" s="187" t="s">
        <v>1343</v>
      </c>
      <c r="G56" s="187">
        <f t="shared" si="6"/>
        <v>0</v>
      </c>
      <c r="H56" s="187"/>
      <c r="I56" s="187"/>
      <c r="J56" s="187"/>
      <c r="K56" s="242"/>
      <c r="L56" s="249"/>
      <c r="M56" s="250"/>
    </row>
    <row r="57" spans="1:13" ht="184.5" hidden="1" thickTop="1" thickBot="1" x14ac:dyDescent="0.25">
      <c r="A57" s="126" t="s">
        <v>508</v>
      </c>
      <c r="B57" s="126" t="s">
        <v>509</v>
      </c>
      <c r="C57" s="126" t="s">
        <v>43</v>
      </c>
      <c r="D57" s="126" t="s">
        <v>510</v>
      </c>
      <c r="E57" s="187" t="s">
        <v>1479</v>
      </c>
      <c r="F57" s="187"/>
      <c r="G57" s="187">
        <f t="shared" si="6"/>
        <v>0</v>
      </c>
      <c r="H57" s="187">
        <v>0</v>
      </c>
      <c r="I57" s="187">
        <f>800000-800000</f>
        <v>0</v>
      </c>
      <c r="J57" s="187">
        <f>800000-800000</f>
        <v>0</v>
      </c>
      <c r="K57" s="242"/>
      <c r="L57" s="249"/>
      <c r="M57" s="250"/>
    </row>
    <row r="58" spans="1:13" ht="184.5" hidden="1" thickTop="1" thickBot="1" x14ac:dyDescent="0.25">
      <c r="A58" s="126" t="s">
        <v>508</v>
      </c>
      <c r="B58" s="126" t="s">
        <v>509</v>
      </c>
      <c r="C58" s="126" t="s">
        <v>43</v>
      </c>
      <c r="D58" s="126" t="s">
        <v>510</v>
      </c>
      <c r="E58" s="187" t="s">
        <v>1516</v>
      </c>
      <c r="F58" s="187" t="s">
        <v>1506</v>
      </c>
      <c r="G58" s="187">
        <f t="shared" si="6"/>
        <v>0</v>
      </c>
      <c r="H58" s="187">
        <v>0</v>
      </c>
      <c r="I58" s="187">
        <v>0</v>
      </c>
      <c r="J58" s="187">
        <v>0</v>
      </c>
      <c r="K58" s="242"/>
      <c r="L58" s="249"/>
      <c r="M58" s="250"/>
    </row>
    <row r="59" spans="1:13" ht="367.5" thickTop="1" thickBot="1" x14ac:dyDescent="0.25">
      <c r="A59" s="101" t="s">
        <v>508</v>
      </c>
      <c r="B59" s="101" t="s">
        <v>509</v>
      </c>
      <c r="C59" s="101" t="s">
        <v>43</v>
      </c>
      <c r="D59" s="101" t="s">
        <v>510</v>
      </c>
      <c r="E59" s="302" t="s">
        <v>1742</v>
      </c>
      <c r="F59" s="302" t="s">
        <v>1743</v>
      </c>
      <c r="G59" s="302">
        <f t="shared" si="6"/>
        <v>500000</v>
      </c>
      <c r="H59" s="302">
        <f>450000+50000</f>
        <v>500000</v>
      </c>
      <c r="I59" s="302">
        <v>0</v>
      </c>
      <c r="J59" s="302">
        <v>0</v>
      </c>
      <c r="K59" s="242"/>
      <c r="L59" s="249"/>
      <c r="M59" s="250"/>
    </row>
    <row r="60" spans="1:13" ht="184.5" hidden="1" thickTop="1" thickBot="1" x14ac:dyDescent="0.25">
      <c r="A60" s="126" t="s">
        <v>508</v>
      </c>
      <c r="B60" s="126" t="s">
        <v>509</v>
      </c>
      <c r="C60" s="126" t="s">
        <v>43</v>
      </c>
      <c r="D60" s="126" t="s">
        <v>510</v>
      </c>
      <c r="E60" s="187" t="s">
        <v>1251</v>
      </c>
      <c r="F60" s="187" t="s">
        <v>931</v>
      </c>
      <c r="G60" s="187">
        <f t="shared" si="6"/>
        <v>0</v>
      </c>
      <c r="H60" s="187">
        <v>0</v>
      </c>
      <c r="I60" s="187">
        <v>0</v>
      </c>
      <c r="J60" s="187">
        <v>0</v>
      </c>
      <c r="K60" s="242"/>
      <c r="L60" s="249"/>
      <c r="M60" s="250"/>
    </row>
    <row r="61" spans="1:13" ht="230.25" hidden="1" thickTop="1" thickBot="1" x14ac:dyDescent="0.25">
      <c r="A61" s="126" t="s">
        <v>508</v>
      </c>
      <c r="B61" s="126" t="s">
        <v>509</v>
      </c>
      <c r="C61" s="126" t="s">
        <v>43</v>
      </c>
      <c r="D61" s="126" t="s">
        <v>510</v>
      </c>
      <c r="E61" s="187" t="s">
        <v>1378</v>
      </c>
      <c r="F61" s="187" t="s">
        <v>1379</v>
      </c>
      <c r="G61" s="187">
        <f t="shared" si="6"/>
        <v>0</v>
      </c>
      <c r="H61" s="187"/>
      <c r="I61" s="187"/>
      <c r="J61" s="187"/>
      <c r="K61" s="242"/>
      <c r="L61" s="249"/>
      <c r="M61" s="250"/>
    </row>
    <row r="62" spans="1:13" ht="102.75" customHeight="1" thickTop="1" thickBot="1" x14ac:dyDescent="0.25">
      <c r="A62" s="585" t="s">
        <v>151</v>
      </c>
      <c r="B62" s="585"/>
      <c r="C62" s="585"/>
      <c r="D62" s="586" t="s">
        <v>0</v>
      </c>
      <c r="E62" s="585"/>
      <c r="F62" s="585"/>
      <c r="G62" s="587">
        <f>G63</f>
        <v>2615612993.6000009</v>
      </c>
      <c r="H62" s="587">
        <f t="shared" ref="H62:J62" si="7">H63</f>
        <v>2233075390.9400001</v>
      </c>
      <c r="I62" s="587">
        <f t="shared" si="7"/>
        <v>382537602.65999997</v>
      </c>
      <c r="J62" s="587">
        <f t="shared" si="7"/>
        <v>90126191.150000006</v>
      </c>
      <c r="K62" s="95" t="b">
        <f>H62='d3'!E50</f>
        <v>1</v>
      </c>
      <c r="L62" s="426" t="b">
        <f>I62='d3'!J50</f>
        <v>1</v>
      </c>
      <c r="M62" s="471" t="b">
        <f>J62='d3'!K49</f>
        <v>1</v>
      </c>
    </row>
    <row r="63" spans="1:13" ht="110.25" customHeight="1" thickTop="1" thickBot="1" x14ac:dyDescent="0.25">
      <c r="A63" s="588" t="s">
        <v>152</v>
      </c>
      <c r="B63" s="588"/>
      <c r="C63" s="588"/>
      <c r="D63" s="589" t="s">
        <v>1</v>
      </c>
      <c r="E63" s="590"/>
      <c r="F63" s="590"/>
      <c r="G63" s="590">
        <f>SUM(G64:G115)</f>
        <v>2615612993.6000009</v>
      </c>
      <c r="H63" s="590">
        <f>SUM(H64:H115)</f>
        <v>2233075390.9400001</v>
      </c>
      <c r="I63" s="590">
        <f>SUM(I64:I115)</f>
        <v>382537602.65999997</v>
      </c>
      <c r="J63" s="590">
        <f>SUM(J64:J115)</f>
        <v>90126191.150000006</v>
      </c>
      <c r="K63" s="137"/>
      <c r="L63" s="137"/>
      <c r="M63" s="137"/>
    </row>
    <row r="64" spans="1:13" ht="138.75" thickTop="1" thickBot="1" x14ac:dyDescent="0.25">
      <c r="A64" s="101" t="s">
        <v>197</v>
      </c>
      <c r="B64" s="101" t="s">
        <v>198</v>
      </c>
      <c r="C64" s="101" t="s">
        <v>200</v>
      </c>
      <c r="D64" s="101" t="s">
        <v>201</v>
      </c>
      <c r="E64" s="305" t="s">
        <v>1335</v>
      </c>
      <c r="F64" s="302" t="s">
        <v>1129</v>
      </c>
      <c r="G64" s="302">
        <f t="shared" ref="G64:G83" si="8">H64+I64</f>
        <v>744818440.41999996</v>
      </c>
      <c r="H64" s="302">
        <f>'d3'!E52-H65-H66</f>
        <v>634751646.41999996</v>
      </c>
      <c r="I64" s="302">
        <f>'d3'!J52-I65-I66</f>
        <v>110066794</v>
      </c>
      <c r="J64" s="302">
        <f>'d3'!K52-J65-J66</f>
        <v>2189964</v>
      </c>
      <c r="K64" s="95" t="b">
        <f>H64+H65+H66='d3'!E52</f>
        <v>1</v>
      </c>
      <c r="L64" s="426" t="b">
        <f>I64+I65+I66='d3'!J52</f>
        <v>1</v>
      </c>
      <c r="M64" s="426" t="b">
        <f>J64+J65+J66='d3'!K52</f>
        <v>1</v>
      </c>
    </row>
    <row r="65" spans="1:13" ht="138.75" thickTop="1" thickBot="1" x14ac:dyDescent="0.25">
      <c r="A65" s="101" t="s">
        <v>197</v>
      </c>
      <c r="B65" s="101" t="s">
        <v>198</v>
      </c>
      <c r="C65" s="101" t="s">
        <v>200</v>
      </c>
      <c r="D65" s="101" t="s">
        <v>201</v>
      </c>
      <c r="E65" s="305" t="s">
        <v>1498</v>
      </c>
      <c r="F65" s="302" t="s">
        <v>1499</v>
      </c>
      <c r="G65" s="302">
        <f>H65+I65</f>
        <v>597210</v>
      </c>
      <c r="H65" s="302">
        <f>141704+349954</f>
        <v>491658</v>
      </c>
      <c r="I65" s="302">
        <v>105552</v>
      </c>
      <c r="J65" s="302">
        <v>105552</v>
      </c>
      <c r="K65" s="137"/>
      <c r="L65" s="137"/>
      <c r="M65" s="137"/>
    </row>
    <row r="66" spans="1:13" ht="276" hidden="1" thickTop="1" thickBot="1" x14ac:dyDescent="0.25">
      <c r="A66" s="126" t="s">
        <v>197</v>
      </c>
      <c r="B66" s="126" t="s">
        <v>198</v>
      </c>
      <c r="C66" s="126" t="s">
        <v>200</v>
      </c>
      <c r="D66" s="126" t="s">
        <v>201</v>
      </c>
      <c r="E66" s="187" t="s">
        <v>1327</v>
      </c>
      <c r="F66" s="187" t="s">
        <v>843</v>
      </c>
      <c r="G66" s="187">
        <f t="shared" si="8"/>
        <v>0</v>
      </c>
      <c r="H66" s="187"/>
      <c r="I66" s="187"/>
      <c r="J66" s="187"/>
      <c r="K66" s="137"/>
      <c r="L66" s="137"/>
      <c r="M66" s="137"/>
    </row>
    <row r="67" spans="1:13" ht="138.75" thickTop="1" thickBot="1" x14ac:dyDescent="0.25">
      <c r="A67" s="101" t="s">
        <v>632</v>
      </c>
      <c r="B67" s="101" t="s">
        <v>633</v>
      </c>
      <c r="C67" s="101" t="s">
        <v>203</v>
      </c>
      <c r="D67" s="101" t="s">
        <v>1232</v>
      </c>
      <c r="E67" s="305" t="s">
        <v>1335</v>
      </c>
      <c r="F67" s="302" t="s">
        <v>1129</v>
      </c>
      <c r="G67" s="302">
        <f t="shared" si="8"/>
        <v>575463112.58000004</v>
      </c>
      <c r="H67" s="302">
        <f>'d3'!E54-H68-H69-H70</f>
        <v>466715455.26000005</v>
      </c>
      <c r="I67" s="302">
        <f>'d3'!J54-I68-I69-I70</f>
        <v>108747657.31999999</v>
      </c>
      <c r="J67" s="302">
        <f>'d3'!K54-J68-J69-J70</f>
        <v>9167297.3200000003</v>
      </c>
      <c r="K67" s="95" t="b">
        <f>H67+H68+H69+H70='d3'!E54</f>
        <v>1</v>
      </c>
      <c r="L67" s="426" t="b">
        <f>I67+I68+I69+I70='d3'!J54</f>
        <v>1</v>
      </c>
      <c r="M67" s="426" t="b">
        <f>J67+J68+J69='d3'!K54</f>
        <v>1</v>
      </c>
    </row>
    <row r="68" spans="1:13" ht="138.75" thickTop="1" thickBot="1" x14ac:dyDescent="0.25">
      <c r="A68" s="101" t="s">
        <v>632</v>
      </c>
      <c r="B68" s="101" t="s">
        <v>633</v>
      </c>
      <c r="C68" s="101" t="s">
        <v>203</v>
      </c>
      <c r="D68" s="101" t="s">
        <v>1232</v>
      </c>
      <c r="E68" s="305" t="s">
        <v>1498</v>
      </c>
      <c r="F68" s="302" t="s">
        <v>1499</v>
      </c>
      <c r="G68" s="302">
        <f t="shared" si="8"/>
        <v>1212191</v>
      </c>
      <c r="H68" s="302">
        <f>157075+29000+65000+350000</f>
        <v>601075</v>
      </c>
      <c r="I68" s="302">
        <f>94500+166700+349916</f>
        <v>611116</v>
      </c>
      <c r="J68" s="302">
        <f>94500+166700+349916</f>
        <v>611116</v>
      </c>
      <c r="K68" s="246"/>
      <c r="L68" s="137"/>
      <c r="M68" s="137"/>
    </row>
    <row r="69" spans="1:13" ht="138.75" hidden="1" thickTop="1" thickBot="1" x14ac:dyDescent="0.25">
      <c r="A69" s="41" t="s">
        <v>632</v>
      </c>
      <c r="B69" s="41" t="s">
        <v>633</v>
      </c>
      <c r="C69" s="41" t="s">
        <v>203</v>
      </c>
      <c r="D69" s="126" t="s">
        <v>1232</v>
      </c>
      <c r="E69" s="243" t="s">
        <v>1128</v>
      </c>
      <c r="F69" s="187" t="s">
        <v>1129</v>
      </c>
      <c r="G69" s="73">
        <f>H69+I69</f>
        <v>0</v>
      </c>
      <c r="H69" s="73">
        <v>0</v>
      </c>
      <c r="I69" s="73">
        <v>0</v>
      </c>
      <c r="J69" s="73">
        <v>0</v>
      </c>
      <c r="K69" s="137"/>
      <c r="L69" s="137"/>
      <c r="M69" s="137"/>
    </row>
    <row r="70" spans="1:13" ht="276" hidden="1" thickTop="1" thickBot="1" x14ac:dyDescent="0.25">
      <c r="A70" s="126" t="s">
        <v>632</v>
      </c>
      <c r="B70" s="126" t="s">
        <v>633</v>
      </c>
      <c r="C70" s="126" t="s">
        <v>203</v>
      </c>
      <c r="D70" s="126" t="s">
        <v>1232</v>
      </c>
      <c r="E70" s="187" t="s">
        <v>1327</v>
      </c>
      <c r="F70" s="187" t="s">
        <v>843</v>
      </c>
      <c r="G70" s="187">
        <f t="shared" si="8"/>
        <v>0</v>
      </c>
      <c r="H70" s="187"/>
      <c r="I70" s="187"/>
      <c r="J70" s="187"/>
      <c r="K70" s="137"/>
      <c r="L70" s="137"/>
      <c r="M70" s="137"/>
    </row>
    <row r="71" spans="1:13" ht="315" customHeight="1" thickTop="1" thickBot="1" x14ac:dyDescent="0.25">
      <c r="A71" s="101" t="s">
        <v>640</v>
      </c>
      <c r="B71" s="101" t="s">
        <v>641</v>
      </c>
      <c r="C71" s="101" t="s">
        <v>206</v>
      </c>
      <c r="D71" s="101" t="s">
        <v>1584</v>
      </c>
      <c r="E71" s="305" t="s">
        <v>1335</v>
      </c>
      <c r="F71" s="302" t="s">
        <v>1129</v>
      </c>
      <c r="G71" s="302">
        <f t="shared" si="8"/>
        <v>30695140.309999999</v>
      </c>
      <c r="H71" s="302">
        <f>'d3'!E55-H72</f>
        <v>30493040.309999999</v>
      </c>
      <c r="I71" s="302">
        <f>'d3'!J55-I72</f>
        <v>202100</v>
      </c>
      <c r="J71" s="302">
        <f>'d3'!K55-J72</f>
        <v>30000</v>
      </c>
      <c r="K71" s="95" t="b">
        <f>H71+H72='d3'!E55</f>
        <v>1</v>
      </c>
      <c r="L71" s="95" t="b">
        <f>I71+I72='d3'!J55</f>
        <v>1</v>
      </c>
      <c r="M71" s="95" t="b">
        <f>J71+J72='d3'!K55</f>
        <v>1</v>
      </c>
    </row>
    <row r="72" spans="1:13" ht="184.5" hidden="1" thickTop="1" thickBot="1" x14ac:dyDescent="0.25">
      <c r="A72" s="41" t="s">
        <v>640</v>
      </c>
      <c r="B72" s="41" t="s">
        <v>641</v>
      </c>
      <c r="C72" s="41" t="s">
        <v>206</v>
      </c>
      <c r="D72" s="41" t="s">
        <v>492</v>
      </c>
      <c r="E72" s="246" t="s">
        <v>576</v>
      </c>
      <c r="F72" s="73" t="s">
        <v>403</v>
      </c>
      <c r="G72" s="73">
        <f t="shared" si="8"/>
        <v>0</v>
      </c>
      <c r="H72" s="73">
        <v>0</v>
      </c>
      <c r="I72" s="73"/>
      <c r="J72" s="73"/>
      <c r="K72" s="246" t="s">
        <v>556</v>
      </c>
      <c r="L72" s="137"/>
      <c r="M72" s="137"/>
    </row>
    <row r="73" spans="1:13" ht="138.75" thickTop="1" thickBot="1" x14ac:dyDescent="0.25">
      <c r="A73" s="101" t="s">
        <v>974</v>
      </c>
      <c r="B73" s="101" t="s">
        <v>975</v>
      </c>
      <c r="C73" s="101" t="s">
        <v>206</v>
      </c>
      <c r="D73" s="101" t="s">
        <v>1233</v>
      </c>
      <c r="E73" s="305" t="s">
        <v>1335</v>
      </c>
      <c r="F73" s="302" t="s">
        <v>1129</v>
      </c>
      <c r="G73" s="302">
        <f t="shared" si="8"/>
        <v>17740601.829999998</v>
      </c>
      <c r="H73" s="302">
        <f>'d3'!E56</f>
        <v>17725601.829999998</v>
      </c>
      <c r="I73" s="302">
        <f>'d3'!J56</f>
        <v>15000</v>
      </c>
      <c r="J73" s="302">
        <f>'d3'!K56</f>
        <v>15000</v>
      </c>
      <c r="K73" s="252"/>
      <c r="L73" s="137"/>
      <c r="M73" s="137"/>
    </row>
    <row r="74" spans="1:13" ht="138.75" thickTop="1" thickBot="1" x14ac:dyDescent="0.25">
      <c r="A74" s="101" t="s">
        <v>647</v>
      </c>
      <c r="B74" s="101" t="s">
        <v>648</v>
      </c>
      <c r="C74" s="101" t="s">
        <v>203</v>
      </c>
      <c r="D74" s="101" t="s">
        <v>1234</v>
      </c>
      <c r="E74" s="305" t="s">
        <v>1335</v>
      </c>
      <c r="F74" s="302" t="s">
        <v>1129</v>
      </c>
      <c r="G74" s="302">
        <f t="shared" si="8"/>
        <v>756543170</v>
      </c>
      <c r="H74" s="302">
        <f>'d3'!E58</f>
        <v>756543170</v>
      </c>
      <c r="I74" s="302">
        <f>'d3'!J58</f>
        <v>0</v>
      </c>
      <c r="J74" s="302">
        <f>'d3'!K58</f>
        <v>0</v>
      </c>
      <c r="K74" s="252"/>
      <c r="L74" s="137"/>
      <c r="M74" s="137"/>
    </row>
    <row r="75" spans="1:13" ht="138.75" thickTop="1" thickBot="1" x14ac:dyDescent="0.25">
      <c r="A75" s="101" t="s">
        <v>1092</v>
      </c>
      <c r="B75" s="101" t="s">
        <v>1093</v>
      </c>
      <c r="C75" s="101" t="s">
        <v>206</v>
      </c>
      <c r="D75" s="101" t="s">
        <v>1235</v>
      </c>
      <c r="E75" s="305" t="s">
        <v>1335</v>
      </c>
      <c r="F75" s="302" t="s">
        <v>1129</v>
      </c>
      <c r="G75" s="302">
        <f t="shared" ref="G75" si="9">H75+I75</f>
        <v>9733110</v>
      </c>
      <c r="H75" s="302">
        <f>'d3'!E59</f>
        <v>9733110</v>
      </c>
      <c r="I75" s="302">
        <f>'d3'!J59</f>
        <v>0</v>
      </c>
      <c r="J75" s="302">
        <f>'d3'!K59</f>
        <v>0</v>
      </c>
      <c r="K75" s="252"/>
      <c r="L75" s="137"/>
      <c r="M75" s="137"/>
    </row>
    <row r="76" spans="1:13" ht="339.75" hidden="1" customHeight="1" thickTop="1" thickBot="1" x14ac:dyDescent="0.25">
      <c r="A76" s="126" t="s">
        <v>911</v>
      </c>
      <c r="B76" s="126" t="s">
        <v>912</v>
      </c>
      <c r="C76" s="126" t="s">
        <v>203</v>
      </c>
      <c r="D76" s="126" t="s">
        <v>1586</v>
      </c>
      <c r="E76" s="243" t="s">
        <v>1335</v>
      </c>
      <c r="F76" s="187" t="s">
        <v>1129</v>
      </c>
      <c r="G76" s="187">
        <f t="shared" si="8"/>
        <v>0</v>
      </c>
      <c r="H76" s="187">
        <f>'d3'!E61</f>
        <v>0</v>
      </c>
      <c r="I76" s="187">
        <f>'d3'!J61</f>
        <v>0</v>
      </c>
      <c r="J76" s="187">
        <f>'d3'!K61</f>
        <v>0</v>
      </c>
      <c r="K76" s="255"/>
      <c r="L76" s="137"/>
      <c r="M76" s="137"/>
    </row>
    <row r="77" spans="1:13" ht="138.75" thickTop="1" thickBot="1" x14ac:dyDescent="0.25">
      <c r="A77" s="101" t="s">
        <v>649</v>
      </c>
      <c r="B77" s="101" t="s">
        <v>205</v>
      </c>
      <c r="C77" s="101" t="s">
        <v>180</v>
      </c>
      <c r="D77" s="101" t="s">
        <v>494</v>
      </c>
      <c r="E77" s="305" t="s">
        <v>1335</v>
      </c>
      <c r="F77" s="302" t="s">
        <v>1129</v>
      </c>
      <c r="G77" s="302">
        <f t="shared" si="8"/>
        <v>39844096.170000002</v>
      </c>
      <c r="H77" s="302">
        <f>'d3'!E62-H79-H78</f>
        <v>36769537.880000003</v>
      </c>
      <c r="I77" s="302">
        <f>'d3'!J62-I79-I78</f>
        <v>3074558.29</v>
      </c>
      <c r="J77" s="302">
        <f>'d3'!K62-J79-J78</f>
        <v>1606698.29</v>
      </c>
      <c r="K77" s="95" t="b">
        <f>H77+H79+H78='d3'!E62</f>
        <v>1</v>
      </c>
      <c r="L77" s="95" t="b">
        <f>I77+I79+I78='d3'!J62</f>
        <v>1</v>
      </c>
      <c r="M77" s="95" t="b">
        <f>J77+J79+J78='d3'!K62</f>
        <v>1</v>
      </c>
    </row>
    <row r="78" spans="1:13" ht="138.75" hidden="1" thickTop="1" thickBot="1" x14ac:dyDescent="0.25">
      <c r="A78" s="126" t="s">
        <v>649</v>
      </c>
      <c r="B78" s="126" t="s">
        <v>205</v>
      </c>
      <c r="C78" s="126" t="s">
        <v>180</v>
      </c>
      <c r="D78" s="126" t="s">
        <v>494</v>
      </c>
      <c r="E78" s="243" t="s">
        <v>1498</v>
      </c>
      <c r="F78" s="187" t="s">
        <v>1499</v>
      </c>
      <c r="G78" s="187">
        <f t="shared" si="8"/>
        <v>0</v>
      </c>
      <c r="H78" s="187"/>
      <c r="I78" s="187"/>
      <c r="J78" s="187"/>
      <c r="K78" s="529"/>
      <c r="L78" s="529"/>
      <c r="M78" s="529"/>
    </row>
    <row r="79" spans="1:13" ht="276" hidden="1" thickTop="1" thickBot="1" x14ac:dyDescent="0.25">
      <c r="A79" s="126" t="s">
        <v>649</v>
      </c>
      <c r="B79" s="126" t="s">
        <v>205</v>
      </c>
      <c r="C79" s="126" t="s">
        <v>180</v>
      </c>
      <c r="D79" s="126" t="s">
        <v>494</v>
      </c>
      <c r="E79" s="187" t="s">
        <v>1327</v>
      </c>
      <c r="F79" s="187" t="s">
        <v>843</v>
      </c>
      <c r="G79" s="187">
        <f t="shared" si="8"/>
        <v>0</v>
      </c>
      <c r="H79" s="187"/>
      <c r="I79" s="187"/>
      <c r="J79" s="187"/>
      <c r="K79" s="137"/>
      <c r="L79" s="137"/>
      <c r="M79" s="137"/>
    </row>
    <row r="80" spans="1:13" ht="138.75" thickTop="1" thickBot="1" x14ac:dyDescent="0.25">
      <c r="A80" s="101" t="s">
        <v>650</v>
      </c>
      <c r="B80" s="101" t="s">
        <v>651</v>
      </c>
      <c r="C80" s="101" t="s">
        <v>208</v>
      </c>
      <c r="D80" s="101" t="s">
        <v>652</v>
      </c>
      <c r="E80" s="305" t="s">
        <v>1335</v>
      </c>
      <c r="F80" s="302" t="s">
        <v>1129</v>
      </c>
      <c r="G80" s="302">
        <f t="shared" si="8"/>
        <v>205869252.04000002</v>
      </c>
      <c r="H80" s="302">
        <f>'d3'!E64-H82-H81</f>
        <v>167476955.95000002</v>
      </c>
      <c r="I80" s="302">
        <f>'d3'!J64-I82-I81</f>
        <v>38392296.090000004</v>
      </c>
      <c r="J80" s="302">
        <f>'d3'!K64-J82-J81</f>
        <v>4072296.09</v>
      </c>
      <c r="K80" s="95" t="b">
        <f>H80+H82+H81='d3'!E64</f>
        <v>1</v>
      </c>
      <c r="L80" s="95" t="b">
        <f>I80+I82+I81='d3'!J64</f>
        <v>1</v>
      </c>
      <c r="M80" s="95" t="b">
        <f>J80+J82+J81='d3'!K64</f>
        <v>1</v>
      </c>
    </row>
    <row r="81" spans="1:13" ht="138.75" hidden="1" thickTop="1" thickBot="1" x14ac:dyDescent="0.25">
      <c r="A81" s="126" t="s">
        <v>650</v>
      </c>
      <c r="B81" s="126" t="s">
        <v>651</v>
      </c>
      <c r="C81" s="126" t="s">
        <v>208</v>
      </c>
      <c r="D81" s="126" t="s">
        <v>652</v>
      </c>
      <c r="E81" s="243" t="s">
        <v>1498</v>
      </c>
      <c r="F81" s="187" t="s">
        <v>1499</v>
      </c>
      <c r="G81" s="187">
        <f t="shared" si="8"/>
        <v>0</v>
      </c>
      <c r="H81" s="187"/>
      <c r="I81" s="187"/>
      <c r="J81" s="187"/>
      <c r="K81" s="529"/>
      <c r="L81" s="529"/>
      <c r="M81" s="529"/>
    </row>
    <row r="82" spans="1:13" ht="276" hidden="1" thickTop="1" thickBot="1" x14ac:dyDescent="0.25">
      <c r="A82" s="126" t="s">
        <v>650</v>
      </c>
      <c r="B82" s="126" t="s">
        <v>651</v>
      </c>
      <c r="C82" s="126" t="s">
        <v>208</v>
      </c>
      <c r="D82" s="126" t="s">
        <v>652</v>
      </c>
      <c r="E82" s="187" t="s">
        <v>1327</v>
      </c>
      <c r="F82" s="187" t="s">
        <v>843</v>
      </c>
      <c r="G82" s="187">
        <f t="shared" si="8"/>
        <v>0</v>
      </c>
      <c r="H82" s="187"/>
      <c r="I82" s="187"/>
      <c r="J82" s="187"/>
      <c r="K82" s="137"/>
      <c r="L82" s="137"/>
      <c r="M82" s="137"/>
    </row>
    <row r="83" spans="1:13" ht="138.75" thickTop="1" thickBot="1" x14ac:dyDescent="0.25">
      <c r="A83" s="101" t="s">
        <v>654</v>
      </c>
      <c r="B83" s="101" t="s">
        <v>653</v>
      </c>
      <c r="C83" s="101" t="s">
        <v>208</v>
      </c>
      <c r="D83" s="101" t="s">
        <v>655</v>
      </c>
      <c r="E83" s="305" t="s">
        <v>1335</v>
      </c>
      <c r="F83" s="302" t="s">
        <v>1129</v>
      </c>
      <c r="G83" s="302">
        <f t="shared" si="8"/>
        <v>24352520</v>
      </c>
      <c r="H83" s="302">
        <f>'d3'!E65</f>
        <v>24352520</v>
      </c>
      <c r="I83" s="302">
        <f>'d3'!J65</f>
        <v>0</v>
      </c>
      <c r="J83" s="302">
        <f>'d3'!K65</f>
        <v>0</v>
      </c>
      <c r="K83" s="137"/>
      <c r="L83" s="137"/>
      <c r="M83" s="137"/>
    </row>
    <row r="84" spans="1:13" ht="138.75" thickTop="1" thickBot="1" x14ac:dyDescent="0.25">
      <c r="A84" s="101" t="s">
        <v>659</v>
      </c>
      <c r="B84" s="101" t="s">
        <v>660</v>
      </c>
      <c r="C84" s="101" t="s">
        <v>209</v>
      </c>
      <c r="D84" s="101" t="s">
        <v>496</v>
      </c>
      <c r="E84" s="305" t="s">
        <v>1335</v>
      </c>
      <c r="F84" s="302" t="s">
        <v>1129</v>
      </c>
      <c r="G84" s="302">
        <f t="shared" ref="G84" si="10">H84+I84</f>
        <v>28566733.640000001</v>
      </c>
      <c r="H84" s="302">
        <f>'d3'!E67</f>
        <v>28213473.640000001</v>
      </c>
      <c r="I84" s="302">
        <f>'d3'!J67</f>
        <v>353260</v>
      </c>
      <c r="J84" s="302">
        <f>'d3'!K67</f>
        <v>50000</v>
      </c>
      <c r="K84" s="137"/>
      <c r="L84" s="137"/>
      <c r="M84" s="137"/>
    </row>
    <row r="85" spans="1:13" ht="138.75" thickTop="1" thickBot="1" x14ac:dyDescent="0.25">
      <c r="A85" s="101" t="s">
        <v>661</v>
      </c>
      <c r="B85" s="101" t="s">
        <v>662</v>
      </c>
      <c r="C85" s="101" t="s">
        <v>209</v>
      </c>
      <c r="D85" s="101" t="s">
        <v>334</v>
      </c>
      <c r="E85" s="305" t="s">
        <v>1335</v>
      </c>
      <c r="F85" s="302" t="s">
        <v>1129</v>
      </c>
      <c r="G85" s="302">
        <f>H85+I85</f>
        <v>1712540</v>
      </c>
      <c r="H85" s="302">
        <f>'d3'!E68-H86</f>
        <v>1352220</v>
      </c>
      <c r="I85" s="302">
        <f>'d3'!J68-I86</f>
        <v>360320</v>
      </c>
      <c r="J85" s="302">
        <f>'d3'!K68-J86</f>
        <v>360320</v>
      </c>
      <c r="K85" s="469" t="b">
        <f>H85+H86='d3'!E68</f>
        <v>1</v>
      </c>
      <c r="L85" s="470" t="b">
        <f>I85+I86='d3'!J68</f>
        <v>1</v>
      </c>
      <c r="M85" s="470" t="b">
        <f>J85+J86='d3'!K68</f>
        <v>1</v>
      </c>
    </row>
    <row r="86" spans="1:13" ht="230.25" hidden="1" customHeight="1" thickTop="1" thickBot="1" x14ac:dyDescent="0.25">
      <c r="A86" s="41" t="s">
        <v>661</v>
      </c>
      <c r="B86" s="41" t="s">
        <v>662</v>
      </c>
      <c r="C86" s="41" t="s">
        <v>209</v>
      </c>
      <c r="D86" s="41" t="s">
        <v>334</v>
      </c>
      <c r="E86" s="243" t="s">
        <v>1128</v>
      </c>
      <c r="F86" s="187" t="s">
        <v>1129</v>
      </c>
      <c r="G86" s="73">
        <f>H86+I86</f>
        <v>0</v>
      </c>
      <c r="H86" s="73"/>
      <c r="I86" s="73"/>
      <c r="J86" s="73"/>
      <c r="K86" s="246" t="s">
        <v>557</v>
      </c>
      <c r="L86" s="137"/>
      <c r="M86" s="137"/>
    </row>
    <row r="87" spans="1:13" ht="138.75" thickTop="1" thickBot="1" x14ac:dyDescent="0.25">
      <c r="A87" s="101" t="s">
        <v>665</v>
      </c>
      <c r="B87" s="101" t="s">
        <v>666</v>
      </c>
      <c r="C87" s="101" t="s">
        <v>209</v>
      </c>
      <c r="D87" s="101" t="s">
        <v>667</v>
      </c>
      <c r="E87" s="305" t="s">
        <v>1335</v>
      </c>
      <c r="F87" s="302" t="s">
        <v>1129</v>
      </c>
      <c r="G87" s="302">
        <f t="shared" ref="G87:G88" si="11">H87+I87</f>
        <v>1673947.42</v>
      </c>
      <c r="H87" s="302">
        <f>'d3'!E70</f>
        <v>1661387.42</v>
      </c>
      <c r="I87" s="302">
        <f>'d3'!J70</f>
        <v>12560</v>
      </c>
      <c r="J87" s="302">
        <f>'d3'!K70</f>
        <v>12560</v>
      </c>
      <c r="K87" s="137"/>
      <c r="L87" s="137"/>
      <c r="M87" s="137"/>
    </row>
    <row r="88" spans="1:13" ht="138.75" thickTop="1" thickBot="1" x14ac:dyDescent="0.25">
      <c r="A88" s="101" t="s">
        <v>668</v>
      </c>
      <c r="B88" s="101" t="s">
        <v>669</v>
      </c>
      <c r="C88" s="101" t="s">
        <v>209</v>
      </c>
      <c r="D88" s="101" t="s">
        <v>670</v>
      </c>
      <c r="E88" s="305" t="s">
        <v>1335</v>
      </c>
      <c r="F88" s="302" t="s">
        <v>1129</v>
      </c>
      <c r="G88" s="302">
        <f t="shared" si="11"/>
        <v>5340400</v>
      </c>
      <c r="H88" s="302">
        <f>'d3'!E71</f>
        <v>5340400</v>
      </c>
      <c r="I88" s="302">
        <f>'d3'!J71</f>
        <v>0</v>
      </c>
      <c r="J88" s="302">
        <f>'d3'!K71</f>
        <v>0</v>
      </c>
      <c r="K88" s="137"/>
      <c r="L88" s="137"/>
      <c r="M88" s="137"/>
    </row>
    <row r="89" spans="1:13" ht="138.75" thickTop="1" thickBot="1" x14ac:dyDescent="0.25">
      <c r="A89" s="101" t="s">
        <v>637</v>
      </c>
      <c r="B89" s="101" t="s">
        <v>638</v>
      </c>
      <c r="C89" s="101" t="s">
        <v>209</v>
      </c>
      <c r="D89" s="101" t="s">
        <v>639</v>
      </c>
      <c r="E89" s="305" t="s">
        <v>1335</v>
      </c>
      <c r="F89" s="302" t="s">
        <v>1129</v>
      </c>
      <c r="G89" s="302">
        <f t="shared" ref="G89:G90" si="12">H89+I89</f>
        <v>3467387</v>
      </c>
      <c r="H89" s="302">
        <f>'d3'!E72</f>
        <v>3467387</v>
      </c>
      <c r="I89" s="302">
        <f>'d3'!J72</f>
        <v>0</v>
      </c>
      <c r="J89" s="302">
        <f>'d3'!K72</f>
        <v>0</v>
      </c>
      <c r="K89" s="137"/>
      <c r="L89" s="137"/>
      <c r="M89" s="137"/>
    </row>
    <row r="90" spans="1:13" ht="184.5" hidden="1" thickTop="1" thickBot="1" x14ac:dyDescent="0.25">
      <c r="A90" s="126" t="s">
        <v>644</v>
      </c>
      <c r="B90" s="126" t="s">
        <v>645</v>
      </c>
      <c r="C90" s="126" t="s">
        <v>209</v>
      </c>
      <c r="D90" s="126" t="s">
        <v>1519</v>
      </c>
      <c r="E90" s="243" t="s">
        <v>1335</v>
      </c>
      <c r="F90" s="187" t="s">
        <v>1129</v>
      </c>
      <c r="G90" s="187">
        <f t="shared" si="12"/>
        <v>0</v>
      </c>
      <c r="H90" s="187">
        <f>'d3'!E74</f>
        <v>0</v>
      </c>
      <c r="I90" s="187">
        <f>'d3'!J74</f>
        <v>0</v>
      </c>
      <c r="J90" s="187">
        <f>'d3'!K74</f>
        <v>0</v>
      </c>
      <c r="K90" s="137"/>
      <c r="L90" s="137"/>
      <c r="M90" s="137"/>
    </row>
    <row r="91" spans="1:13" ht="184.5" hidden="1" thickTop="1" thickBot="1" x14ac:dyDescent="0.25">
      <c r="A91" s="126" t="s">
        <v>959</v>
      </c>
      <c r="B91" s="126" t="s">
        <v>960</v>
      </c>
      <c r="C91" s="126" t="s">
        <v>209</v>
      </c>
      <c r="D91" s="126" t="s">
        <v>1520</v>
      </c>
      <c r="E91" s="243" t="s">
        <v>1335</v>
      </c>
      <c r="F91" s="187" t="s">
        <v>1129</v>
      </c>
      <c r="G91" s="187">
        <f t="shared" ref="G91" si="13">H91+I91</f>
        <v>0</v>
      </c>
      <c r="H91" s="187">
        <f>'d3'!E75</f>
        <v>0</v>
      </c>
      <c r="I91" s="187">
        <f>'d3'!J75</f>
        <v>0</v>
      </c>
      <c r="J91" s="187">
        <f>'d3'!K75</f>
        <v>0</v>
      </c>
      <c r="K91" s="137"/>
      <c r="L91" s="137"/>
      <c r="M91" s="137"/>
    </row>
    <row r="92" spans="1:13" ht="276" thickTop="1" thickBot="1" x14ac:dyDescent="0.25">
      <c r="A92" s="101" t="s">
        <v>1633</v>
      </c>
      <c r="B92" s="101" t="s">
        <v>1635</v>
      </c>
      <c r="C92" s="101" t="s">
        <v>209</v>
      </c>
      <c r="D92" s="101" t="s">
        <v>1637</v>
      </c>
      <c r="E92" s="305" t="s">
        <v>1335</v>
      </c>
      <c r="F92" s="302" t="s">
        <v>1129</v>
      </c>
      <c r="G92" s="302">
        <f t="shared" ref="G92:G115" si="14">H92+I92</f>
        <v>5715427</v>
      </c>
      <c r="H92" s="302">
        <f>'d3'!E76</f>
        <v>0</v>
      </c>
      <c r="I92" s="302">
        <f>'d3'!J76</f>
        <v>5715427</v>
      </c>
      <c r="J92" s="302">
        <f>'d3'!K76</f>
        <v>5715427</v>
      </c>
      <c r="K92" s="137"/>
      <c r="L92" s="137"/>
      <c r="M92" s="137"/>
    </row>
    <row r="93" spans="1:13" ht="230.25" thickTop="1" thickBot="1" x14ac:dyDescent="0.25">
      <c r="A93" s="101" t="s">
        <v>1634</v>
      </c>
      <c r="B93" s="101" t="s">
        <v>1636</v>
      </c>
      <c r="C93" s="101" t="s">
        <v>209</v>
      </c>
      <c r="D93" s="101" t="s">
        <v>1638</v>
      </c>
      <c r="E93" s="305" t="s">
        <v>1335</v>
      </c>
      <c r="F93" s="302" t="s">
        <v>1129</v>
      </c>
      <c r="G93" s="302">
        <f t="shared" si="14"/>
        <v>13335900</v>
      </c>
      <c r="H93" s="302">
        <f>'d3'!E77</f>
        <v>0</v>
      </c>
      <c r="I93" s="302">
        <f>'d3'!J77</f>
        <v>13335900</v>
      </c>
      <c r="J93" s="302">
        <f>'d3'!K77</f>
        <v>13335900</v>
      </c>
      <c r="K93" s="137"/>
      <c r="L93" s="137"/>
      <c r="M93" s="137"/>
    </row>
    <row r="94" spans="1:13" ht="230.25" thickTop="1" thickBot="1" x14ac:dyDescent="0.25">
      <c r="A94" s="101" t="s">
        <v>635</v>
      </c>
      <c r="B94" s="101" t="s">
        <v>636</v>
      </c>
      <c r="C94" s="101" t="s">
        <v>209</v>
      </c>
      <c r="D94" s="101" t="s">
        <v>1629</v>
      </c>
      <c r="E94" s="305" t="s">
        <v>1335</v>
      </c>
      <c r="F94" s="302" t="s">
        <v>1129</v>
      </c>
      <c r="G94" s="302">
        <f t="shared" si="14"/>
        <v>5255400</v>
      </c>
      <c r="H94" s="302">
        <f>'d3'!E78</f>
        <v>5255400</v>
      </c>
      <c r="I94" s="302">
        <f>'d3'!J78</f>
        <v>0</v>
      </c>
      <c r="J94" s="302">
        <f>'d3'!K78</f>
        <v>0</v>
      </c>
      <c r="K94" s="137"/>
      <c r="L94" s="137"/>
      <c r="M94" s="137"/>
    </row>
    <row r="95" spans="1:13" ht="230.25" hidden="1" thickTop="1" thickBot="1" x14ac:dyDescent="0.25">
      <c r="A95" s="126" t="s">
        <v>921</v>
      </c>
      <c r="B95" s="126" t="s">
        <v>922</v>
      </c>
      <c r="C95" s="126" t="s">
        <v>209</v>
      </c>
      <c r="D95" s="126" t="s">
        <v>1380</v>
      </c>
      <c r="E95" s="243" t="s">
        <v>1335</v>
      </c>
      <c r="F95" s="187" t="s">
        <v>1129</v>
      </c>
      <c r="G95" s="187">
        <f t="shared" si="14"/>
        <v>0</v>
      </c>
      <c r="H95" s="187">
        <f>'d3'!E79</f>
        <v>0</v>
      </c>
      <c r="I95" s="187">
        <f>'d3'!J79</f>
        <v>0</v>
      </c>
      <c r="J95" s="187">
        <f>'d3'!K79</f>
        <v>0</v>
      </c>
      <c r="K95" s="137"/>
      <c r="L95" s="137"/>
      <c r="M95" s="137"/>
    </row>
    <row r="96" spans="1:13" ht="230.25" hidden="1" thickTop="1" thickBot="1" x14ac:dyDescent="0.25">
      <c r="A96" s="126" t="s">
        <v>977</v>
      </c>
      <c r="B96" s="126" t="s">
        <v>979</v>
      </c>
      <c r="C96" s="126" t="s">
        <v>209</v>
      </c>
      <c r="D96" s="126" t="s">
        <v>1209</v>
      </c>
      <c r="E96" s="243" t="s">
        <v>1335</v>
      </c>
      <c r="F96" s="187" t="s">
        <v>1129</v>
      </c>
      <c r="G96" s="187">
        <f t="shared" si="14"/>
        <v>0</v>
      </c>
      <c r="H96" s="187">
        <f>'d3'!E81</f>
        <v>0</v>
      </c>
      <c r="I96" s="187">
        <f>'d3'!J81</f>
        <v>0</v>
      </c>
      <c r="J96" s="187">
        <f>'d3'!K81</f>
        <v>0</v>
      </c>
      <c r="K96" s="137"/>
      <c r="L96" s="137"/>
      <c r="M96" s="137"/>
    </row>
    <row r="97" spans="1:13" ht="184.5" hidden="1" thickTop="1" thickBot="1" x14ac:dyDescent="0.25">
      <c r="A97" s="126" t="s">
        <v>1016</v>
      </c>
      <c r="B97" s="126" t="s">
        <v>1017</v>
      </c>
      <c r="C97" s="126" t="s">
        <v>209</v>
      </c>
      <c r="D97" s="126" t="s">
        <v>1481</v>
      </c>
      <c r="E97" s="243" t="s">
        <v>1335</v>
      </c>
      <c r="F97" s="187" t="s">
        <v>1129</v>
      </c>
      <c r="G97" s="187">
        <f t="shared" si="14"/>
        <v>0</v>
      </c>
      <c r="H97" s="187">
        <f>'d3'!E82</f>
        <v>0</v>
      </c>
      <c r="I97" s="187">
        <f>'d3'!J82</f>
        <v>0</v>
      </c>
      <c r="J97" s="187">
        <f>'d3'!K82</f>
        <v>0</v>
      </c>
      <c r="K97" s="137"/>
      <c r="L97" s="137"/>
      <c r="M97" s="137"/>
    </row>
    <row r="98" spans="1:13" ht="367.5" thickTop="1" thickBot="1" x14ac:dyDescent="0.25">
      <c r="A98" s="101" t="s">
        <v>1330</v>
      </c>
      <c r="B98" s="101" t="s">
        <v>1331</v>
      </c>
      <c r="C98" s="101" t="s">
        <v>209</v>
      </c>
      <c r="D98" s="101" t="s">
        <v>1616</v>
      </c>
      <c r="E98" s="302" t="s">
        <v>1327</v>
      </c>
      <c r="F98" s="302" t="s">
        <v>843</v>
      </c>
      <c r="G98" s="302">
        <f t="shared" si="14"/>
        <v>13613311.779999999</v>
      </c>
      <c r="H98" s="302">
        <f>'d3'!E84</f>
        <v>0</v>
      </c>
      <c r="I98" s="302">
        <f>'d3'!J84</f>
        <v>13613311.779999999</v>
      </c>
      <c r="J98" s="302">
        <f>'d3'!K84</f>
        <v>13613311.779999999</v>
      </c>
      <c r="K98" s="137"/>
      <c r="L98" s="137"/>
      <c r="M98" s="137"/>
    </row>
    <row r="99" spans="1:13" ht="276" hidden="1" thickTop="1" thickBot="1" x14ac:dyDescent="0.25">
      <c r="A99" s="126" t="s">
        <v>1332</v>
      </c>
      <c r="B99" s="126" t="s">
        <v>1333</v>
      </c>
      <c r="C99" s="126" t="s">
        <v>209</v>
      </c>
      <c r="D99" s="126" t="s">
        <v>1334</v>
      </c>
      <c r="E99" s="187" t="s">
        <v>1327</v>
      </c>
      <c r="F99" s="187" t="s">
        <v>843</v>
      </c>
      <c r="G99" s="187">
        <f t="shared" si="14"/>
        <v>0</v>
      </c>
      <c r="H99" s="187">
        <f>'d3'!E85</f>
        <v>0</v>
      </c>
      <c r="I99" s="187">
        <f>'d3'!J85</f>
        <v>0</v>
      </c>
      <c r="J99" s="187">
        <f>'d3'!K85</f>
        <v>0</v>
      </c>
      <c r="K99" s="137"/>
      <c r="L99" s="137"/>
      <c r="M99" s="137"/>
    </row>
    <row r="100" spans="1:13" ht="138.75" hidden="1" thickTop="1" thickBot="1" x14ac:dyDescent="0.25">
      <c r="A100" s="126" t="s">
        <v>1394</v>
      </c>
      <c r="B100" s="126" t="s">
        <v>1395</v>
      </c>
      <c r="C100" s="126" t="s">
        <v>209</v>
      </c>
      <c r="D100" s="126" t="s">
        <v>1399</v>
      </c>
      <c r="E100" s="243" t="s">
        <v>1335</v>
      </c>
      <c r="F100" s="187" t="s">
        <v>1129</v>
      </c>
      <c r="G100" s="187">
        <f t="shared" si="14"/>
        <v>0</v>
      </c>
      <c r="H100" s="187">
        <f>'d3'!E87</f>
        <v>0</v>
      </c>
      <c r="I100" s="187">
        <f>'d3'!J87</f>
        <v>0</v>
      </c>
      <c r="J100" s="187">
        <f>'d3'!K87</f>
        <v>0</v>
      </c>
      <c r="K100" s="137"/>
      <c r="L100" s="137"/>
      <c r="M100" s="137"/>
    </row>
    <row r="101" spans="1:13" ht="184.5" hidden="1" thickTop="1" thickBot="1" x14ac:dyDescent="0.25">
      <c r="A101" s="126" t="s">
        <v>1396</v>
      </c>
      <c r="B101" s="126" t="s">
        <v>1397</v>
      </c>
      <c r="C101" s="126" t="s">
        <v>209</v>
      </c>
      <c r="D101" s="126" t="s">
        <v>1398</v>
      </c>
      <c r="E101" s="243" t="s">
        <v>1335</v>
      </c>
      <c r="F101" s="187" t="s">
        <v>1129</v>
      </c>
      <c r="G101" s="187">
        <f t="shared" si="14"/>
        <v>0</v>
      </c>
      <c r="H101" s="187">
        <f>'d3'!E88</f>
        <v>0</v>
      </c>
      <c r="I101" s="187">
        <f>'d3'!J88</f>
        <v>0</v>
      </c>
      <c r="J101" s="187">
        <f>'d3'!K88</f>
        <v>0</v>
      </c>
      <c r="K101" s="137"/>
      <c r="L101" s="137"/>
      <c r="M101" s="137"/>
    </row>
    <row r="102" spans="1:13" ht="230.25" thickTop="1" thickBot="1" x14ac:dyDescent="0.25">
      <c r="A102" s="101" t="s">
        <v>1702</v>
      </c>
      <c r="B102" s="101" t="s">
        <v>1697</v>
      </c>
      <c r="C102" s="101" t="s">
        <v>209</v>
      </c>
      <c r="D102" s="101" t="s">
        <v>1696</v>
      </c>
      <c r="E102" s="305" t="s">
        <v>1335</v>
      </c>
      <c r="F102" s="302" t="s">
        <v>1129</v>
      </c>
      <c r="G102" s="302">
        <f t="shared" si="14"/>
        <v>199998</v>
      </c>
      <c r="H102" s="302">
        <f>'d3'!E89</f>
        <v>28229</v>
      </c>
      <c r="I102" s="302">
        <f>'d3'!J89</f>
        <v>171769</v>
      </c>
      <c r="J102" s="302">
        <f>'d3'!K89</f>
        <v>171769</v>
      </c>
      <c r="K102" s="137"/>
      <c r="L102" s="137"/>
      <c r="M102" s="137"/>
    </row>
    <row r="103" spans="1:13" ht="184.5" thickTop="1" thickBot="1" x14ac:dyDescent="0.25">
      <c r="A103" s="101" t="s">
        <v>1703</v>
      </c>
      <c r="B103" s="101" t="s">
        <v>1699</v>
      </c>
      <c r="C103" s="101" t="s">
        <v>209</v>
      </c>
      <c r="D103" s="101" t="s">
        <v>1698</v>
      </c>
      <c r="E103" s="305" t="s">
        <v>1335</v>
      </c>
      <c r="F103" s="302" t="s">
        <v>1129</v>
      </c>
      <c r="G103" s="302">
        <f t="shared" si="14"/>
        <v>1799967</v>
      </c>
      <c r="H103" s="302">
        <f>'d3'!E90</f>
        <v>0</v>
      </c>
      <c r="I103" s="302">
        <f>'d3'!J90</f>
        <v>1799967</v>
      </c>
      <c r="J103" s="302">
        <f>'d3'!K90</f>
        <v>0</v>
      </c>
      <c r="K103" s="137"/>
      <c r="L103" s="137"/>
      <c r="M103" s="137"/>
    </row>
    <row r="104" spans="1:13" ht="321.75" thickTop="1" thickBot="1" x14ac:dyDescent="0.25">
      <c r="A104" s="101" t="s">
        <v>1461</v>
      </c>
      <c r="B104" s="101" t="s">
        <v>1459</v>
      </c>
      <c r="C104" s="101" t="s">
        <v>209</v>
      </c>
      <c r="D104" s="101" t="s">
        <v>1462</v>
      </c>
      <c r="E104" s="305" t="s">
        <v>1335</v>
      </c>
      <c r="F104" s="302" t="s">
        <v>1129</v>
      </c>
      <c r="G104" s="302">
        <f t="shared" si="14"/>
        <v>2069161.5299999998</v>
      </c>
      <c r="H104" s="302">
        <f>'d3'!E92</f>
        <v>697523.23</v>
      </c>
      <c r="I104" s="302">
        <f>'d3'!J92</f>
        <v>1371638.2999999998</v>
      </c>
      <c r="J104" s="302">
        <f>'d3'!K92</f>
        <v>1371638.2999999998</v>
      </c>
      <c r="K104" s="137"/>
      <c r="L104" s="137"/>
      <c r="M104" s="137"/>
    </row>
    <row r="105" spans="1:13" ht="276" thickTop="1" thickBot="1" x14ac:dyDescent="0.25">
      <c r="A105" s="101" t="s">
        <v>1463</v>
      </c>
      <c r="B105" s="101" t="s">
        <v>1464</v>
      </c>
      <c r="C105" s="101" t="s">
        <v>209</v>
      </c>
      <c r="D105" s="101" t="s">
        <v>1465</v>
      </c>
      <c r="E105" s="305" t="s">
        <v>1335</v>
      </c>
      <c r="F105" s="302" t="s">
        <v>1129</v>
      </c>
      <c r="G105" s="302">
        <f>H105+I105</f>
        <v>4828034.51</v>
      </c>
      <c r="H105" s="302">
        <f>'d3'!E93</f>
        <v>0</v>
      </c>
      <c r="I105" s="302">
        <f>'d3'!J93</f>
        <v>4828034.51</v>
      </c>
      <c r="J105" s="302">
        <f>'d3'!K93</f>
        <v>0</v>
      </c>
      <c r="K105" s="137"/>
      <c r="L105" s="137"/>
      <c r="M105" s="137"/>
    </row>
    <row r="106" spans="1:13" ht="276" thickTop="1" thickBot="1" x14ac:dyDescent="0.25">
      <c r="A106" s="101" t="s">
        <v>1587</v>
      </c>
      <c r="B106" s="101" t="s">
        <v>1569</v>
      </c>
      <c r="C106" s="101" t="s">
        <v>209</v>
      </c>
      <c r="D106" s="101" t="s">
        <v>1570</v>
      </c>
      <c r="E106" s="302" t="s">
        <v>1327</v>
      </c>
      <c r="F106" s="302" t="s">
        <v>843</v>
      </c>
      <c r="G106" s="302">
        <f t="shared" si="14"/>
        <v>31043812.859999999</v>
      </c>
      <c r="H106" s="302">
        <v>0</v>
      </c>
      <c r="I106" s="302">
        <f>(((2000000+3000000)+10000000)+11128251.1)+4915561.76</f>
        <v>31043812.859999999</v>
      </c>
      <c r="J106" s="302">
        <f>(((2000000+3000000)+10000000)+11128251.1)+4915561.76</f>
        <v>31043812.859999999</v>
      </c>
      <c r="K106" s="137"/>
      <c r="L106" s="137"/>
      <c r="M106" s="137"/>
    </row>
    <row r="107" spans="1:13" ht="138.75" thickTop="1" thickBot="1" x14ac:dyDescent="0.25">
      <c r="A107" s="101" t="s">
        <v>1524</v>
      </c>
      <c r="B107" s="101" t="s">
        <v>1525</v>
      </c>
      <c r="C107" s="101" t="s">
        <v>209</v>
      </c>
      <c r="D107" s="101" t="s">
        <v>1528</v>
      </c>
      <c r="E107" s="305" t="s">
        <v>1335</v>
      </c>
      <c r="F107" s="302" t="s">
        <v>1129</v>
      </c>
      <c r="G107" s="302">
        <f>H107+I107</f>
        <v>42063000</v>
      </c>
      <c r="H107" s="302">
        <f>'d3'!E96</f>
        <v>0</v>
      </c>
      <c r="I107" s="302">
        <f>'d3'!J96</f>
        <v>42063000</v>
      </c>
      <c r="J107" s="302">
        <f>'d3'!K96</f>
        <v>0</v>
      </c>
      <c r="K107" s="137"/>
      <c r="L107" s="137"/>
      <c r="M107" s="137"/>
    </row>
    <row r="108" spans="1:13" ht="138.75" thickTop="1" thickBot="1" x14ac:dyDescent="0.25">
      <c r="A108" s="101" t="s">
        <v>1630</v>
      </c>
      <c r="B108" s="101" t="s">
        <v>1631</v>
      </c>
      <c r="C108" s="101" t="s">
        <v>209</v>
      </c>
      <c r="D108" s="101" t="s">
        <v>1632</v>
      </c>
      <c r="E108" s="305" t="s">
        <v>1335</v>
      </c>
      <c r="F108" s="302" t="s">
        <v>1129</v>
      </c>
      <c r="G108" s="302">
        <f t="shared" si="14"/>
        <v>39410600</v>
      </c>
      <c r="H108" s="302">
        <f>'d3'!E97</f>
        <v>39410600</v>
      </c>
      <c r="I108" s="302">
        <f>'d3'!J97</f>
        <v>0</v>
      </c>
      <c r="J108" s="302">
        <f>'d3'!K97</f>
        <v>0</v>
      </c>
      <c r="K108" s="137"/>
      <c r="L108" s="137"/>
      <c r="M108" s="137"/>
    </row>
    <row r="109" spans="1:13" ht="184.5" thickTop="1" thickBot="1" x14ac:dyDescent="0.25">
      <c r="A109" s="101" t="s">
        <v>426</v>
      </c>
      <c r="B109" s="101" t="s">
        <v>427</v>
      </c>
      <c r="C109" s="101" t="s">
        <v>184</v>
      </c>
      <c r="D109" s="101" t="s">
        <v>425</v>
      </c>
      <c r="E109" s="305" t="s">
        <v>1335</v>
      </c>
      <c r="F109" s="302" t="s">
        <v>1129</v>
      </c>
      <c r="G109" s="302">
        <f t="shared" si="14"/>
        <v>715000</v>
      </c>
      <c r="H109" s="302">
        <f>'d3'!E99</f>
        <v>715000</v>
      </c>
      <c r="I109" s="302">
        <f>'d3'!J99</f>
        <v>0</v>
      </c>
      <c r="J109" s="302">
        <f>'d3'!K99</f>
        <v>0</v>
      </c>
      <c r="K109" s="137"/>
      <c r="L109" s="137"/>
      <c r="M109" s="137"/>
    </row>
    <row r="110" spans="1:13" ht="138.75" hidden="1" thickTop="1" thickBot="1" x14ac:dyDescent="0.25">
      <c r="A110" s="126" t="s">
        <v>1192</v>
      </c>
      <c r="B110" s="126" t="s">
        <v>1159</v>
      </c>
      <c r="C110" s="126" t="s">
        <v>205</v>
      </c>
      <c r="D110" s="369" t="s">
        <v>1160</v>
      </c>
      <c r="E110" s="243" t="s">
        <v>1151</v>
      </c>
      <c r="F110" s="187" t="s">
        <v>1127</v>
      </c>
      <c r="G110" s="187">
        <f t="shared" si="14"/>
        <v>0</v>
      </c>
      <c r="H110" s="187">
        <f>'d3'!E100</f>
        <v>0</v>
      </c>
      <c r="I110" s="187">
        <f>'d3'!J100</f>
        <v>0</v>
      </c>
      <c r="J110" s="187">
        <f>'d3'!K100</f>
        <v>0</v>
      </c>
      <c r="K110" s="137"/>
      <c r="L110" s="137"/>
      <c r="M110" s="137"/>
    </row>
    <row r="111" spans="1:13" ht="230.25" hidden="1" thickTop="1" thickBot="1" x14ac:dyDescent="0.25">
      <c r="A111" s="101" t="s">
        <v>1659</v>
      </c>
      <c r="B111" s="101" t="s">
        <v>313</v>
      </c>
      <c r="C111" s="101" t="s">
        <v>302</v>
      </c>
      <c r="D111" s="101" t="s">
        <v>1572</v>
      </c>
      <c r="E111" s="305" t="s">
        <v>1322</v>
      </c>
      <c r="F111" s="302" t="s">
        <v>1292</v>
      </c>
      <c r="G111" s="302">
        <f t="shared" si="14"/>
        <v>0</v>
      </c>
      <c r="H111" s="302">
        <f>'d3'!E103</f>
        <v>0</v>
      </c>
      <c r="I111" s="302">
        <f>'d3'!J103</f>
        <v>0</v>
      </c>
      <c r="J111" s="302">
        <f>'d3'!K103</f>
        <v>0</v>
      </c>
      <c r="K111" s="137"/>
      <c r="L111" s="137"/>
      <c r="M111" s="137"/>
    </row>
    <row r="112" spans="1:13" ht="138.75" thickTop="1" thickBot="1" x14ac:dyDescent="0.25">
      <c r="A112" s="101" t="s">
        <v>1055</v>
      </c>
      <c r="B112" s="101" t="s">
        <v>211</v>
      </c>
      <c r="C112" s="101" t="s">
        <v>212</v>
      </c>
      <c r="D112" s="101" t="s">
        <v>41</v>
      </c>
      <c r="E112" s="305" t="s">
        <v>1335</v>
      </c>
      <c r="F112" s="302" t="s">
        <v>1129</v>
      </c>
      <c r="G112" s="302">
        <f t="shared" si="14"/>
        <v>6653528.5099999998</v>
      </c>
      <c r="H112" s="302">
        <f>'d3'!E105</f>
        <v>0</v>
      </c>
      <c r="I112" s="302">
        <f>'d3'!J105</f>
        <v>6653528.5099999998</v>
      </c>
      <c r="J112" s="302">
        <f>'d3'!K105</f>
        <v>6653528.5099999998</v>
      </c>
      <c r="K112" s="137"/>
      <c r="L112" s="137"/>
      <c r="M112" s="137"/>
    </row>
    <row r="113" spans="1:13" ht="276" thickTop="1" thickBot="1" x14ac:dyDescent="0.25">
      <c r="A113" s="101" t="s">
        <v>1739</v>
      </c>
      <c r="B113" s="101" t="s">
        <v>511</v>
      </c>
      <c r="C113" s="101" t="s">
        <v>249</v>
      </c>
      <c r="D113" s="101" t="s">
        <v>512</v>
      </c>
      <c r="E113" s="302" t="s">
        <v>1327</v>
      </c>
      <c r="F113" s="302" t="s">
        <v>843</v>
      </c>
      <c r="G113" s="302">
        <f t="shared" si="14"/>
        <v>1280000</v>
      </c>
      <c r="H113" s="302">
        <f>'d3'!E108</f>
        <v>1280000</v>
      </c>
      <c r="I113" s="302">
        <f>'d3'!J108</f>
        <v>0</v>
      </c>
      <c r="J113" s="302">
        <f>'d3'!K108</f>
        <v>0</v>
      </c>
      <c r="K113" s="137"/>
      <c r="L113" s="137"/>
      <c r="M113" s="137"/>
    </row>
    <row r="114" spans="1:13" ht="138.75" hidden="1" thickTop="1" thickBot="1" x14ac:dyDescent="0.25">
      <c r="A114" s="126" t="s">
        <v>1185</v>
      </c>
      <c r="B114" s="126" t="s">
        <v>1149</v>
      </c>
      <c r="C114" s="126" t="s">
        <v>1147</v>
      </c>
      <c r="D114" s="126" t="s">
        <v>1146</v>
      </c>
      <c r="E114" s="126" t="s">
        <v>1321</v>
      </c>
      <c r="F114" s="187" t="s">
        <v>1239</v>
      </c>
      <c r="G114" s="187">
        <f t="shared" si="14"/>
        <v>0</v>
      </c>
      <c r="H114" s="187">
        <f>'d3'!E110</f>
        <v>0</v>
      </c>
      <c r="I114" s="187">
        <f>'d3'!J110</f>
        <v>0</v>
      </c>
      <c r="J114" s="187">
        <f>'d3'!K110</f>
        <v>0</v>
      </c>
      <c r="K114" s="137"/>
      <c r="L114" s="137"/>
      <c r="M114" s="137"/>
    </row>
    <row r="115" spans="1:13" ht="138.75" hidden="1" thickTop="1" thickBot="1" x14ac:dyDescent="0.25">
      <c r="A115" s="41" t="s">
        <v>998</v>
      </c>
      <c r="B115" s="41" t="s">
        <v>359</v>
      </c>
      <c r="C115" s="41" t="s">
        <v>43</v>
      </c>
      <c r="D115" s="41" t="s">
        <v>360</v>
      </c>
      <c r="E115" s="246" t="s">
        <v>575</v>
      </c>
      <c r="F115" s="73" t="s">
        <v>406</v>
      </c>
      <c r="G115" s="73">
        <f t="shared" si="14"/>
        <v>0</v>
      </c>
      <c r="H115" s="73">
        <f>'d3'!E113</f>
        <v>0</v>
      </c>
      <c r="I115" s="73">
        <f>'d3'!J113</f>
        <v>0</v>
      </c>
      <c r="J115" s="73">
        <f>'d3'!K113</f>
        <v>0</v>
      </c>
      <c r="K115" s="137"/>
      <c r="L115" s="137"/>
      <c r="M115" s="137"/>
    </row>
    <row r="116" spans="1:13" ht="170.45" customHeight="1" thickTop="1" thickBot="1" x14ac:dyDescent="0.25">
      <c r="A116" s="585" t="s">
        <v>153</v>
      </c>
      <c r="B116" s="585"/>
      <c r="C116" s="585"/>
      <c r="D116" s="586" t="s">
        <v>18</v>
      </c>
      <c r="E116" s="585"/>
      <c r="F116" s="585"/>
      <c r="G116" s="587">
        <f>G117</f>
        <v>182222443.82999998</v>
      </c>
      <c r="H116" s="587">
        <f t="shared" ref="H116:J116" si="15">H117</f>
        <v>125974333.34</v>
      </c>
      <c r="I116" s="587">
        <f t="shared" si="15"/>
        <v>56248110.489999995</v>
      </c>
      <c r="J116" s="587">
        <f t="shared" si="15"/>
        <v>56248110.489999995</v>
      </c>
      <c r="K116" s="95" t="b">
        <f>H116='d3'!E115-'d3'!E117+H118+H119</f>
        <v>1</v>
      </c>
      <c r="L116" s="95" t="b">
        <f>I116='d3'!J115-'d3'!J117+'d7'!I118+I119</f>
        <v>1</v>
      </c>
      <c r="M116" s="95" t="b">
        <f>J116='d3'!K115-'d3'!K117+'d7'!J118+J119</f>
        <v>1</v>
      </c>
    </row>
    <row r="117" spans="1:13" ht="170.45" customHeight="1" thickTop="1" thickBot="1" x14ac:dyDescent="0.25">
      <c r="A117" s="588" t="s">
        <v>154</v>
      </c>
      <c r="B117" s="588"/>
      <c r="C117" s="588"/>
      <c r="D117" s="589" t="s">
        <v>36</v>
      </c>
      <c r="E117" s="590"/>
      <c r="F117" s="590"/>
      <c r="G117" s="590">
        <f>SUM(G118:G143)</f>
        <v>182222443.82999998</v>
      </c>
      <c r="H117" s="590">
        <f>SUM(H118:H143)</f>
        <v>125974333.34</v>
      </c>
      <c r="I117" s="590">
        <f>SUM(I118:I143)</f>
        <v>56248110.489999995</v>
      </c>
      <c r="J117" s="590">
        <f>SUM(J118:J143)</f>
        <v>56248110.489999995</v>
      </c>
      <c r="K117" s="137"/>
      <c r="L117" s="137"/>
      <c r="M117" s="137"/>
    </row>
    <row r="118" spans="1:13" ht="172.5" hidden="1" customHeight="1" thickTop="1" thickBot="1" x14ac:dyDescent="0.25">
      <c r="A118" s="126" t="s">
        <v>411</v>
      </c>
      <c r="B118" s="126" t="s">
        <v>235</v>
      </c>
      <c r="C118" s="126" t="s">
        <v>233</v>
      </c>
      <c r="D118" s="126" t="s">
        <v>234</v>
      </c>
      <c r="E118" s="243" t="s">
        <v>1237</v>
      </c>
      <c r="F118" s="187" t="s">
        <v>1238</v>
      </c>
      <c r="G118" s="257">
        <f>H118+I118</f>
        <v>0</v>
      </c>
      <c r="H118" s="257"/>
      <c r="I118" s="257">
        <v>0</v>
      </c>
      <c r="J118" s="257">
        <v>0</v>
      </c>
      <c r="K118" s="137"/>
      <c r="L118" s="137"/>
      <c r="M118" s="137"/>
    </row>
    <row r="119" spans="1:13" ht="172.5" hidden="1" customHeight="1" thickTop="1" thickBot="1" x14ac:dyDescent="0.25">
      <c r="A119" s="126" t="s">
        <v>411</v>
      </c>
      <c r="B119" s="126" t="s">
        <v>235</v>
      </c>
      <c r="C119" s="126" t="s">
        <v>233</v>
      </c>
      <c r="D119" s="126" t="s">
        <v>234</v>
      </c>
      <c r="E119" s="243" t="s">
        <v>1005</v>
      </c>
      <c r="F119" s="187" t="s">
        <v>841</v>
      </c>
      <c r="G119" s="257">
        <f>H119+I119</f>
        <v>0</v>
      </c>
      <c r="H119" s="257"/>
      <c r="I119" s="257">
        <v>0</v>
      </c>
      <c r="J119" s="257">
        <v>0</v>
      </c>
      <c r="K119" s="137"/>
      <c r="L119" s="137"/>
      <c r="M119" s="137"/>
    </row>
    <row r="120" spans="1:13" ht="276" hidden="1" thickTop="1" thickBot="1" x14ac:dyDescent="0.25">
      <c r="A120" s="126" t="s">
        <v>1215</v>
      </c>
      <c r="B120" s="126" t="s">
        <v>358</v>
      </c>
      <c r="C120" s="126" t="s">
        <v>616</v>
      </c>
      <c r="D120" s="126" t="s">
        <v>617</v>
      </c>
      <c r="E120" s="243" t="s">
        <v>1248</v>
      </c>
      <c r="F120" s="187" t="s">
        <v>1249</v>
      </c>
      <c r="G120" s="257">
        <f>H120+I120</f>
        <v>0</v>
      </c>
      <c r="H120" s="257">
        <f>'d3'!E118</f>
        <v>0</v>
      </c>
      <c r="I120" s="257">
        <f>'d3'!J118</f>
        <v>0</v>
      </c>
      <c r="J120" s="257">
        <f>'d3'!K118</f>
        <v>0</v>
      </c>
      <c r="K120" s="137"/>
      <c r="L120" s="137"/>
      <c r="M120" s="137"/>
    </row>
    <row r="121" spans="1:13" ht="276" thickTop="1" thickBot="1" x14ac:dyDescent="0.25">
      <c r="A121" s="101" t="s">
        <v>213</v>
      </c>
      <c r="B121" s="101" t="s">
        <v>210</v>
      </c>
      <c r="C121" s="101" t="s">
        <v>214</v>
      </c>
      <c r="D121" s="101" t="s">
        <v>19</v>
      </c>
      <c r="E121" s="302" t="s">
        <v>1588</v>
      </c>
      <c r="F121" s="302" t="s">
        <v>1449</v>
      </c>
      <c r="G121" s="309">
        <f>H121+I121</f>
        <v>65377023.509999998</v>
      </c>
      <c r="H121" s="309">
        <f>'d3'!E120-H122</f>
        <v>33762931</v>
      </c>
      <c r="I121" s="309">
        <f>'d3'!J120-I122</f>
        <v>31614092.509999998</v>
      </c>
      <c r="J121" s="309">
        <f>'d3'!K120-J122</f>
        <v>31614092.509999998</v>
      </c>
      <c r="K121" s="137"/>
      <c r="L121" s="137"/>
      <c r="M121" s="137"/>
    </row>
    <row r="122" spans="1:13" ht="138.75" hidden="1" thickTop="1" thickBot="1" x14ac:dyDescent="0.25">
      <c r="A122" s="126" t="s">
        <v>213</v>
      </c>
      <c r="B122" s="126" t="s">
        <v>210</v>
      </c>
      <c r="C122" s="126" t="s">
        <v>214</v>
      </c>
      <c r="D122" s="126" t="s">
        <v>19</v>
      </c>
      <c r="E122" s="243" t="s">
        <v>1498</v>
      </c>
      <c r="F122" s="187" t="s">
        <v>1499</v>
      </c>
      <c r="G122" s="187">
        <f t="shared" ref="G122" si="16">H122+I122</f>
        <v>0</v>
      </c>
      <c r="H122" s="187"/>
      <c r="I122" s="187"/>
      <c r="J122" s="187"/>
      <c r="K122" s="137"/>
      <c r="L122" s="137"/>
      <c r="M122" s="137"/>
    </row>
    <row r="123" spans="1:13" ht="276" thickTop="1" thickBot="1" x14ac:dyDescent="0.25">
      <c r="A123" s="101" t="s">
        <v>500</v>
      </c>
      <c r="B123" s="101" t="s">
        <v>503</v>
      </c>
      <c r="C123" s="101" t="s">
        <v>502</v>
      </c>
      <c r="D123" s="101" t="s">
        <v>501</v>
      </c>
      <c r="E123" s="302" t="s">
        <v>1588</v>
      </c>
      <c r="F123" s="302" t="s">
        <v>1449</v>
      </c>
      <c r="G123" s="309">
        <f>H123+I123</f>
        <v>17460600</v>
      </c>
      <c r="H123" s="309">
        <f>'d3'!E121</f>
        <v>17460600</v>
      </c>
      <c r="I123" s="309">
        <f>'d3'!J121</f>
        <v>0</v>
      </c>
      <c r="J123" s="309">
        <f>'d3'!K121</f>
        <v>0</v>
      </c>
      <c r="K123" s="137"/>
      <c r="L123" s="137"/>
      <c r="M123" s="137"/>
    </row>
    <row r="124" spans="1:13" ht="276" thickTop="1" thickBot="1" x14ac:dyDescent="0.25">
      <c r="A124" s="101" t="s">
        <v>215</v>
      </c>
      <c r="B124" s="101" t="s">
        <v>216</v>
      </c>
      <c r="C124" s="101" t="s">
        <v>217</v>
      </c>
      <c r="D124" s="101" t="s">
        <v>218</v>
      </c>
      <c r="E124" s="302" t="s">
        <v>1588</v>
      </c>
      <c r="F124" s="302" t="s">
        <v>1449</v>
      </c>
      <c r="G124" s="309">
        <f t="shared" ref="G124:G131" si="17">H124+I124</f>
        <v>26841982.32</v>
      </c>
      <c r="H124" s="309">
        <f>'d3'!E122</f>
        <v>16970895.34</v>
      </c>
      <c r="I124" s="309">
        <f>'d3'!J122</f>
        <v>9871086.9800000004</v>
      </c>
      <c r="J124" s="309">
        <f>'d3'!K122</f>
        <v>9871086.9800000004</v>
      </c>
      <c r="K124" s="137"/>
      <c r="L124" s="137"/>
      <c r="M124" s="137"/>
    </row>
    <row r="125" spans="1:13" ht="276" thickTop="1" thickBot="1" x14ac:dyDescent="0.25">
      <c r="A125" s="101" t="s">
        <v>219</v>
      </c>
      <c r="B125" s="101" t="s">
        <v>220</v>
      </c>
      <c r="C125" s="101" t="s">
        <v>221</v>
      </c>
      <c r="D125" s="101" t="s">
        <v>342</v>
      </c>
      <c r="E125" s="302" t="s">
        <v>1588</v>
      </c>
      <c r="F125" s="302" t="s">
        <v>1449</v>
      </c>
      <c r="G125" s="309">
        <f t="shared" si="17"/>
        <v>28782905</v>
      </c>
      <c r="H125" s="309">
        <f>'d3'!E123-H126</f>
        <v>25913785</v>
      </c>
      <c r="I125" s="309">
        <f>'d3'!J123-I126</f>
        <v>2869120</v>
      </c>
      <c r="J125" s="309">
        <f>'d3'!K123-J126</f>
        <v>2869120</v>
      </c>
      <c r="K125" s="137"/>
      <c r="L125" s="137"/>
      <c r="M125" s="137"/>
    </row>
    <row r="126" spans="1:13" ht="138.75" thickTop="1" thickBot="1" x14ac:dyDescent="0.25">
      <c r="A126" s="101" t="s">
        <v>219</v>
      </c>
      <c r="B126" s="101" t="s">
        <v>220</v>
      </c>
      <c r="C126" s="101" t="s">
        <v>221</v>
      </c>
      <c r="D126" s="101" t="s">
        <v>342</v>
      </c>
      <c r="E126" s="305" t="s">
        <v>1498</v>
      </c>
      <c r="F126" s="302" t="s">
        <v>1499</v>
      </c>
      <c r="G126" s="302">
        <f t="shared" si="17"/>
        <v>1399345</v>
      </c>
      <c r="H126" s="302">
        <v>110177</v>
      </c>
      <c r="I126" s="302">
        <v>1289168</v>
      </c>
      <c r="J126" s="302">
        <v>1289168</v>
      </c>
      <c r="K126" s="137"/>
      <c r="L126" s="137"/>
      <c r="M126" s="137"/>
    </row>
    <row r="127" spans="1:13" ht="258" hidden="1" thickTop="1" thickBot="1" x14ac:dyDescent="0.25">
      <c r="A127" s="126" t="s">
        <v>222</v>
      </c>
      <c r="B127" s="126" t="s">
        <v>223</v>
      </c>
      <c r="C127" s="126" t="s">
        <v>224</v>
      </c>
      <c r="D127" s="126" t="s">
        <v>225</v>
      </c>
      <c r="E127" s="256" t="s">
        <v>1161</v>
      </c>
      <c r="F127" s="187" t="s">
        <v>854</v>
      </c>
      <c r="G127" s="257"/>
      <c r="H127" s="257"/>
      <c r="I127" s="257"/>
      <c r="J127" s="257"/>
      <c r="K127" s="137"/>
      <c r="L127" s="137"/>
      <c r="M127" s="137"/>
    </row>
    <row r="128" spans="1:13" ht="184.5" hidden="1" thickTop="1" thickBot="1" x14ac:dyDescent="0.25">
      <c r="A128" s="126" t="s">
        <v>222</v>
      </c>
      <c r="B128" s="126" t="s">
        <v>223</v>
      </c>
      <c r="C128" s="126" t="s">
        <v>224</v>
      </c>
      <c r="D128" s="126" t="s">
        <v>225</v>
      </c>
      <c r="E128" s="243" t="s">
        <v>1186</v>
      </c>
      <c r="F128" s="187" t="s">
        <v>852</v>
      </c>
      <c r="G128" s="187"/>
      <c r="H128" s="187"/>
      <c r="I128" s="187"/>
      <c r="J128" s="187"/>
      <c r="K128" s="137"/>
      <c r="L128" s="137"/>
      <c r="M128" s="137"/>
    </row>
    <row r="129" spans="1:13" ht="276" thickTop="1" thickBot="1" x14ac:dyDescent="0.25">
      <c r="A129" s="101" t="s">
        <v>226</v>
      </c>
      <c r="B129" s="101" t="s">
        <v>227</v>
      </c>
      <c r="C129" s="101" t="s">
        <v>343</v>
      </c>
      <c r="D129" s="101" t="s">
        <v>228</v>
      </c>
      <c r="E129" s="302" t="s">
        <v>1588</v>
      </c>
      <c r="F129" s="302" t="s">
        <v>1449</v>
      </c>
      <c r="G129" s="309">
        <f t="shared" si="17"/>
        <v>22593210</v>
      </c>
      <c r="H129" s="309">
        <f>'d3'!E126</f>
        <v>21593210</v>
      </c>
      <c r="I129" s="309">
        <f>'d3'!J126</f>
        <v>1000000</v>
      </c>
      <c r="J129" s="309">
        <f>'d3'!K126</f>
        <v>1000000</v>
      </c>
      <c r="K129" s="137"/>
      <c r="L129" s="137"/>
      <c r="M129" s="137"/>
    </row>
    <row r="130" spans="1:13" ht="258" hidden="1" thickTop="1" thickBot="1" x14ac:dyDescent="0.25">
      <c r="A130" s="41" t="s">
        <v>470</v>
      </c>
      <c r="B130" s="41" t="s">
        <v>471</v>
      </c>
      <c r="C130" s="41" t="s">
        <v>229</v>
      </c>
      <c r="D130" s="41" t="s">
        <v>472</v>
      </c>
      <c r="E130" s="258" t="s">
        <v>853</v>
      </c>
      <c r="F130" s="73" t="s">
        <v>854</v>
      </c>
      <c r="G130" s="259">
        <f t="shared" si="17"/>
        <v>0</v>
      </c>
      <c r="H130" s="259">
        <f>'d3'!E128</f>
        <v>0</v>
      </c>
      <c r="I130" s="259">
        <f>'d3'!J128</f>
        <v>0</v>
      </c>
      <c r="J130" s="259">
        <f>'d3'!K128</f>
        <v>0</v>
      </c>
      <c r="K130" s="137"/>
      <c r="L130" s="137"/>
      <c r="M130" s="137"/>
    </row>
    <row r="131" spans="1:13" s="5" customFormat="1" ht="409.6" customHeight="1" thickTop="1" thickBot="1" x14ac:dyDescent="0.25">
      <c r="A131" s="101" t="s">
        <v>319</v>
      </c>
      <c r="B131" s="101" t="s">
        <v>321</v>
      </c>
      <c r="C131" s="101" t="s">
        <v>229</v>
      </c>
      <c r="D131" s="600" t="s">
        <v>317</v>
      </c>
      <c r="E131" s="302" t="s">
        <v>1588</v>
      </c>
      <c r="F131" s="302" t="s">
        <v>1449</v>
      </c>
      <c r="G131" s="309">
        <f t="shared" si="17"/>
        <v>4424235</v>
      </c>
      <c r="H131" s="309">
        <f>'d3'!E130</f>
        <v>4424235</v>
      </c>
      <c r="I131" s="309">
        <f>'d3'!J130</f>
        <v>0</v>
      </c>
      <c r="J131" s="309">
        <f>'d3'!K130</f>
        <v>0</v>
      </c>
      <c r="K131" s="136"/>
      <c r="L131" s="136"/>
      <c r="M131" s="136"/>
    </row>
    <row r="132" spans="1:13" s="5" customFormat="1" ht="276" thickTop="1" thickBot="1" x14ac:dyDescent="0.25">
      <c r="A132" s="101" t="s">
        <v>320</v>
      </c>
      <c r="B132" s="101" t="s">
        <v>322</v>
      </c>
      <c r="C132" s="101" t="s">
        <v>229</v>
      </c>
      <c r="D132" s="600" t="s">
        <v>318</v>
      </c>
      <c r="E132" s="302" t="s">
        <v>1588</v>
      </c>
      <c r="F132" s="302" t="s">
        <v>1449</v>
      </c>
      <c r="G132" s="309">
        <f>H132+I132</f>
        <v>5084500</v>
      </c>
      <c r="H132" s="309">
        <f>184500+1000000+3900000</f>
        <v>5084500</v>
      </c>
      <c r="I132" s="309">
        <v>0</v>
      </c>
      <c r="J132" s="309">
        <v>0</v>
      </c>
      <c r="K132" s="469" t="b">
        <f>H132+H133='d3'!E131</f>
        <v>1</v>
      </c>
      <c r="L132" s="470" t="b">
        <f>I132+I133='d3'!J131</f>
        <v>1</v>
      </c>
      <c r="M132" s="470" t="b">
        <f>J132+J133='d3'!K131</f>
        <v>1</v>
      </c>
    </row>
    <row r="133" spans="1:13" s="5" customFormat="1" ht="138.75" thickTop="1" thickBot="1" x14ac:dyDescent="0.25">
      <c r="A133" s="101" t="s">
        <v>320</v>
      </c>
      <c r="B133" s="101" t="s">
        <v>322</v>
      </c>
      <c r="C133" s="101" t="s">
        <v>229</v>
      </c>
      <c r="D133" s="600" t="s">
        <v>318</v>
      </c>
      <c r="E133" s="305" t="s">
        <v>1566</v>
      </c>
      <c r="F133" s="302" t="s">
        <v>1598</v>
      </c>
      <c r="G133" s="309">
        <f>H133+I133</f>
        <v>205000</v>
      </c>
      <c r="H133" s="309">
        <v>205000</v>
      </c>
      <c r="I133" s="309">
        <v>0</v>
      </c>
      <c r="J133" s="309">
        <v>0</v>
      </c>
      <c r="K133" s="136"/>
      <c r="L133" s="136"/>
      <c r="M133" s="136"/>
    </row>
    <row r="134" spans="1:13" s="5" customFormat="1" ht="276" hidden="1" thickTop="1" thickBot="1" x14ac:dyDescent="0.25">
      <c r="A134" s="126" t="s">
        <v>1486</v>
      </c>
      <c r="B134" s="126" t="s">
        <v>1487</v>
      </c>
      <c r="C134" s="126" t="s">
        <v>229</v>
      </c>
      <c r="D134" s="369" t="s">
        <v>1485</v>
      </c>
      <c r="E134" s="302" t="s">
        <v>1588</v>
      </c>
      <c r="F134" s="187" t="s">
        <v>1449</v>
      </c>
      <c r="G134" s="257">
        <f>H134+I134</f>
        <v>0</v>
      </c>
      <c r="H134" s="257">
        <f>'d3'!E133</f>
        <v>0</v>
      </c>
      <c r="I134" s="257">
        <f>'d3'!J133</f>
        <v>0</v>
      </c>
      <c r="J134" s="257">
        <f>'d3'!K133</f>
        <v>0</v>
      </c>
      <c r="K134" s="136"/>
      <c r="L134" s="136"/>
      <c r="M134" s="136"/>
    </row>
    <row r="135" spans="1:13" s="5" customFormat="1" ht="276" thickTop="1" thickBot="1" x14ac:dyDescent="0.25">
      <c r="A135" s="101" t="s">
        <v>1661</v>
      </c>
      <c r="B135" s="101" t="s">
        <v>1662</v>
      </c>
      <c r="C135" s="101" t="s">
        <v>229</v>
      </c>
      <c r="D135" s="101" t="s">
        <v>1660</v>
      </c>
      <c r="E135" s="302" t="s">
        <v>1588</v>
      </c>
      <c r="F135" s="302" t="s">
        <v>1449</v>
      </c>
      <c r="G135" s="309">
        <f>H135+I135</f>
        <v>2585828</v>
      </c>
      <c r="H135" s="309">
        <f>'d3'!E134</f>
        <v>0</v>
      </c>
      <c r="I135" s="309">
        <f>'d3'!J134</f>
        <v>2585828</v>
      </c>
      <c r="J135" s="309">
        <f>'d3'!K134</f>
        <v>2585828</v>
      </c>
      <c r="K135" s="136"/>
      <c r="L135" s="136"/>
      <c r="M135" s="136"/>
    </row>
    <row r="136" spans="1:13" s="5" customFormat="1" ht="276" thickTop="1" thickBot="1" x14ac:dyDescent="0.25">
      <c r="A136" s="101" t="s">
        <v>1701</v>
      </c>
      <c r="B136" s="101" t="s">
        <v>1644</v>
      </c>
      <c r="C136" s="101" t="s">
        <v>204</v>
      </c>
      <c r="D136" s="600" t="s">
        <v>1645</v>
      </c>
      <c r="E136" s="302" t="s">
        <v>1588</v>
      </c>
      <c r="F136" s="302" t="s">
        <v>1449</v>
      </c>
      <c r="G136" s="309">
        <f t="shared" ref="G136" si="18">H136+I136</f>
        <v>349000</v>
      </c>
      <c r="H136" s="309">
        <f>'d3'!E137</f>
        <v>349000</v>
      </c>
      <c r="I136" s="309">
        <f>'d3'!J137</f>
        <v>0</v>
      </c>
      <c r="J136" s="309">
        <f>'d3'!K137</f>
        <v>0</v>
      </c>
      <c r="K136" s="136"/>
      <c r="L136" s="136"/>
      <c r="M136" s="136"/>
    </row>
    <row r="137" spans="1:13" s="5" customFormat="1" ht="276" thickTop="1" thickBot="1" x14ac:dyDescent="0.25">
      <c r="A137" s="101" t="s">
        <v>1158</v>
      </c>
      <c r="B137" s="101" t="s">
        <v>1159</v>
      </c>
      <c r="C137" s="101" t="s">
        <v>205</v>
      </c>
      <c r="D137" s="600" t="s">
        <v>1160</v>
      </c>
      <c r="E137" s="302" t="s">
        <v>1588</v>
      </c>
      <c r="F137" s="302" t="s">
        <v>1449</v>
      </c>
      <c r="G137" s="309">
        <f t="shared" ref="G137:G140" si="19">H137+I137</f>
        <v>100000</v>
      </c>
      <c r="H137" s="309">
        <f>'d3'!E138</f>
        <v>100000</v>
      </c>
      <c r="I137" s="309">
        <f>'d3'!J138</f>
        <v>0</v>
      </c>
      <c r="J137" s="309">
        <f>'d3'!K138</f>
        <v>0</v>
      </c>
      <c r="K137" s="136"/>
      <c r="L137" s="136"/>
      <c r="M137" s="136"/>
    </row>
    <row r="138" spans="1:13" s="5" customFormat="1" ht="258" hidden="1" thickTop="1" thickBot="1" x14ac:dyDescent="0.25">
      <c r="A138" s="41" t="s">
        <v>1021</v>
      </c>
      <c r="B138" s="41" t="s">
        <v>1022</v>
      </c>
      <c r="C138" s="41" t="s">
        <v>169</v>
      </c>
      <c r="D138" s="41" t="s">
        <v>1023</v>
      </c>
      <c r="E138" s="256" t="s">
        <v>1435</v>
      </c>
      <c r="F138" s="187"/>
      <c r="G138" s="73">
        <f t="shared" si="19"/>
        <v>0</v>
      </c>
      <c r="H138" s="73">
        <f>'d3'!E141</f>
        <v>0</v>
      </c>
      <c r="I138" s="73">
        <f>'d3'!J141</f>
        <v>0</v>
      </c>
      <c r="J138" s="73">
        <f>'d3'!K141</f>
        <v>0</v>
      </c>
      <c r="K138" s="136"/>
      <c r="L138" s="136"/>
      <c r="M138" s="136"/>
    </row>
    <row r="139" spans="1:13" s="5" customFormat="1" ht="276" thickTop="1" thickBot="1" x14ac:dyDescent="0.25">
      <c r="A139" s="101" t="s">
        <v>1213</v>
      </c>
      <c r="B139" s="101" t="s">
        <v>211</v>
      </c>
      <c r="C139" s="101" t="s">
        <v>212</v>
      </c>
      <c r="D139" s="101" t="s">
        <v>41</v>
      </c>
      <c r="E139" s="302" t="s">
        <v>1588</v>
      </c>
      <c r="F139" s="302" t="s">
        <v>1449</v>
      </c>
      <c r="G139" s="302">
        <f t="shared" si="19"/>
        <v>6518815</v>
      </c>
      <c r="H139" s="302">
        <f>'d3'!E143</f>
        <v>0</v>
      </c>
      <c r="I139" s="302">
        <f>'d3'!J143</f>
        <v>6518815</v>
      </c>
      <c r="J139" s="302">
        <f>'d3'!K143</f>
        <v>6518815</v>
      </c>
      <c r="K139" s="136"/>
      <c r="L139" s="136"/>
      <c r="M139" s="136"/>
    </row>
    <row r="140" spans="1:13" s="5" customFormat="1" ht="138.75" hidden="1" thickTop="1" thickBot="1" x14ac:dyDescent="0.25">
      <c r="A140" s="41" t="s">
        <v>430</v>
      </c>
      <c r="B140" s="41" t="s">
        <v>196</v>
      </c>
      <c r="C140" s="41" t="s">
        <v>169</v>
      </c>
      <c r="D140" s="41" t="s">
        <v>34</v>
      </c>
      <c r="E140" s="73" t="s">
        <v>431</v>
      </c>
      <c r="F140" s="73" t="s">
        <v>405</v>
      </c>
      <c r="G140" s="898">
        <f t="shared" si="19"/>
        <v>0</v>
      </c>
      <c r="H140" s="898">
        <v>0</v>
      </c>
      <c r="I140" s="898">
        <f>'d3'!J144-I142</f>
        <v>0</v>
      </c>
      <c r="J140" s="898">
        <f>'d3'!K144-J142</f>
        <v>0</v>
      </c>
      <c r="K140" s="136"/>
      <c r="L140" s="136"/>
      <c r="M140" s="136"/>
    </row>
    <row r="141" spans="1:13" s="5" customFormat="1" ht="258" hidden="1" thickTop="1" thickBot="1" x14ac:dyDescent="0.25">
      <c r="A141" s="41" t="s">
        <v>430</v>
      </c>
      <c r="B141" s="41" t="s">
        <v>196</v>
      </c>
      <c r="C141" s="41" t="s">
        <v>169</v>
      </c>
      <c r="D141" s="41" t="s">
        <v>34</v>
      </c>
      <c r="E141" s="258" t="s">
        <v>853</v>
      </c>
      <c r="F141" s="73" t="s">
        <v>854</v>
      </c>
      <c r="G141" s="899"/>
      <c r="H141" s="899"/>
      <c r="I141" s="899"/>
      <c r="J141" s="899"/>
      <c r="K141" s="136"/>
      <c r="L141" s="136"/>
      <c r="M141" s="136"/>
    </row>
    <row r="142" spans="1:13" s="5" customFormat="1" ht="138.75" hidden="1" thickTop="1" thickBot="1" x14ac:dyDescent="0.25">
      <c r="A142" s="41" t="s">
        <v>430</v>
      </c>
      <c r="B142" s="41" t="s">
        <v>196</v>
      </c>
      <c r="C142" s="41" t="s">
        <v>169</v>
      </c>
      <c r="D142" s="41" t="s">
        <v>34</v>
      </c>
      <c r="E142" s="246" t="s">
        <v>444</v>
      </c>
      <c r="F142" s="251" t="s">
        <v>445</v>
      </c>
      <c r="G142" s="73">
        <f>H142+I142</f>
        <v>0</v>
      </c>
      <c r="H142" s="73">
        <v>0</v>
      </c>
      <c r="I142" s="73"/>
      <c r="J142" s="73"/>
      <c r="K142" s="136"/>
      <c r="L142" s="136"/>
      <c r="M142" s="136"/>
    </row>
    <row r="143" spans="1:13" s="5" customFormat="1" ht="138.75" thickTop="1" thickBot="1" x14ac:dyDescent="0.25">
      <c r="A143" s="101" t="s">
        <v>504</v>
      </c>
      <c r="B143" s="101" t="s">
        <v>359</v>
      </c>
      <c r="C143" s="101" t="s">
        <v>43</v>
      </c>
      <c r="D143" s="101" t="s">
        <v>360</v>
      </c>
      <c r="E143" s="305" t="s">
        <v>1566</v>
      </c>
      <c r="F143" s="302" t="s">
        <v>1598</v>
      </c>
      <c r="G143" s="302">
        <f>H143+I143</f>
        <v>500000</v>
      </c>
      <c r="H143" s="302">
        <f>'d3'!F147</f>
        <v>0</v>
      </c>
      <c r="I143" s="302">
        <f>'d3'!J147</f>
        <v>500000</v>
      </c>
      <c r="J143" s="302">
        <f>'d3'!K147</f>
        <v>500000</v>
      </c>
      <c r="K143" s="136"/>
      <c r="L143" s="136"/>
      <c r="M143" s="136"/>
    </row>
    <row r="144" spans="1:13" ht="170.45" customHeight="1" thickTop="1" thickBot="1" x14ac:dyDescent="0.25">
      <c r="A144" s="585" t="s">
        <v>155</v>
      </c>
      <c r="B144" s="585"/>
      <c r="C144" s="585"/>
      <c r="D144" s="586" t="s">
        <v>37</v>
      </c>
      <c r="E144" s="585"/>
      <c r="F144" s="585"/>
      <c r="G144" s="587">
        <f>G145</f>
        <v>548090329.79999995</v>
      </c>
      <c r="H144" s="587">
        <f t="shared" ref="H144:J144" si="20">H145</f>
        <v>431083615.80000001</v>
      </c>
      <c r="I144" s="587">
        <f t="shared" si="20"/>
        <v>117006714</v>
      </c>
      <c r="J144" s="587">
        <f t="shared" si="20"/>
        <v>106224466</v>
      </c>
      <c r="K144" s="95" t="b">
        <f>H144='d3'!E149-'d3'!E151-'d3'!E179-'d3'!E198+H146+H147+H148</f>
        <v>1</v>
      </c>
      <c r="L144" s="426" t="b">
        <f>I144='d3'!J149-'d3'!J151-'d3'!J179-'d3'!J198+'d7'!I146+I147+I148</f>
        <v>1</v>
      </c>
      <c r="M144" s="426" t="b">
        <f>J144='d3'!K149-'d3'!K151-'d3'!K179-'d3'!K198+'d7'!J146+J147+J148</f>
        <v>1</v>
      </c>
    </row>
    <row r="145" spans="1:13" ht="170.45" customHeight="1" thickTop="1" thickBot="1" x14ac:dyDescent="0.25">
      <c r="A145" s="588" t="s">
        <v>156</v>
      </c>
      <c r="B145" s="588"/>
      <c r="C145" s="588"/>
      <c r="D145" s="589" t="s">
        <v>38</v>
      </c>
      <c r="E145" s="590"/>
      <c r="F145" s="590"/>
      <c r="G145" s="590">
        <f>SUM(G146:G189)</f>
        <v>548090329.79999995</v>
      </c>
      <c r="H145" s="590">
        <f>SUM(H146:H189)</f>
        <v>431083615.80000001</v>
      </c>
      <c r="I145" s="590">
        <f>SUM(I146:I189)</f>
        <v>117006714</v>
      </c>
      <c r="J145" s="590">
        <f>SUM(J146:J189)</f>
        <v>106224466</v>
      </c>
      <c r="K145" s="137"/>
      <c r="L145" s="47"/>
      <c r="M145" s="137"/>
    </row>
    <row r="146" spans="1:13" ht="138.75" hidden="1" thickTop="1" thickBot="1" x14ac:dyDescent="0.25">
      <c r="A146" s="126" t="s">
        <v>410</v>
      </c>
      <c r="B146" s="126" t="s">
        <v>235</v>
      </c>
      <c r="C146" s="126" t="s">
        <v>233</v>
      </c>
      <c r="D146" s="126" t="s">
        <v>234</v>
      </c>
      <c r="E146" s="243" t="s">
        <v>1005</v>
      </c>
      <c r="F146" s="187" t="s">
        <v>841</v>
      </c>
      <c r="G146" s="187">
        <f t="shared" ref="G146:G187" si="21">H146+I146</f>
        <v>0</v>
      </c>
      <c r="H146" s="187">
        <v>0</v>
      </c>
      <c r="I146" s="187">
        <v>0</v>
      </c>
      <c r="J146" s="187">
        <v>0</v>
      </c>
      <c r="K146" s="137"/>
      <c r="L146" s="47"/>
      <c r="M146" s="137"/>
    </row>
    <row r="147" spans="1:13" ht="138.75" hidden="1" thickTop="1" thickBot="1" x14ac:dyDescent="0.25">
      <c r="A147" s="126" t="s">
        <v>410</v>
      </c>
      <c r="B147" s="126" t="s">
        <v>235</v>
      </c>
      <c r="C147" s="126" t="s">
        <v>233</v>
      </c>
      <c r="D147" s="126" t="s">
        <v>234</v>
      </c>
      <c r="E147" s="243" t="s">
        <v>1237</v>
      </c>
      <c r="F147" s="187" t="s">
        <v>1238</v>
      </c>
      <c r="G147" s="187">
        <f t="shared" si="21"/>
        <v>0</v>
      </c>
      <c r="H147" s="187">
        <v>0</v>
      </c>
      <c r="I147" s="187">
        <v>0</v>
      </c>
      <c r="J147" s="187">
        <v>0</v>
      </c>
      <c r="K147" s="137"/>
      <c r="L147" s="47"/>
      <c r="M147" s="137"/>
    </row>
    <row r="148" spans="1:13" ht="138.75" hidden="1" thickTop="1" thickBot="1" x14ac:dyDescent="0.25">
      <c r="A148" s="126" t="s">
        <v>410</v>
      </c>
      <c r="B148" s="126" t="s">
        <v>235</v>
      </c>
      <c r="C148" s="126" t="s">
        <v>233</v>
      </c>
      <c r="D148" s="126" t="s">
        <v>234</v>
      </c>
      <c r="E148" s="243" t="s">
        <v>1151</v>
      </c>
      <c r="F148" s="187" t="s">
        <v>1127</v>
      </c>
      <c r="G148" s="187">
        <f t="shared" ref="G148" si="22">H148+I148</f>
        <v>0</v>
      </c>
      <c r="H148" s="187">
        <v>0</v>
      </c>
      <c r="I148" s="187"/>
      <c r="J148" s="187"/>
      <c r="K148" s="137"/>
      <c r="L148" s="47"/>
      <c r="M148" s="137"/>
    </row>
    <row r="149" spans="1:13" ht="276" hidden="1" thickTop="1" thickBot="1" x14ac:dyDescent="0.25">
      <c r="A149" s="126" t="s">
        <v>619</v>
      </c>
      <c r="B149" s="126" t="s">
        <v>358</v>
      </c>
      <c r="C149" s="126" t="s">
        <v>616</v>
      </c>
      <c r="D149" s="126" t="s">
        <v>617</v>
      </c>
      <c r="E149" s="243" t="s">
        <v>1248</v>
      </c>
      <c r="F149" s="187" t="s">
        <v>1249</v>
      </c>
      <c r="G149" s="187">
        <f t="shared" si="21"/>
        <v>0</v>
      </c>
      <c r="H149" s="187">
        <f>'d3'!E152</f>
        <v>0</v>
      </c>
      <c r="I149" s="187">
        <f>'d3'!J152</f>
        <v>0</v>
      </c>
      <c r="J149" s="187">
        <f>'d3'!K152</f>
        <v>0</v>
      </c>
      <c r="K149" s="137"/>
      <c r="L149" s="47"/>
      <c r="M149" s="137"/>
    </row>
    <row r="150" spans="1:13" ht="138.75" thickTop="1" thickBot="1" x14ac:dyDescent="0.25">
      <c r="A150" s="101" t="s">
        <v>901</v>
      </c>
      <c r="B150" s="101" t="s">
        <v>43</v>
      </c>
      <c r="C150" s="101" t="s">
        <v>42</v>
      </c>
      <c r="D150" s="101" t="s">
        <v>246</v>
      </c>
      <c r="E150" s="305" t="s">
        <v>936</v>
      </c>
      <c r="F150" s="302" t="s">
        <v>932</v>
      </c>
      <c r="G150" s="302">
        <f t="shared" si="21"/>
        <v>30000</v>
      </c>
      <c r="H150" s="302">
        <f>'d3'!E153</f>
        <v>30000</v>
      </c>
      <c r="I150" s="302">
        <f>'d3'!J153</f>
        <v>0</v>
      </c>
      <c r="J150" s="302">
        <f>'d3'!K153</f>
        <v>0</v>
      </c>
      <c r="K150" s="137"/>
      <c r="L150" s="47"/>
      <c r="M150" s="137"/>
    </row>
    <row r="151" spans="1:13" s="5" customFormat="1" ht="138.75" thickTop="1" thickBot="1" x14ac:dyDescent="0.25">
      <c r="A151" s="101" t="s">
        <v>267</v>
      </c>
      <c r="B151" s="101" t="s">
        <v>268</v>
      </c>
      <c r="C151" s="101" t="s">
        <v>204</v>
      </c>
      <c r="D151" s="311" t="s">
        <v>269</v>
      </c>
      <c r="E151" s="305" t="s">
        <v>1151</v>
      </c>
      <c r="F151" s="302" t="s">
        <v>1127</v>
      </c>
      <c r="G151" s="302">
        <f t="shared" si="21"/>
        <v>908000</v>
      </c>
      <c r="H151" s="302">
        <f>'d3'!E156</f>
        <v>858000</v>
      </c>
      <c r="I151" s="302">
        <f>'d3'!J156</f>
        <v>50000</v>
      </c>
      <c r="J151" s="302">
        <f>'d3'!K156</f>
        <v>50000</v>
      </c>
      <c r="K151" s="136"/>
      <c r="L151" s="136"/>
      <c r="M151" s="136"/>
    </row>
    <row r="152" spans="1:13" s="5" customFormat="1" ht="138.75" thickTop="1" thickBot="1" x14ac:dyDescent="0.25">
      <c r="A152" s="101" t="s">
        <v>270</v>
      </c>
      <c r="B152" s="101" t="s">
        <v>271</v>
      </c>
      <c r="C152" s="101" t="s">
        <v>205</v>
      </c>
      <c r="D152" s="101" t="s">
        <v>6</v>
      </c>
      <c r="E152" s="305" t="s">
        <v>1151</v>
      </c>
      <c r="F152" s="302" t="s">
        <v>1127</v>
      </c>
      <c r="G152" s="302">
        <f t="shared" si="21"/>
        <v>650000</v>
      </c>
      <c r="H152" s="302">
        <f>'d3'!E157</f>
        <v>650000</v>
      </c>
      <c r="I152" s="302">
        <f>'d3'!J157</f>
        <v>0</v>
      </c>
      <c r="J152" s="302">
        <f>'d3'!K157</f>
        <v>0</v>
      </c>
      <c r="K152" s="136"/>
      <c r="L152" s="136"/>
      <c r="M152" s="136"/>
    </row>
    <row r="153" spans="1:13" s="5" customFormat="1" ht="138.75" thickTop="1" thickBot="1" x14ac:dyDescent="0.25">
      <c r="A153" s="101" t="s">
        <v>273</v>
      </c>
      <c r="B153" s="101" t="s">
        <v>274</v>
      </c>
      <c r="C153" s="101" t="s">
        <v>205</v>
      </c>
      <c r="D153" s="101" t="s">
        <v>7</v>
      </c>
      <c r="E153" s="305" t="s">
        <v>1151</v>
      </c>
      <c r="F153" s="302" t="s">
        <v>1127</v>
      </c>
      <c r="G153" s="302">
        <f t="shared" si="21"/>
        <v>40000000</v>
      </c>
      <c r="H153" s="302">
        <f>'d3'!E158</f>
        <v>40000000</v>
      </c>
      <c r="I153" s="302">
        <f>'d3'!J158</f>
        <v>0</v>
      </c>
      <c r="J153" s="302">
        <f>'d3'!K158</f>
        <v>0</v>
      </c>
      <c r="K153" s="136"/>
      <c r="L153" s="136"/>
      <c r="M153" s="136"/>
    </row>
    <row r="154" spans="1:13" s="5" customFormat="1" ht="138.75" thickTop="1" thickBot="1" x14ac:dyDescent="0.25">
      <c r="A154" s="101" t="s">
        <v>275</v>
      </c>
      <c r="B154" s="101" t="s">
        <v>272</v>
      </c>
      <c r="C154" s="101" t="s">
        <v>205</v>
      </c>
      <c r="D154" s="101" t="s">
        <v>8</v>
      </c>
      <c r="E154" s="305" t="s">
        <v>1151</v>
      </c>
      <c r="F154" s="302" t="s">
        <v>1127</v>
      </c>
      <c r="G154" s="302">
        <f t="shared" si="21"/>
        <v>800000</v>
      </c>
      <c r="H154" s="302">
        <f>'d3'!E159</f>
        <v>800000</v>
      </c>
      <c r="I154" s="302">
        <f>'d3'!J159</f>
        <v>0</v>
      </c>
      <c r="J154" s="302">
        <f>'d3'!K159</f>
        <v>0</v>
      </c>
      <c r="K154" s="136"/>
      <c r="L154" s="136"/>
      <c r="M154" s="136"/>
    </row>
    <row r="155" spans="1:13" s="5" customFormat="1" ht="138.75" thickTop="1" thickBot="1" x14ac:dyDescent="0.25">
      <c r="A155" s="101" t="s">
        <v>276</v>
      </c>
      <c r="B155" s="101" t="s">
        <v>277</v>
      </c>
      <c r="C155" s="101" t="s">
        <v>205</v>
      </c>
      <c r="D155" s="101" t="s">
        <v>9</v>
      </c>
      <c r="E155" s="305" t="s">
        <v>1151</v>
      </c>
      <c r="F155" s="302" t="s">
        <v>1127</v>
      </c>
      <c r="G155" s="302">
        <f t="shared" si="21"/>
        <v>66476300</v>
      </c>
      <c r="H155" s="302">
        <f>'d3'!E160</f>
        <v>66476300</v>
      </c>
      <c r="I155" s="302">
        <f>'d3'!J160</f>
        <v>0</v>
      </c>
      <c r="J155" s="302">
        <f>'d3'!K160</f>
        <v>0</v>
      </c>
      <c r="K155" s="136"/>
      <c r="L155" s="136"/>
      <c r="M155" s="136"/>
    </row>
    <row r="156" spans="1:13" s="5" customFormat="1" ht="138.75" thickTop="1" thickBot="1" x14ac:dyDescent="0.25">
      <c r="A156" s="101" t="s">
        <v>473</v>
      </c>
      <c r="B156" s="101" t="s">
        <v>474</v>
      </c>
      <c r="C156" s="101" t="s">
        <v>205</v>
      </c>
      <c r="D156" s="101" t="s">
        <v>475</v>
      </c>
      <c r="E156" s="305" t="s">
        <v>1151</v>
      </c>
      <c r="F156" s="302" t="s">
        <v>1127</v>
      </c>
      <c r="G156" s="302">
        <f t="shared" si="21"/>
        <v>381295</v>
      </c>
      <c r="H156" s="302">
        <f>'d3'!E161</f>
        <v>381295</v>
      </c>
      <c r="I156" s="302">
        <f>'d3'!J161</f>
        <v>0</v>
      </c>
      <c r="J156" s="302">
        <f>'d3'!K161</f>
        <v>0</v>
      </c>
      <c r="K156" s="136"/>
      <c r="L156" s="136"/>
      <c r="M156" s="136"/>
    </row>
    <row r="157" spans="1:13" s="5" customFormat="1" ht="138.75" thickTop="1" thickBot="1" x14ac:dyDescent="0.25">
      <c r="A157" s="101" t="s">
        <v>902</v>
      </c>
      <c r="B157" s="101" t="s">
        <v>903</v>
      </c>
      <c r="C157" s="101" t="s">
        <v>205</v>
      </c>
      <c r="D157" s="101" t="s">
        <v>904</v>
      </c>
      <c r="E157" s="305" t="s">
        <v>1151</v>
      </c>
      <c r="F157" s="302" t="s">
        <v>1127</v>
      </c>
      <c r="G157" s="302">
        <f t="shared" ref="G157" si="23">H157+I157</f>
        <v>2000000</v>
      </c>
      <c r="H157" s="302">
        <f>'d3'!E162</f>
        <v>2000000</v>
      </c>
      <c r="I157" s="302">
        <f>'d3'!J162</f>
        <v>0</v>
      </c>
      <c r="J157" s="302">
        <f>'d3'!K162</f>
        <v>0</v>
      </c>
      <c r="K157" s="136"/>
      <c r="L157" s="136"/>
      <c r="M157" s="136"/>
    </row>
    <row r="158" spans="1:13" s="5" customFormat="1" ht="138.75" thickTop="1" thickBot="1" x14ac:dyDescent="0.25">
      <c r="A158" s="101" t="s">
        <v>476</v>
      </c>
      <c r="B158" s="101" t="s">
        <v>477</v>
      </c>
      <c r="C158" s="101" t="s">
        <v>204</v>
      </c>
      <c r="D158" s="101" t="s">
        <v>478</v>
      </c>
      <c r="E158" s="305" t="s">
        <v>1151</v>
      </c>
      <c r="F158" s="302" t="s">
        <v>1127</v>
      </c>
      <c r="G158" s="302">
        <f t="shared" si="21"/>
        <v>900640</v>
      </c>
      <c r="H158" s="302">
        <f>'d3'!E163</f>
        <v>900640</v>
      </c>
      <c r="I158" s="302">
        <f>'d3'!J163</f>
        <v>0</v>
      </c>
      <c r="J158" s="302">
        <f>'d3'!K163</f>
        <v>0</v>
      </c>
      <c r="K158" s="136"/>
      <c r="L158" s="136"/>
      <c r="M158" s="136"/>
    </row>
    <row r="159" spans="1:13" ht="184.5" thickTop="1" thickBot="1" x14ac:dyDescent="0.25">
      <c r="A159" s="101" t="s">
        <v>265</v>
      </c>
      <c r="B159" s="101" t="s">
        <v>263</v>
      </c>
      <c r="C159" s="101" t="s">
        <v>199</v>
      </c>
      <c r="D159" s="101" t="s">
        <v>17</v>
      </c>
      <c r="E159" s="305" t="s">
        <v>1151</v>
      </c>
      <c r="F159" s="302" t="s">
        <v>1127</v>
      </c>
      <c r="G159" s="302">
        <f t="shared" si="21"/>
        <v>57239235</v>
      </c>
      <c r="H159" s="302">
        <f>'d3'!E165-H160</f>
        <v>55289235</v>
      </c>
      <c r="I159" s="302">
        <f>'d3'!J165-I160</f>
        <v>1950000</v>
      </c>
      <c r="J159" s="302">
        <f>'d3'!K165-J160</f>
        <v>150000</v>
      </c>
      <c r="K159" s="95" t="b">
        <f>H159+H160='d3'!E165</f>
        <v>1</v>
      </c>
      <c r="L159" s="95" t="b">
        <f>I159+I160='d3'!J165</f>
        <v>1</v>
      </c>
      <c r="M159" s="95" t="b">
        <f>J159+J160='d3'!K165</f>
        <v>1</v>
      </c>
    </row>
    <row r="160" spans="1:13" ht="184.5" thickTop="1" thickBot="1" x14ac:dyDescent="0.25">
      <c r="A160" s="101" t="s">
        <v>265</v>
      </c>
      <c r="B160" s="101" t="s">
        <v>263</v>
      </c>
      <c r="C160" s="101" t="s">
        <v>199</v>
      </c>
      <c r="D160" s="101" t="s">
        <v>17</v>
      </c>
      <c r="E160" s="305" t="s">
        <v>1498</v>
      </c>
      <c r="F160" s="302" t="s">
        <v>1499</v>
      </c>
      <c r="G160" s="302">
        <f t="shared" si="21"/>
        <v>349696</v>
      </c>
      <c r="H160" s="302">
        <v>349696</v>
      </c>
      <c r="I160" s="302">
        <v>0</v>
      </c>
      <c r="J160" s="302">
        <v>0</v>
      </c>
      <c r="K160" s="137"/>
      <c r="L160" s="137"/>
      <c r="M160" s="137"/>
    </row>
    <row r="161" spans="1:13" ht="138.75" thickTop="1" thickBot="1" x14ac:dyDescent="0.25">
      <c r="A161" s="101" t="s">
        <v>266</v>
      </c>
      <c r="B161" s="101" t="s">
        <v>264</v>
      </c>
      <c r="C161" s="101" t="s">
        <v>198</v>
      </c>
      <c r="D161" s="101" t="s">
        <v>450</v>
      </c>
      <c r="E161" s="305" t="s">
        <v>1151</v>
      </c>
      <c r="F161" s="302" t="s">
        <v>1127</v>
      </c>
      <c r="G161" s="302">
        <f t="shared" si="21"/>
        <v>14676369.26</v>
      </c>
      <c r="H161" s="302">
        <f>'d3'!E166-H162</f>
        <v>14272569.26</v>
      </c>
      <c r="I161" s="302">
        <f>'d3'!J166-I162</f>
        <v>403800</v>
      </c>
      <c r="J161" s="302">
        <f>'d3'!K166-J162</f>
        <v>403800</v>
      </c>
      <c r="K161" s="137"/>
      <c r="L161" s="137"/>
      <c r="M161" s="137"/>
    </row>
    <row r="162" spans="1:13" ht="138.75" hidden="1" thickTop="1" thickBot="1" x14ac:dyDescent="0.25">
      <c r="A162" s="126" t="s">
        <v>266</v>
      </c>
      <c r="B162" s="126" t="s">
        <v>264</v>
      </c>
      <c r="C162" s="126" t="s">
        <v>198</v>
      </c>
      <c r="D162" s="126" t="s">
        <v>450</v>
      </c>
      <c r="E162" s="243" t="s">
        <v>1323</v>
      </c>
      <c r="F162" s="187" t="s">
        <v>445</v>
      </c>
      <c r="G162" s="187">
        <f t="shared" si="21"/>
        <v>0</v>
      </c>
      <c r="H162" s="187">
        <v>0</v>
      </c>
      <c r="I162" s="187">
        <v>0</v>
      </c>
      <c r="J162" s="187">
        <v>0</v>
      </c>
      <c r="K162" s="137"/>
      <c r="L162" s="137"/>
      <c r="M162" s="137"/>
    </row>
    <row r="163" spans="1:13" ht="138.75" thickTop="1" thickBot="1" x14ac:dyDescent="0.25">
      <c r="A163" s="101" t="s">
        <v>1670</v>
      </c>
      <c r="B163" s="101" t="s">
        <v>1671</v>
      </c>
      <c r="C163" s="101" t="s">
        <v>184</v>
      </c>
      <c r="D163" s="101" t="s">
        <v>1669</v>
      </c>
      <c r="E163" s="305" t="s">
        <v>1151</v>
      </c>
      <c r="F163" s="302" t="s">
        <v>1127</v>
      </c>
      <c r="G163" s="302">
        <f t="shared" si="21"/>
        <v>44745</v>
      </c>
      <c r="H163" s="302">
        <f>'d3'!E168</f>
        <v>44745</v>
      </c>
      <c r="I163" s="302">
        <f>'d3'!J168</f>
        <v>0</v>
      </c>
      <c r="J163" s="302">
        <f>'d3'!K168</f>
        <v>0</v>
      </c>
      <c r="K163" s="137"/>
      <c r="L163" s="137"/>
      <c r="M163" s="137"/>
    </row>
    <row r="164" spans="1:13" ht="230.25" thickTop="1" thickBot="1" x14ac:dyDescent="0.25">
      <c r="A164" s="101" t="s">
        <v>1174</v>
      </c>
      <c r="B164" s="101" t="s">
        <v>183</v>
      </c>
      <c r="C164" s="101" t="s">
        <v>184</v>
      </c>
      <c r="D164" s="101" t="s">
        <v>1617</v>
      </c>
      <c r="E164" s="305" t="s">
        <v>1151</v>
      </c>
      <c r="F164" s="302" t="s">
        <v>1127</v>
      </c>
      <c r="G164" s="302">
        <f>H164+I164</f>
        <v>8927623</v>
      </c>
      <c r="H164" s="302">
        <f>'d3'!E170-H165</f>
        <v>8876023</v>
      </c>
      <c r="I164" s="302">
        <f>'d3'!J170-I165</f>
        <v>51600</v>
      </c>
      <c r="J164" s="302">
        <f>'d3'!K170-J165</f>
        <v>0</v>
      </c>
      <c r="K164" s="137"/>
      <c r="L164" s="137"/>
      <c r="M164" s="137"/>
    </row>
    <row r="165" spans="1:13" ht="230.25" thickTop="1" thickBot="1" x14ac:dyDescent="0.25">
      <c r="A165" s="101" t="s">
        <v>1174</v>
      </c>
      <c r="B165" s="101" t="s">
        <v>183</v>
      </c>
      <c r="C165" s="101" t="s">
        <v>184</v>
      </c>
      <c r="D165" s="101" t="s">
        <v>1617</v>
      </c>
      <c r="E165" s="305" t="s">
        <v>1498</v>
      </c>
      <c r="F165" s="302" t="s">
        <v>1499</v>
      </c>
      <c r="G165" s="302">
        <f>H165+I165</f>
        <v>350000</v>
      </c>
      <c r="H165" s="302">
        <v>260000</v>
      </c>
      <c r="I165" s="302">
        <v>90000</v>
      </c>
      <c r="J165" s="302">
        <v>90000</v>
      </c>
      <c r="K165" s="137"/>
      <c r="L165" s="137"/>
      <c r="M165" s="137"/>
    </row>
    <row r="166" spans="1:13" ht="184.5" thickTop="1" thickBot="1" x14ac:dyDescent="0.25">
      <c r="A166" s="101" t="s">
        <v>990</v>
      </c>
      <c r="B166" s="101" t="s">
        <v>991</v>
      </c>
      <c r="C166" s="101" t="s">
        <v>184</v>
      </c>
      <c r="D166" s="101" t="s">
        <v>1618</v>
      </c>
      <c r="E166" s="305" t="s">
        <v>1151</v>
      </c>
      <c r="F166" s="302" t="s">
        <v>1127</v>
      </c>
      <c r="G166" s="302">
        <f t="shared" si="21"/>
        <v>4448032</v>
      </c>
      <c r="H166" s="302">
        <f>'d3'!E171</f>
        <v>4448032</v>
      </c>
      <c r="I166" s="302">
        <f>'d3'!J171</f>
        <v>0</v>
      </c>
      <c r="J166" s="302">
        <f>'d3'!K171</f>
        <v>0</v>
      </c>
      <c r="K166" s="137"/>
      <c r="L166" s="137"/>
      <c r="M166" s="137"/>
    </row>
    <row r="167" spans="1:13" ht="230.25" thickTop="1" thickBot="1" x14ac:dyDescent="0.25">
      <c r="A167" s="101" t="s">
        <v>261</v>
      </c>
      <c r="B167" s="101" t="s">
        <v>262</v>
      </c>
      <c r="C167" s="101" t="s">
        <v>198</v>
      </c>
      <c r="D167" s="101" t="s">
        <v>448</v>
      </c>
      <c r="E167" s="305" t="s">
        <v>1151</v>
      </c>
      <c r="F167" s="302" t="s">
        <v>1127</v>
      </c>
      <c r="G167" s="302">
        <f t="shared" si="21"/>
        <v>9547200</v>
      </c>
      <c r="H167" s="302">
        <f>'d3'!E172</f>
        <v>9547200</v>
      </c>
      <c r="I167" s="302">
        <f>'d3'!J172</f>
        <v>0</v>
      </c>
      <c r="J167" s="302">
        <f>'d3'!K172</f>
        <v>0</v>
      </c>
      <c r="K167" s="137"/>
      <c r="L167" s="137"/>
      <c r="M167" s="137"/>
    </row>
    <row r="168" spans="1:13" ht="138.75" thickTop="1" thickBot="1" x14ac:dyDescent="0.25">
      <c r="A168" s="101" t="s">
        <v>479</v>
      </c>
      <c r="B168" s="101" t="s">
        <v>480</v>
      </c>
      <c r="C168" s="101" t="s">
        <v>198</v>
      </c>
      <c r="D168" s="101" t="s">
        <v>481</v>
      </c>
      <c r="E168" s="305" t="s">
        <v>1151</v>
      </c>
      <c r="F168" s="302" t="s">
        <v>1127</v>
      </c>
      <c r="G168" s="302">
        <f t="shared" si="21"/>
        <v>160170</v>
      </c>
      <c r="H168" s="302">
        <f>'d3'!E174</f>
        <v>160170</v>
      </c>
      <c r="I168" s="302">
        <f>'d3'!J174</f>
        <v>0</v>
      </c>
      <c r="J168" s="302">
        <f>'d3'!K174</f>
        <v>0</v>
      </c>
      <c r="K168" s="137"/>
      <c r="L168" s="137"/>
      <c r="M168" s="137"/>
    </row>
    <row r="169" spans="1:13" ht="184.5" thickTop="1" thickBot="1" x14ac:dyDescent="0.25">
      <c r="A169" s="101" t="s">
        <v>345</v>
      </c>
      <c r="B169" s="101" t="s">
        <v>344</v>
      </c>
      <c r="C169" s="101" t="s">
        <v>50</v>
      </c>
      <c r="D169" s="101" t="s">
        <v>449</v>
      </c>
      <c r="E169" s="305" t="s">
        <v>1151</v>
      </c>
      <c r="F169" s="302" t="s">
        <v>1127</v>
      </c>
      <c r="G169" s="302">
        <f t="shared" si="21"/>
        <v>1377120</v>
      </c>
      <c r="H169" s="302">
        <v>1377120</v>
      </c>
      <c r="I169" s="302">
        <f>'d3'!J175-I170-I171</f>
        <v>0</v>
      </c>
      <c r="J169" s="302">
        <f>'d3'!K175-J170-J171</f>
        <v>0</v>
      </c>
      <c r="K169" s="95" t="b">
        <f>H169+H170+H171='d3'!E175</f>
        <v>1</v>
      </c>
      <c r="L169" s="95" t="b">
        <f>I169+I170+I171='d3'!J175</f>
        <v>1</v>
      </c>
      <c r="M169" s="95" t="b">
        <f>J169+J170+J171='d3'!K175</f>
        <v>1</v>
      </c>
    </row>
    <row r="170" spans="1:13" ht="184.5" thickTop="1" thickBot="1" x14ac:dyDescent="0.25">
      <c r="A170" s="101" t="s">
        <v>345</v>
      </c>
      <c r="B170" s="101" t="s">
        <v>344</v>
      </c>
      <c r="C170" s="101" t="s">
        <v>50</v>
      </c>
      <c r="D170" s="101" t="s">
        <v>449</v>
      </c>
      <c r="E170" s="305" t="s">
        <v>1186</v>
      </c>
      <c r="F170" s="302" t="s">
        <v>852</v>
      </c>
      <c r="G170" s="302">
        <f t="shared" si="21"/>
        <v>993624</v>
      </c>
      <c r="H170" s="302">
        <v>993624</v>
      </c>
      <c r="I170" s="302">
        <v>0</v>
      </c>
      <c r="J170" s="302">
        <v>0</v>
      </c>
      <c r="K170" s="137"/>
      <c r="L170" s="137"/>
      <c r="M170" s="137"/>
    </row>
    <row r="171" spans="1:13" ht="230.25" thickTop="1" thickBot="1" x14ac:dyDescent="0.25">
      <c r="A171" s="101" t="s">
        <v>345</v>
      </c>
      <c r="B171" s="101" t="s">
        <v>344</v>
      </c>
      <c r="C171" s="101" t="s">
        <v>50</v>
      </c>
      <c r="D171" s="101" t="s">
        <v>449</v>
      </c>
      <c r="E171" s="305" t="s">
        <v>1322</v>
      </c>
      <c r="F171" s="302" t="s">
        <v>1292</v>
      </c>
      <c r="G171" s="302">
        <f t="shared" si="21"/>
        <v>2804400</v>
      </c>
      <c r="H171" s="302">
        <v>2804400</v>
      </c>
      <c r="I171" s="302">
        <v>0</v>
      </c>
      <c r="J171" s="302">
        <v>0</v>
      </c>
      <c r="K171" s="137"/>
      <c r="L171" s="137"/>
      <c r="M171" s="137"/>
    </row>
    <row r="172" spans="1:13" ht="138.75" thickTop="1" thickBot="1" x14ac:dyDescent="0.25">
      <c r="A172" s="101" t="s">
        <v>323</v>
      </c>
      <c r="B172" s="101" t="s">
        <v>324</v>
      </c>
      <c r="C172" s="101" t="s">
        <v>204</v>
      </c>
      <c r="D172" s="101" t="s">
        <v>626</v>
      </c>
      <c r="E172" s="305" t="s">
        <v>1151</v>
      </c>
      <c r="F172" s="302" t="s">
        <v>1127</v>
      </c>
      <c r="G172" s="302">
        <f t="shared" si="21"/>
        <v>1360550</v>
      </c>
      <c r="H172" s="302">
        <f>(((300000)+600000)+100000)+410550-50000</f>
        <v>1360550</v>
      </c>
      <c r="I172" s="302">
        <f>'d3'!J177</f>
        <v>0</v>
      </c>
      <c r="J172" s="302">
        <f>'d3'!K177</f>
        <v>0</v>
      </c>
      <c r="K172" s="95" t="b">
        <f>H172+H173='d3'!E177</f>
        <v>1</v>
      </c>
      <c r="L172" s="95" t="b">
        <f>I172+I173='d3'!J177</f>
        <v>1</v>
      </c>
      <c r="M172" s="95" t="b">
        <f>J172+J173='d3'!K177</f>
        <v>1</v>
      </c>
    </row>
    <row r="173" spans="1:13" ht="184.5" thickTop="1" thickBot="1" x14ac:dyDescent="0.25">
      <c r="A173" s="101" t="s">
        <v>323</v>
      </c>
      <c r="B173" s="101" t="s">
        <v>324</v>
      </c>
      <c r="C173" s="101" t="s">
        <v>204</v>
      </c>
      <c r="D173" s="101" t="s">
        <v>626</v>
      </c>
      <c r="E173" s="305" t="s">
        <v>1186</v>
      </c>
      <c r="F173" s="302" t="s">
        <v>852</v>
      </c>
      <c r="G173" s="302">
        <f t="shared" si="21"/>
        <v>450000</v>
      </c>
      <c r="H173" s="302">
        <f>((200000)+200000)+50000</f>
        <v>450000</v>
      </c>
      <c r="I173" s="302">
        <v>0</v>
      </c>
      <c r="J173" s="302">
        <v>0</v>
      </c>
      <c r="K173" s="137"/>
      <c r="L173" s="137"/>
      <c r="M173" s="137"/>
    </row>
    <row r="174" spans="1:13" ht="153" customHeight="1" thickTop="1" thickBot="1" x14ac:dyDescent="0.25">
      <c r="A174" s="101" t="s">
        <v>423</v>
      </c>
      <c r="B174" s="101" t="s">
        <v>368</v>
      </c>
      <c r="C174" s="101" t="s">
        <v>369</v>
      </c>
      <c r="D174" s="101" t="s">
        <v>367</v>
      </c>
      <c r="E174" s="305" t="s">
        <v>1432</v>
      </c>
      <c r="F174" s="302" t="s">
        <v>1478</v>
      </c>
      <c r="G174" s="302">
        <f t="shared" si="21"/>
        <v>117000</v>
      </c>
      <c r="H174" s="302">
        <f>'d3'!E178</f>
        <v>117000</v>
      </c>
      <c r="I174" s="302">
        <f>'d3'!J178</f>
        <v>0</v>
      </c>
      <c r="J174" s="302">
        <f>'d3'!K178</f>
        <v>0</v>
      </c>
      <c r="K174" s="137"/>
      <c r="L174" s="137"/>
      <c r="M174" s="137"/>
    </row>
    <row r="175" spans="1:13" ht="138.75" thickTop="1" thickBot="1" x14ac:dyDescent="0.25">
      <c r="A175" s="101" t="s">
        <v>1162</v>
      </c>
      <c r="B175" s="101" t="s">
        <v>1159</v>
      </c>
      <c r="C175" s="101" t="s">
        <v>205</v>
      </c>
      <c r="D175" s="600" t="s">
        <v>1160</v>
      </c>
      <c r="E175" s="305" t="s">
        <v>1151</v>
      </c>
      <c r="F175" s="302" t="s">
        <v>1127</v>
      </c>
      <c r="G175" s="302">
        <f>H175+I175</f>
        <v>13278890</v>
      </c>
      <c r="H175" s="306">
        <f>'d3'!E194</f>
        <v>5176195</v>
      </c>
      <c r="I175" s="302">
        <f>'d3'!J194</f>
        <v>8102695</v>
      </c>
      <c r="J175" s="302">
        <f>'d3'!K194</f>
        <v>8102695</v>
      </c>
      <c r="K175" s="137"/>
      <c r="L175" s="137"/>
      <c r="M175" s="137"/>
    </row>
    <row r="176" spans="1:13" ht="138.75" thickTop="1" thickBot="1" x14ac:dyDescent="0.25">
      <c r="A176" s="101" t="s">
        <v>325</v>
      </c>
      <c r="B176" s="101" t="s">
        <v>327</v>
      </c>
      <c r="C176" s="101" t="s">
        <v>190</v>
      </c>
      <c r="D176" s="600" t="s">
        <v>1621</v>
      </c>
      <c r="E176" s="305" t="s">
        <v>1151</v>
      </c>
      <c r="F176" s="302" t="s">
        <v>1127</v>
      </c>
      <c r="G176" s="302">
        <f t="shared" si="21"/>
        <v>48151419.540000007</v>
      </c>
      <c r="H176" s="306">
        <f>'d3'!E196-H177</f>
        <v>37535450.540000007</v>
      </c>
      <c r="I176" s="302">
        <f>'d3'!J196-I177</f>
        <v>10615969</v>
      </c>
      <c r="J176" s="302">
        <f>'d3'!K196-J177</f>
        <v>1685321</v>
      </c>
      <c r="L176" s="137"/>
      <c r="M176" s="137"/>
    </row>
    <row r="177" spans="1:14" ht="138.75" thickTop="1" thickBot="1" x14ac:dyDescent="0.25">
      <c r="A177" s="101" t="s">
        <v>325</v>
      </c>
      <c r="B177" s="101" t="s">
        <v>327</v>
      </c>
      <c r="C177" s="101" t="s">
        <v>190</v>
      </c>
      <c r="D177" s="600" t="s">
        <v>1621</v>
      </c>
      <c r="E177" s="305" t="s">
        <v>1498</v>
      </c>
      <c r="F177" s="302" t="s">
        <v>1499</v>
      </c>
      <c r="G177" s="302">
        <f>H177+I177</f>
        <v>197650</v>
      </c>
      <c r="H177" s="306">
        <v>0</v>
      </c>
      <c r="I177" s="302">
        <v>197650</v>
      </c>
      <c r="J177" s="302">
        <v>197650</v>
      </c>
      <c r="K177" s="137"/>
      <c r="L177" s="137"/>
      <c r="M177" s="137"/>
    </row>
    <row r="178" spans="1:14" ht="138.75" thickTop="1" thickBot="1" x14ac:dyDescent="0.25">
      <c r="A178" s="101" t="s">
        <v>326</v>
      </c>
      <c r="B178" s="101" t="s">
        <v>328</v>
      </c>
      <c r="C178" s="101" t="s">
        <v>190</v>
      </c>
      <c r="D178" s="600" t="s">
        <v>329</v>
      </c>
      <c r="E178" s="305" t="s">
        <v>1151</v>
      </c>
      <c r="F178" s="302" t="s">
        <v>1127</v>
      </c>
      <c r="G178" s="302">
        <f>H178+I178</f>
        <v>67602526</v>
      </c>
      <c r="H178" s="302">
        <f>((26478236)+140000)+286000+40000000+452580+45710</f>
        <v>67402526</v>
      </c>
      <c r="I178" s="302">
        <f>(150000)+50000</f>
        <v>200000</v>
      </c>
      <c r="J178" s="302">
        <f>(150000)+50000</f>
        <v>200000</v>
      </c>
      <c r="K178" s="917" t="b">
        <f>H178+H180+H181+H182+H183+H179='d3'!E197</f>
        <v>1</v>
      </c>
      <c r="L178" s="917" t="b">
        <f>I178+I180+I181+I182+I183+I179='d3'!J197</f>
        <v>1</v>
      </c>
      <c r="M178" s="917" t="b">
        <f>J178+J180+J181+J182+J183+J179='d3'!K197</f>
        <v>1</v>
      </c>
    </row>
    <row r="179" spans="1:14" ht="276" thickTop="1" thickBot="1" x14ac:dyDescent="0.25">
      <c r="A179" s="101" t="s">
        <v>326</v>
      </c>
      <c r="B179" s="101" t="s">
        <v>328</v>
      </c>
      <c r="C179" s="101" t="s">
        <v>190</v>
      </c>
      <c r="D179" s="600" t="s">
        <v>329</v>
      </c>
      <c r="E179" s="302" t="s">
        <v>1327</v>
      </c>
      <c r="F179" s="302" t="s">
        <v>843</v>
      </c>
      <c r="G179" s="302">
        <f t="shared" si="21"/>
        <v>5000000</v>
      </c>
      <c r="H179" s="302">
        <f>(2000000)+3000000</f>
        <v>5000000</v>
      </c>
      <c r="I179" s="302">
        <v>0</v>
      </c>
      <c r="J179" s="302">
        <v>0</v>
      </c>
      <c r="K179" s="917"/>
      <c r="L179" s="917"/>
      <c r="M179" s="917"/>
    </row>
    <row r="180" spans="1:14" ht="172.5" customHeight="1" thickTop="1" thickBot="1" x14ac:dyDescent="0.25">
      <c r="A180" s="101" t="s">
        <v>326</v>
      </c>
      <c r="B180" s="101" t="s">
        <v>328</v>
      </c>
      <c r="C180" s="101" t="s">
        <v>190</v>
      </c>
      <c r="D180" s="600" t="s">
        <v>329</v>
      </c>
      <c r="E180" s="302" t="s">
        <v>1431</v>
      </c>
      <c r="F180" s="302" t="s">
        <v>851</v>
      </c>
      <c r="G180" s="302">
        <f t="shared" si="21"/>
        <v>1086500</v>
      </c>
      <c r="H180" s="302">
        <v>1086500</v>
      </c>
      <c r="I180" s="302">
        <v>0</v>
      </c>
      <c r="J180" s="302">
        <v>0</v>
      </c>
      <c r="K180" s="918"/>
      <c r="L180" s="918"/>
      <c r="M180" s="918"/>
      <c r="N180" s="242"/>
    </row>
    <row r="181" spans="1:14" ht="184.5" thickTop="1" thickBot="1" x14ac:dyDescent="0.25">
      <c r="A181" s="101" t="s">
        <v>326</v>
      </c>
      <c r="B181" s="101" t="s">
        <v>328</v>
      </c>
      <c r="C181" s="101" t="s">
        <v>190</v>
      </c>
      <c r="D181" s="600" t="s">
        <v>329</v>
      </c>
      <c r="E181" s="305" t="s">
        <v>1186</v>
      </c>
      <c r="F181" s="302" t="s">
        <v>852</v>
      </c>
      <c r="G181" s="302">
        <f t="shared" si="21"/>
        <v>77271345</v>
      </c>
      <c r="H181" s="302">
        <f>(((25001345)+20000000+5000000)+150000+1750000+25000000)+140000+230000</f>
        <v>77271345</v>
      </c>
      <c r="I181" s="302">
        <v>0</v>
      </c>
      <c r="J181" s="302">
        <v>0</v>
      </c>
      <c r="K181" s="918"/>
      <c r="L181" s="918"/>
      <c r="M181" s="918"/>
    </row>
    <row r="182" spans="1:14" ht="138.75" thickTop="1" thickBot="1" x14ac:dyDescent="0.25">
      <c r="A182" s="101" t="s">
        <v>326</v>
      </c>
      <c r="B182" s="101" t="s">
        <v>328</v>
      </c>
      <c r="C182" s="101" t="s">
        <v>190</v>
      </c>
      <c r="D182" s="600" t="s">
        <v>329</v>
      </c>
      <c r="E182" s="305" t="s">
        <v>1642</v>
      </c>
      <c r="F182" s="302" t="s">
        <v>1400</v>
      </c>
      <c r="G182" s="302">
        <f t="shared" si="21"/>
        <v>2060000</v>
      </c>
      <c r="H182" s="302">
        <v>2060000</v>
      </c>
      <c r="I182" s="302">
        <v>0</v>
      </c>
      <c r="J182" s="302">
        <v>0</v>
      </c>
      <c r="K182" s="13"/>
      <c r="L182" s="13"/>
      <c r="M182" s="13"/>
    </row>
    <row r="183" spans="1:14" ht="246.75" customHeight="1" thickTop="1" thickBot="1" x14ac:dyDescent="0.25">
      <c r="A183" s="101" t="s">
        <v>326</v>
      </c>
      <c r="B183" s="101" t="s">
        <v>328</v>
      </c>
      <c r="C183" s="101" t="s">
        <v>190</v>
      </c>
      <c r="D183" s="600" t="s">
        <v>329</v>
      </c>
      <c r="E183" s="305" t="s">
        <v>1322</v>
      </c>
      <c r="F183" s="302" t="s">
        <v>1292</v>
      </c>
      <c r="G183" s="302">
        <f t="shared" si="21"/>
        <v>65280000</v>
      </c>
      <c r="H183" s="302">
        <f>(12505000)+600000+10000000</f>
        <v>23105000</v>
      </c>
      <c r="I183" s="302">
        <f>(34000000)+8175000</f>
        <v>42175000</v>
      </c>
      <c r="J183" s="302">
        <f>(34000000)+8175000</f>
        <v>42175000</v>
      </c>
      <c r="K183" s="13"/>
      <c r="L183" s="13"/>
      <c r="M183" s="13"/>
    </row>
    <row r="184" spans="1:14" ht="138.75" thickTop="1" thickBot="1" x14ac:dyDescent="0.25">
      <c r="A184" s="101" t="s">
        <v>1592</v>
      </c>
      <c r="B184" s="101" t="s">
        <v>1593</v>
      </c>
      <c r="C184" s="101" t="s">
        <v>190</v>
      </c>
      <c r="D184" s="101" t="s">
        <v>1594</v>
      </c>
      <c r="E184" s="305" t="s">
        <v>1151</v>
      </c>
      <c r="F184" s="302" t="s">
        <v>1127</v>
      </c>
      <c r="G184" s="302">
        <f t="shared" si="21"/>
        <v>7400000</v>
      </c>
      <c r="H184" s="302">
        <f>'d3'!E199</f>
        <v>0</v>
      </c>
      <c r="I184" s="302">
        <f>'d3'!J199</f>
        <v>7400000</v>
      </c>
      <c r="J184" s="302">
        <f>'d3'!K199</f>
        <v>7400000</v>
      </c>
      <c r="K184" s="13"/>
      <c r="L184" s="13"/>
      <c r="M184" s="13"/>
    </row>
    <row r="185" spans="1:14" ht="192.75" customHeight="1" thickTop="1" thickBot="1" x14ac:dyDescent="0.25">
      <c r="A185" s="101" t="s">
        <v>363</v>
      </c>
      <c r="B185" s="101" t="s">
        <v>361</v>
      </c>
      <c r="C185" s="101" t="s">
        <v>337</v>
      </c>
      <c r="D185" s="600" t="s">
        <v>362</v>
      </c>
      <c r="E185" s="305" t="s">
        <v>1186</v>
      </c>
      <c r="F185" s="302" t="s">
        <v>852</v>
      </c>
      <c r="G185" s="302">
        <f t="shared" si="21"/>
        <v>45770000</v>
      </c>
      <c r="H185" s="302">
        <f>'d3'!E202</f>
        <v>0</v>
      </c>
      <c r="I185" s="302">
        <f>'d3'!J202</f>
        <v>45770000</v>
      </c>
      <c r="J185" s="302">
        <f>'d3'!K202</f>
        <v>45770000</v>
      </c>
      <c r="K185" s="137"/>
      <c r="L185" s="137"/>
      <c r="M185" s="137"/>
    </row>
    <row r="186" spans="1:14" ht="230.25" hidden="1" thickTop="1" thickBot="1" x14ac:dyDescent="0.25">
      <c r="A186" s="126" t="s">
        <v>1039</v>
      </c>
      <c r="B186" s="126" t="s">
        <v>1040</v>
      </c>
      <c r="C186" s="126" t="s">
        <v>337</v>
      </c>
      <c r="D186" s="369" t="s">
        <v>1041</v>
      </c>
      <c r="E186" s="243" t="s">
        <v>1431</v>
      </c>
      <c r="F186" s="187" t="s">
        <v>851</v>
      </c>
      <c r="G186" s="187">
        <f t="shared" si="21"/>
        <v>0</v>
      </c>
      <c r="H186" s="187">
        <f>'d3'!E203</f>
        <v>0</v>
      </c>
      <c r="I186" s="187">
        <f>'d3'!J203</f>
        <v>0</v>
      </c>
      <c r="J186" s="187">
        <f>'d3'!K203</f>
        <v>0</v>
      </c>
      <c r="K186" s="137"/>
      <c r="L186" s="137"/>
      <c r="M186" s="137"/>
    </row>
    <row r="187" spans="1:14" ht="138.75" hidden="1" thickTop="1" thickBot="1" x14ac:dyDescent="0.25">
      <c r="A187" s="126" t="s">
        <v>1260</v>
      </c>
      <c r="B187" s="126" t="s">
        <v>211</v>
      </c>
      <c r="C187" s="126" t="s">
        <v>212</v>
      </c>
      <c r="D187" s="126" t="s">
        <v>41</v>
      </c>
      <c r="E187" s="243" t="s">
        <v>1151</v>
      </c>
      <c r="F187" s="187" t="s">
        <v>1127</v>
      </c>
      <c r="G187" s="187">
        <f t="shared" si="21"/>
        <v>0</v>
      </c>
      <c r="H187" s="257">
        <f>'d3'!E206</f>
        <v>0</v>
      </c>
      <c r="I187" s="257">
        <f>'d3'!J206</f>
        <v>0</v>
      </c>
      <c r="J187" s="257">
        <f>'d3'!K206</f>
        <v>0</v>
      </c>
      <c r="K187" s="137"/>
      <c r="L187" s="137"/>
      <c r="M187" s="137"/>
    </row>
    <row r="188" spans="1:14" ht="230.25" hidden="1" thickTop="1" thickBot="1" x14ac:dyDescent="0.7">
      <c r="A188" s="770" t="s">
        <v>418</v>
      </c>
      <c r="B188" s="770" t="s">
        <v>335</v>
      </c>
      <c r="C188" s="770" t="s">
        <v>169</v>
      </c>
      <c r="D188" s="152" t="s">
        <v>435</v>
      </c>
      <c r="E188" s="770" t="s">
        <v>1122</v>
      </c>
      <c r="F188" s="770" t="s">
        <v>1123</v>
      </c>
      <c r="G188" s="847">
        <f>H188+I188</f>
        <v>0</v>
      </c>
      <c r="H188" s="847">
        <f>'d3'!E208</f>
        <v>0</v>
      </c>
      <c r="I188" s="847">
        <f>'d3'!J208</f>
        <v>0</v>
      </c>
      <c r="J188" s="847">
        <f>'d3'!K208</f>
        <v>0</v>
      </c>
      <c r="K188" s="137"/>
      <c r="L188" s="137"/>
      <c r="M188" s="137"/>
    </row>
    <row r="189" spans="1:14" ht="138.75" hidden="1" thickTop="1" thickBot="1" x14ac:dyDescent="0.25">
      <c r="A189" s="771"/>
      <c r="B189" s="771"/>
      <c r="C189" s="771"/>
      <c r="D189" s="153" t="s">
        <v>436</v>
      </c>
      <c r="E189" s="771"/>
      <c r="F189" s="771"/>
      <c r="G189" s="900"/>
      <c r="H189" s="906"/>
      <c r="I189" s="900"/>
      <c r="J189" s="900"/>
      <c r="K189" s="242"/>
      <c r="L189" s="249"/>
      <c r="M189" s="249"/>
    </row>
    <row r="190" spans="1:14" ht="125.45" customHeight="1" thickTop="1" thickBot="1" x14ac:dyDescent="0.25">
      <c r="A190" s="585">
        <v>1000000</v>
      </c>
      <c r="B190" s="585"/>
      <c r="C190" s="585"/>
      <c r="D190" s="586" t="s">
        <v>24</v>
      </c>
      <c r="E190" s="585"/>
      <c r="F190" s="585"/>
      <c r="G190" s="587">
        <f>G191</f>
        <v>193477010</v>
      </c>
      <c r="H190" s="587">
        <f t="shared" ref="H190:J190" si="24">H191</f>
        <v>180209134</v>
      </c>
      <c r="I190" s="587">
        <f t="shared" si="24"/>
        <v>13267876</v>
      </c>
      <c r="J190" s="587">
        <f t="shared" si="24"/>
        <v>916076</v>
      </c>
      <c r="K190" s="95" t="b">
        <f>H190='d3'!E211</f>
        <v>1</v>
      </c>
      <c r="L190" s="426" t="b">
        <f>I190='d3'!J211</f>
        <v>1</v>
      </c>
      <c r="M190" s="426" t="b">
        <f>J190='d3'!K211</f>
        <v>1</v>
      </c>
    </row>
    <row r="191" spans="1:14" ht="117.75" customHeight="1" thickTop="1" thickBot="1" x14ac:dyDescent="0.25">
      <c r="A191" s="588">
        <v>1010000</v>
      </c>
      <c r="B191" s="588"/>
      <c r="C191" s="588"/>
      <c r="D191" s="589" t="s">
        <v>39</v>
      </c>
      <c r="E191" s="590"/>
      <c r="F191" s="590"/>
      <c r="G191" s="590">
        <f>SUM(G192:G210)</f>
        <v>193477010</v>
      </c>
      <c r="H191" s="590">
        <f>SUM(H192:H210)</f>
        <v>180209134</v>
      </c>
      <c r="I191" s="590">
        <f>SUM(I192:I210)</f>
        <v>13267876</v>
      </c>
      <c r="J191" s="590">
        <f>SUM(J192:J210)</f>
        <v>916076</v>
      </c>
      <c r="K191" s="137"/>
      <c r="L191" s="137"/>
      <c r="M191" s="137"/>
    </row>
    <row r="192" spans="1:14" ht="138.75" thickTop="1" thickBot="1" x14ac:dyDescent="0.25">
      <c r="A192" s="101" t="s">
        <v>627</v>
      </c>
      <c r="B192" s="101" t="s">
        <v>628</v>
      </c>
      <c r="C192" s="101" t="s">
        <v>180</v>
      </c>
      <c r="D192" s="101" t="s">
        <v>1083</v>
      </c>
      <c r="E192" s="302" t="s">
        <v>849</v>
      </c>
      <c r="F192" s="302" t="s">
        <v>850</v>
      </c>
      <c r="G192" s="302">
        <f>H192+I192</f>
        <v>109656114</v>
      </c>
      <c r="H192" s="302">
        <f>'d3'!E213-H193</f>
        <v>98466979</v>
      </c>
      <c r="I192" s="302">
        <f>'d3'!J213-I193</f>
        <v>11189135</v>
      </c>
      <c r="J192" s="302">
        <f>'d3'!K213-J193</f>
        <v>80175</v>
      </c>
      <c r="K192" s="137"/>
      <c r="L192" s="137"/>
      <c r="M192" s="137"/>
    </row>
    <row r="193" spans="1:13" ht="138.75" hidden="1" thickTop="1" thickBot="1" x14ac:dyDescent="0.25">
      <c r="A193" s="126" t="s">
        <v>627</v>
      </c>
      <c r="B193" s="126" t="s">
        <v>628</v>
      </c>
      <c r="C193" s="126" t="s">
        <v>180</v>
      </c>
      <c r="D193" s="126" t="s">
        <v>1083</v>
      </c>
      <c r="E193" s="243" t="s">
        <v>1323</v>
      </c>
      <c r="F193" s="187" t="s">
        <v>445</v>
      </c>
      <c r="G193" s="187">
        <f t="shared" ref="G193" si="25">H193+I193</f>
        <v>0</v>
      </c>
      <c r="H193" s="187">
        <v>0</v>
      </c>
      <c r="I193" s="187">
        <v>0</v>
      </c>
      <c r="J193" s="187">
        <v>0</v>
      </c>
      <c r="K193" s="137"/>
      <c r="L193" s="137"/>
      <c r="M193" s="137"/>
    </row>
    <row r="194" spans="1:13" ht="138.75" thickTop="1" thickBot="1" x14ac:dyDescent="0.25">
      <c r="A194" s="101" t="s">
        <v>171</v>
      </c>
      <c r="B194" s="101" t="s">
        <v>172</v>
      </c>
      <c r="C194" s="101" t="s">
        <v>173</v>
      </c>
      <c r="D194" s="101" t="s">
        <v>174</v>
      </c>
      <c r="E194" s="302" t="s">
        <v>849</v>
      </c>
      <c r="F194" s="302" t="s">
        <v>850</v>
      </c>
      <c r="G194" s="302">
        <f t="shared" ref="G194:G210" si="26">H194+I194</f>
        <v>20075686</v>
      </c>
      <c r="H194" s="302">
        <f>'d3'!E215-H195-H196</f>
        <v>19365686</v>
      </c>
      <c r="I194" s="302">
        <f>'d3'!J215-I195-I196</f>
        <v>710000</v>
      </c>
      <c r="J194" s="302">
        <f>'d3'!K215-J195-J196</f>
        <v>500000</v>
      </c>
      <c r="K194" s="137"/>
      <c r="L194" s="137"/>
      <c r="M194" s="137"/>
    </row>
    <row r="195" spans="1:13" ht="138.75" thickTop="1" thickBot="1" x14ac:dyDescent="0.25">
      <c r="A195" s="101" t="s">
        <v>171</v>
      </c>
      <c r="B195" s="101" t="s">
        <v>172</v>
      </c>
      <c r="C195" s="101" t="s">
        <v>173</v>
      </c>
      <c r="D195" s="101" t="s">
        <v>174</v>
      </c>
      <c r="E195" s="305" t="s">
        <v>1498</v>
      </c>
      <c r="F195" s="302" t="s">
        <v>1499</v>
      </c>
      <c r="G195" s="302">
        <f>H195+I195</f>
        <v>350000</v>
      </c>
      <c r="H195" s="306">
        <v>248200</v>
      </c>
      <c r="I195" s="302">
        <v>101800</v>
      </c>
      <c r="J195" s="302">
        <v>101800</v>
      </c>
      <c r="K195" s="137"/>
      <c r="L195" s="137"/>
      <c r="M195" s="137"/>
    </row>
    <row r="196" spans="1:13" ht="138.75" hidden="1" thickTop="1" thickBot="1" x14ac:dyDescent="0.25">
      <c r="A196" s="126" t="s">
        <v>171</v>
      </c>
      <c r="B196" s="126" t="s">
        <v>172</v>
      </c>
      <c r="C196" s="126" t="s">
        <v>173</v>
      </c>
      <c r="D196" s="126" t="s">
        <v>174</v>
      </c>
      <c r="E196" s="187" t="s">
        <v>847</v>
      </c>
      <c r="F196" s="187" t="s">
        <v>848</v>
      </c>
      <c r="G196" s="187">
        <f>H196+I196</f>
        <v>0</v>
      </c>
      <c r="H196" s="244">
        <v>0</v>
      </c>
      <c r="I196" s="187">
        <v>0</v>
      </c>
      <c r="J196" s="187">
        <v>0</v>
      </c>
      <c r="K196" s="137"/>
      <c r="L196" s="137"/>
      <c r="M196" s="137"/>
    </row>
    <row r="197" spans="1:13" ht="138.75" thickTop="1" thickBot="1" x14ac:dyDescent="0.25">
      <c r="A197" s="101" t="s">
        <v>175</v>
      </c>
      <c r="B197" s="101" t="s">
        <v>176</v>
      </c>
      <c r="C197" s="101" t="s">
        <v>173</v>
      </c>
      <c r="D197" s="101" t="s">
        <v>458</v>
      </c>
      <c r="E197" s="302" t="s">
        <v>849</v>
      </c>
      <c r="F197" s="302" t="s">
        <v>850</v>
      </c>
      <c r="G197" s="302">
        <f t="shared" si="26"/>
        <v>3090962</v>
      </c>
      <c r="H197" s="302">
        <f>'d3'!E216-H198</f>
        <v>2965362</v>
      </c>
      <c r="I197" s="302">
        <f>'d3'!J216-I198</f>
        <v>125600</v>
      </c>
      <c r="J197" s="302">
        <f>'d3'!K216-J198</f>
        <v>0</v>
      </c>
      <c r="K197" s="137"/>
      <c r="L197" s="137"/>
      <c r="M197" s="137"/>
    </row>
    <row r="198" spans="1:13" ht="138.75" hidden="1" thickTop="1" thickBot="1" x14ac:dyDescent="0.25">
      <c r="A198" s="126" t="s">
        <v>175</v>
      </c>
      <c r="B198" s="126" t="s">
        <v>176</v>
      </c>
      <c r="C198" s="126" t="s">
        <v>173</v>
      </c>
      <c r="D198" s="126" t="s">
        <v>458</v>
      </c>
      <c r="E198" s="243" t="s">
        <v>1323</v>
      </c>
      <c r="F198" s="187" t="s">
        <v>445</v>
      </c>
      <c r="G198" s="187">
        <f t="shared" si="26"/>
        <v>0</v>
      </c>
      <c r="H198" s="187">
        <v>0</v>
      </c>
      <c r="I198" s="187">
        <v>0</v>
      </c>
      <c r="J198" s="187">
        <v>0</v>
      </c>
      <c r="K198" s="137"/>
      <c r="L198" s="137"/>
      <c r="M198" s="137"/>
    </row>
    <row r="199" spans="1:13" ht="138.75" thickTop="1" thickBot="1" x14ac:dyDescent="0.25">
      <c r="A199" s="101" t="s">
        <v>177</v>
      </c>
      <c r="B199" s="101" t="s">
        <v>170</v>
      </c>
      <c r="C199" s="101" t="s">
        <v>178</v>
      </c>
      <c r="D199" s="101" t="s">
        <v>179</v>
      </c>
      <c r="E199" s="302" t="s">
        <v>849</v>
      </c>
      <c r="F199" s="302" t="s">
        <v>850</v>
      </c>
      <c r="G199" s="302">
        <f t="shared" si="26"/>
        <v>23856365</v>
      </c>
      <c r="H199" s="302">
        <f>'d3'!E217-H200</f>
        <v>23084415</v>
      </c>
      <c r="I199" s="302">
        <f>'d3'!J217-I200</f>
        <v>771950</v>
      </c>
      <c r="J199" s="302">
        <f>'d3'!K217-J200</f>
        <v>48710</v>
      </c>
      <c r="K199" s="137"/>
      <c r="L199" s="137"/>
      <c r="M199" s="137"/>
    </row>
    <row r="200" spans="1:13" ht="138.75" hidden="1" thickTop="1" thickBot="1" x14ac:dyDescent="0.25">
      <c r="A200" s="41" t="s">
        <v>177</v>
      </c>
      <c r="B200" s="41" t="s">
        <v>170</v>
      </c>
      <c r="C200" s="41" t="s">
        <v>178</v>
      </c>
      <c r="D200" s="41" t="s">
        <v>179</v>
      </c>
      <c r="E200" s="246" t="s">
        <v>444</v>
      </c>
      <c r="F200" s="251" t="s">
        <v>445</v>
      </c>
      <c r="G200" s="73">
        <f>H200+I200</f>
        <v>0</v>
      </c>
      <c r="H200" s="247">
        <v>0</v>
      </c>
      <c r="I200" s="73">
        <v>0</v>
      </c>
      <c r="J200" s="73">
        <v>0</v>
      </c>
      <c r="K200" s="137"/>
      <c r="L200" s="137"/>
      <c r="M200" s="137"/>
    </row>
    <row r="201" spans="1:13" ht="138.75" hidden="1" thickTop="1" thickBot="1" x14ac:dyDescent="0.25">
      <c r="A201" s="126" t="s">
        <v>1153</v>
      </c>
      <c r="B201" s="126" t="s">
        <v>1154</v>
      </c>
      <c r="C201" s="126" t="s">
        <v>1156</v>
      </c>
      <c r="D201" s="126" t="s">
        <v>1155</v>
      </c>
      <c r="E201" s="187" t="s">
        <v>849</v>
      </c>
      <c r="F201" s="187" t="s">
        <v>850</v>
      </c>
      <c r="G201" s="187">
        <f>H201+I201</f>
        <v>0</v>
      </c>
      <c r="H201" s="244">
        <f>'d3'!E218</f>
        <v>0</v>
      </c>
      <c r="I201" s="187">
        <f>'d3'!J218</f>
        <v>0</v>
      </c>
      <c r="J201" s="187">
        <f>'d3'!K218</f>
        <v>0</v>
      </c>
      <c r="K201" s="137"/>
      <c r="L201" s="137"/>
      <c r="M201" s="137"/>
    </row>
    <row r="202" spans="1:13" ht="138.75" thickTop="1" thickBot="1" x14ac:dyDescent="0.25">
      <c r="A202" s="101" t="s">
        <v>330</v>
      </c>
      <c r="B202" s="101" t="s">
        <v>331</v>
      </c>
      <c r="C202" s="101" t="s">
        <v>181</v>
      </c>
      <c r="D202" s="101" t="s">
        <v>459</v>
      </c>
      <c r="E202" s="302" t="s">
        <v>849</v>
      </c>
      <c r="F202" s="302" t="s">
        <v>850</v>
      </c>
      <c r="G202" s="302">
        <f>H202+I202</f>
        <v>28673817</v>
      </c>
      <c r="H202" s="302">
        <f>'d3'!E220-H203</f>
        <v>28489817</v>
      </c>
      <c r="I202" s="302">
        <f>'d3'!J220-I203</f>
        <v>184000</v>
      </c>
      <c r="J202" s="302">
        <f>'d3'!K220-J203</f>
        <v>0</v>
      </c>
      <c r="K202" s="137"/>
      <c r="L202" s="137"/>
      <c r="M202" s="137"/>
    </row>
    <row r="203" spans="1:13" ht="138.75" thickTop="1" thickBot="1" x14ac:dyDescent="0.25">
      <c r="A203" s="101" t="s">
        <v>330</v>
      </c>
      <c r="B203" s="101" t="s">
        <v>331</v>
      </c>
      <c r="C203" s="101" t="s">
        <v>181</v>
      </c>
      <c r="D203" s="101" t="s">
        <v>459</v>
      </c>
      <c r="E203" s="302" t="s">
        <v>1217</v>
      </c>
      <c r="F203" s="302" t="s">
        <v>402</v>
      </c>
      <c r="G203" s="302">
        <f t="shared" si="26"/>
        <v>1440000</v>
      </c>
      <c r="H203" s="302">
        <v>1440000</v>
      </c>
      <c r="I203" s="302">
        <v>0</v>
      </c>
      <c r="J203" s="302">
        <v>0</v>
      </c>
      <c r="K203" s="137"/>
      <c r="L203" s="137"/>
      <c r="M203" s="137"/>
    </row>
    <row r="204" spans="1:13" ht="138.75" thickTop="1" thickBot="1" x14ac:dyDescent="0.25">
      <c r="A204" s="101" t="s">
        <v>332</v>
      </c>
      <c r="B204" s="101" t="s">
        <v>333</v>
      </c>
      <c r="C204" s="101" t="s">
        <v>181</v>
      </c>
      <c r="D204" s="101" t="s">
        <v>460</v>
      </c>
      <c r="E204" s="302" t="s">
        <v>849</v>
      </c>
      <c r="F204" s="302" t="s">
        <v>850</v>
      </c>
      <c r="G204" s="302">
        <f t="shared" si="26"/>
        <v>4005391</v>
      </c>
      <c r="H204" s="302">
        <f>'d3'!E221-H205-H206</f>
        <v>3820000</v>
      </c>
      <c r="I204" s="302">
        <f>'d3'!J221-I205-I206</f>
        <v>185391</v>
      </c>
      <c r="J204" s="302">
        <f>'d3'!K221-J205-J206</f>
        <v>185391</v>
      </c>
      <c r="K204" s="137"/>
      <c r="L204" s="137"/>
      <c r="M204" s="137"/>
    </row>
    <row r="205" spans="1:13" ht="138.75" thickTop="1" thickBot="1" x14ac:dyDescent="0.25">
      <c r="A205" s="101" t="s">
        <v>332</v>
      </c>
      <c r="B205" s="101" t="s">
        <v>333</v>
      </c>
      <c r="C205" s="101" t="s">
        <v>181</v>
      </c>
      <c r="D205" s="101" t="s">
        <v>460</v>
      </c>
      <c r="E205" s="302" t="s">
        <v>1217</v>
      </c>
      <c r="F205" s="302" t="s">
        <v>402</v>
      </c>
      <c r="G205" s="302">
        <f t="shared" si="26"/>
        <v>672000</v>
      </c>
      <c r="H205" s="302">
        <v>672000</v>
      </c>
      <c r="I205" s="302">
        <v>0</v>
      </c>
      <c r="J205" s="302">
        <v>0</v>
      </c>
      <c r="K205" s="137"/>
      <c r="L205" s="137"/>
      <c r="M205" s="137"/>
    </row>
    <row r="206" spans="1:13" ht="138.75" thickTop="1" thickBot="1" x14ac:dyDescent="0.25">
      <c r="A206" s="101" t="s">
        <v>332</v>
      </c>
      <c r="B206" s="101" t="s">
        <v>333</v>
      </c>
      <c r="C206" s="101" t="s">
        <v>181</v>
      </c>
      <c r="D206" s="101" t="s">
        <v>460</v>
      </c>
      <c r="E206" s="302" t="s">
        <v>847</v>
      </c>
      <c r="F206" s="302" t="s">
        <v>848</v>
      </c>
      <c r="G206" s="302">
        <f t="shared" si="26"/>
        <v>280000</v>
      </c>
      <c r="H206" s="302">
        <v>280000</v>
      </c>
      <c r="I206" s="302">
        <v>0</v>
      </c>
      <c r="J206" s="302">
        <v>0</v>
      </c>
      <c r="K206" s="137"/>
      <c r="L206" s="137"/>
      <c r="M206" s="137"/>
    </row>
    <row r="207" spans="1:13" ht="138.75" thickTop="1" thickBot="1" x14ac:dyDescent="0.25">
      <c r="A207" s="101" t="s">
        <v>1003</v>
      </c>
      <c r="B207" s="101" t="s">
        <v>1004</v>
      </c>
      <c r="C207" s="101" t="s">
        <v>212</v>
      </c>
      <c r="D207" s="101" t="s">
        <v>1002</v>
      </c>
      <c r="E207" s="302" t="s">
        <v>1450</v>
      </c>
      <c r="F207" s="302" t="s">
        <v>1451</v>
      </c>
      <c r="G207" s="302">
        <f t="shared" si="26"/>
        <v>1376675</v>
      </c>
      <c r="H207" s="302">
        <f>'d3'!E225</f>
        <v>1376675</v>
      </c>
      <c r="I207" s="302">
        <f>'d3'!J225</f>
        <v>0</v>
      </c>
      <c r="J207" s="302">
        <f>'d3'!K225</f>
        <v>0</v>
      </c>
      <c r="K207" s="260"/>
      <c r="L207" s="260"/>
      <c r="M207" s="137"/>
    </row>
    <row r="208" spans="1:13" ht="138.75" hidden="1" thickTop="1" thickBot="1" x14ac:dyDescent="0.25">
      <c r="A208" s="126" t="s">
        <v>1222</v>
      </c>
      <c r="B208" s="126" t="s">
        <v>211</v>
      </c>
      <c r="C208" s="126" t="s">
        <v>212</v>
      </c>
      <c r="D208" s="126" t="s">
        <v>41</v>
      </c>
      <c r="E208" s="187" t="s">
        <v>849</v>
      </c>
      <c r="F208" s="187" t="s">
        <v>850</v>
      </c>
      <c r="G208" s="187">
        <f t="shared" si="26"/>
        <v>0</v>
      </c>
      <c r="H208" s="187">
        <f>'d3'!E226</f>
        <v>0</v>
      </c>
      <c r="I208" s="187">
        <f>'d3'!J226</f>
        <v>0</v>
      </c>
      <c r="J208" s="187">
        <f>'d3'!K226</f>
        <v>0</v>
      </c>
      <c r="K208" s="260"/>
      <c r="L208" s="260"/>
      <c r="M208" s="137"/>
    </row>
    <row r="209" spans="1:13" ht="138.75" hidden="1" thickTop="1" thickBot="1" x14ac:dyDescent="0.25">
      <c r="A209" s="126" t="s">
        <v>899</v>
      </c>
      <c r="B209" s="126" t="s">
        <v>196</v>
      </c>
      <c r="C209" s="126" t="s">
        <v>169</v>
      </c>
      <c r="D209" s="126" t="s">
        <v>34</v>
      </c>
      <c r="E209" s="187" t="s">
        <v>849</v>
      </c>
      <c r="F209" s="187" t="s">
        <v>850</v>
      </c>
      <c r="G209" s="187">
        <f t="shared" si="26"/>
        <v>0</v>
      </c>
      <c r="H209" s="187">
        <f>'d3'!E227</f>
        <v>0</v>
      </c>
      <c r="I209" s="187">
        <f>'d3'!J227</f>
        <v>0</v>
      </c>
      <c r="J209" s="187">
        <f>'d3'!K227</f>
        <v>0</v>
      </c>
      <c r="K209" s="260"/>
      <c r="L209" s="260"/>
      <c r="M209" s="137"/>
    </row>
    <row r="210" spans="1:13" ht="138.75" hidden="1" thickTop="1" thickBot="1" x14ac:dyDescent="0.25">
      <c r="A210" s="41" t="s">
        <v>578</v>
      </c>
      <c r="B210" s="41" t="s">
        <v>359</v>
      </c>
      <c r="C210" s="41" t="s">
        <v>43</v>
      </c>
      <c r="D210" s="41" t="s">
        <v>360</v>
      </c>
      <c r="E210" s="246" t="s">
        <v>844</v>
      </c>
      <c r="F210" s="73" t="s">
        <v>845</v>
      </c>
      <c r="G210" s="73">
        <f t="shared" si="26"/>
        <v>0</v>
      </c>
      <c r="H210" s="73">
        <f>'d3'!E230</f>
        <v>0</v>
      </c>
      <c r="I210" s="73">
        <f>'d3'!J230</f>
        <v>0</v>
      </c>
      <c r="J210" s="73">
        <f>'d3'!K230</f>
        <v>0</v>
      </c>
      <c r="K210" s="260"/>
      <c r="L210" s="260"/>
      <c r="M210" s="137"/>
    </row>
    <row r="211" spans="1:13" ht="170.45" customHeight="1" thickTop="1" thickBot="1" x14ac:dyDescent="0.25">
      <c r="A211" s="585" t="s">
        <v>22</v>
      </c>
      <c r="B211" s="585"/>
      <c r="C211" s="585"/>
      <c r="D211" s="586" t="s">
        <v>23</v>
      </c>
      <c r="E211" s="585"/>
      <c r="F211" s="585"/>
      <c r="G211" s="587">
        <f>G212</f>
        <v>152380318</v>
      </c>
      <c r="H211" s="587">
        <f t="shared" ref="H211:J211" si="27">H212</f>
        <v>145278714</v>
      </c>
      <c r="I211" s="587">
        <f t="shared" si="27"/>
        <v>7101604</v>
      </c>
      <c r="J211" s="587">
        <f t="shared" si="27"/>
        <v>4811889</v>
      </c>
      <c r="K211" s="95" t="b">
        <f>H211='d3'!E232+'d4'!F12</f>
        <v>1</v>
      </c>
      <c r="L211" s="426" t="b">
        <f>I211='d3'!J231+'d4'!G12</f>
        <v>1</v>
      </c>
      <c r="M211" s="426" t="b">
        <f>J211='d3'!K231+'d4'!H12</f>
        <v>1</v>
      </c>
    </row>
    <row r="212" spans="1:13" ht="170.45" customHeight="1" thickTop="1" thickBot="1" x14ac:dyDescent="0.25">
      <c r="A212" s="588" t="s">
        <v>21</v>
      </c>
      <c r="B212" s="588"/>
      <c r="C212" s="588"/>
      <c r="D212" s="589" t="s">
        <v>35</v>
      </c>
      <c r="E212" s="590"/>
      <c r="F212" s="590"/>
      <c r="G212" s="590">
        <f>SUM(G213:G233)</f>
        <v>152380318</v>
      </c>
      <c r="H212" s="590">
        <f>SUM(H213:H233)</f>
        <v>145278714</v>
      </c>
      <c r="I212" s="590">
        <f>SUM(I213:I233)</f>
        <v>7101604</v>
      </c>
      <c r="J212" s="590">
        <f>SUM(J213:J233)</f>
        <v>4811889</v>
      </c>
      <c r="K212" s="137"/>
      <c r="L212" s="137"/>
      <c r="M212" s="137"/>
    </row>
    <row r="213" spans="1:13" ht="138.75" hidden="1" thickTop="1" thickBot="1" x14ac:dyDescent="0.25">
      <c r="A213" s="126" t="s">
        <v>182</v>
      </c>
      <c r="B213" s="126" t="s">
        <v>183</v>
      </c>
      <c r="C213" s="126" t="s">
        <v>184</v>
      </c>
      <c r="D213" s="126" t="s">
        <v>629</v>
      </c>
      <c r="E213" s="243" t="s">
        <v>1125</v>
      </c>
      <c r="F213" s="187" t="s">
        <v>1126</v>
      </c>
      <c r="G213" s="187">
        <f t="shared" ref="G213:G215" si="28">H213+I213</f>
        <v>0</v>
      </c>
      <c r="H213" s="244">
        <f>'d3'!E235</f>
        <v>0</v>
      </c>
      <c r="I213" s="261">
        <f>'d3'!J235</f>
        <v>0</v>
      </c>
      <c r="J213" s="187">
        <f>'d3'!K235</f>
        <v>0</v>
      </c>
      <c r="K213" s="137"/>
      <c r="L213" s="137"/>
      <c r="M213" s="137"/>
    </row>
    <row r="214" spans="1:13" ht="184.5" thickTop="1" thickBot="1" x14ac:dyDescent="0.25">
      <c r="A214" s="101" t="s">
        <v>188</v>
      </c>
      <c r="B214" s="101" t="s">
        <v>189</v>
      </c>
      <c r="C214" s="101" t="s">
        <v>184</v>
      </c>
      <c r="D214" s="101" t="s">
        <v>1619</v>
      </c>
      <c r="E214" s="305" t="s">
        <v>1210</v>
      </c>
      <c r="F214" s="302" t="s">
        <v>1126</v>
      </c>
      <c r="G214" s="302">
        <f t="shared" si="28"/>
        <v>6732270</v>
      </c>
      <c r="H214" s="306">
        <f>'d3'!E237-H215</f>
        <v>6064270</v>
      </c>
      <c r="I214" s="423">
        <f>'d3'!J237-I215</f>
        <v>668000</v>
      </c>
      <c r="J214" s="302">
        <f>'d3'!K237-J215</f>
        <v>12000</v>
      </c>
      <c r="K214" s="137"/>
      <c r="L214" s="137"/>
      <c r="M214" s="137"/>
    </row>
    <row r="215" spans="1:13" ht="138.75" hidden="1" thickTop="1" thickBot="1" x14ac:dyDescent="0.25">
      <c r="A215" s="126" t="s">
        <v>188</v>
      </c>
      <c r="B215" s="126" t="s">
        <v>189</v>
      </c>
      <c r="C215" s="126" t="s">
        <v>184</v>
      </c>
      <c r="D215" s="126" t="s">
        <v>10</v>
      </c>
      <c r="E215" s="243" t="s">
        <v>1323</v>
      </c>
      <c r="F215" s="187" t="s">
        <v>445</v>
      </c>
      <c r="G215" s="187">
        <f t="shared" si="28"/>
        <v>0</v>
      </c>
      <c r="H215" s="244"/>
      <c r="I215" s="261"/>
      <c r="J215" s="187"/>
      <c r="K215" s="137"/>
      <c r="L215" s="137"/>
      <c r="M215" s="137"/>
    </row>
    <row r="216" spans="1:13" ht="184.5" thickTop="1" thickBot="1" x14ac:dyDescent="0.25">
      <c r="A216" s="101" t="s">
        <v>348</v>
      </c>
      <c r="B216" s="101" t="s">
        <v>349</v>
      </c>
      <c r="C216" s="101" t="s">
        <v>184</v>
      </c>
      <c r="D216" s="101" t="s">
        <v>1620</v>
      </c>
      <c r="E216" s="305" t="s">
        <v>1210</v>
      </c>
      <c r="F216" s="302" t="s">
        <v>1126</v>
      </c>
      <c r="G216" s="302">
        <f t="shared" ref="G216:G220" si="29">H216+I216</f>
        <v>8734056.6500000004</v>
      </c>
      <c r="H216" s="306">
        <f>'d3'!E238</f>
        <v>8727056.6500000004</v>
      </c>
      <c r="I216" s="423">
        <f>'d3'!J238</f>
        <v>7000</v>
      </c>
      <c r="J216" s="302">
        <f>'d3'!K238</f>
        <v>0</v>
      </c>
      <c r="K216" s="137"/>
      <c r="L216" s="137"/>
      <c r="M216" s="137"/>
    </row>
    <row r="217" spans="1:13" ht="184.5" thickTop="1" thickBot="1" x14ac:dyDescent="0.25">
      <c r="A217" s="101" t="s">
        <v>44</v>
      </c>
      <c r="B217" s="101" t="s">
        <v>185</v>
      </c>
      <c r="C217" s="101" t="s">
        <v>194</v>
      </c>
      <c r="D217" s="101" t="s">
        <v>45</v>
      </c>
      <c r="E217" s="305" t="s">
        <v>1210</v>
      </c>
      <c r="F217" s="302" t="s">
        <v>1126</v>
      </c>
      <c r="G217" s="302">
        <f t="shared" si="29"/>
        <v>39840800</v>
      </c>
      <c r="H217" s="302">
        <f>'d3'!E241</f>
        <v>39840800</v>
      </c>
      <c r="I217" s="423">
        <f>'d3'!J241</f>
        <v>0</v>
      </c>
      <c r="J217" s="302">
        <f>'d3'!K241</f>
        <v>0</v>
      </c>
      <c r="K217" s="137"/>
      <c r="L217" s="137"/>
      <c r="M217" s="137"/>
    </row>
    <row r="218" spans="1:13" ht="184.5" thickTop="1" thickBot="1" x14ac:dyDescent="0.25">
      <c r="A218" s="101" t="s">
        <v>46</v>
      </c>
      <c r="B218" s="101" t="s">
        <v>186</v>
      </c>
      <c r="C218" s="101" t="s">
        <v>194</v>
      </c>
      <c r="D218" s="101" t="s">
        <v>4</v>
      </c>
      <c r="E218" s="305" t="s">
        <v>1210</v>
      </c>
      <c r="F218" s="302" t="s">
        <v>1126</v>
      </c>
      <c r="G218" s="302">
        <f t="shared" si="29"/>
        <v>4803256</v>
      </c>
      <c r="H218" s="302">
        <f>'d3'!E242</f>
        <v>4803256</v>
      </c>
      <c r="I218" s="423">
        <f>'d3'!J242</f>
        <v>0</v>
      </c>
      <c r="J218" s="302">
        <f>'d3'!K242</f>
        <v>0</v>
      </c>
      <c r="K218" s="137"/>
      <c r="L218" s="137"/>
      <c r="M218" s="137"/>
    </row>
    <row r="219" spans="1:13" ht="184.5" thickTop="1" thickBot="1" x14ac:dyDescent="0.25">
      <c r="A219" s="101" t="s">
        <v>47</v>
      </c>
      <c r="B219" s="101" t="s">
        <v>187</v>
      </c>
      <c r="C219" s="101" t="s">
        <v>194</v>
      </c>
      <c r="D219" s="101" t="s">
        <v>346</v>
      </c>
      <c r="E219" s="305" t="s">
        <v>1210</v>
      </c>
      <c r="F219" s="302" t="s">
        <v>1126</v>
      </c>
      <c r="G219" s="302">
        <f t="shared" si="29"/>
        <v>28500</v>
      </c>
      <c r="H219" s="302">
        <f>'d3'!E244</f>
        <v>28500</v>
      </c>
      <c r="I219" s="423">
        <f>'d3'!J244</f>
        <v>0</v>
      </c>
      <c r="J219" s="302">
        <f>'d3'!K244</f>
        <v>0</v>
      </c>
      <c r="K219" s="137"/>
      <c r="L219" s="137"/>
      <c r="M219" s="137"/>
    </row>
    <row r="220" spans="1:13" ht="184.5" thickTop="1" thickBot="1" x14ac:dyDescent="0.25">
      <c r="A220" s="101" t="s">
        <v>28</v>
      </c>
      <c r="B220" s="101" t="s">
        <v>191</v>
      </c>
      <c r="C220" s="101" t="s">
        <v>194</v>
      </c>
      <c r="D220" s="101" t="s">
        <v>1622</v>
      </c>
      <c r="E220" s="305" t="s">
        <v>1210</v>
      </c>
      <c r="F220" s="302" t="s">
        <v>1126</v>
      </c>
      <c r="G220" s="302">
        <f t="shared" si="29"/>
        <v>76833578</v>
      </c>
      <c r="H220" s="302">
        <f>'d3'!E246-H221</f>
        <v>71937428</v>
      </c>
      <c r="I220" s="423">
        <f>'d3'!J246-I221</f>
        <v>4896150</v>
      </c>
      <c r="J220" s="302">
        <f>'d3'!K246-J221</f>
        <v>3398594</v>
      </c>
      <c r="K220" s="137"/>
      <c r="L220" s="137"/>
      <c r="M220" s="137"/>
    </row>
    <row r="221" spans="1:13" ht="138.75" thickTop="1" thickBot="1" x14ac:dyDescent="0.25">
      <c r="A221" s="101" t="s">
        <v>28</v>
      </c>
      <c r="B221" s="101" t="s">
        <v>191</v>
      </c>
      <c r="C221" s="101" t="s">
        <v>194</v>
      </c>
      <c r="D221" s="101" t="s">
        <v>48</v>
      </c>
      <c r="E221" s="305" t="s">
        <v>1498</v>
      </c>
      <c r="F221" s="302" t="s">
        <v>1499</v>
      </c>
      <c r="G221" s="302">
        <f>H221+I221</f>
        <v>350000</v>
      </c>
      <c r="H221" s="306">
        <v>300000</v>
      </c>
      <c r="I221" s="302">
        <v>50000</v>
      </c>
      <c r="J221" s="302">
        <v>50000</v>
      </c>
      <c r="K221" s="137"/>
      <c r="L221" s="137"/>
      <c r="M221" s="137"/>
    </row>
    <row r="222" spans="1:13" ht="184.5" thickTop="1" thickBot="1" x14ac:dyDescent="0.25">
      <c r="A222" s="101" t="s">
        <v>29</v>
      </c>
      <c r="B222" s="101" t="s">
        <v>192</v>
      </c>
      <c r="C222" s="101" t="s">
        <v>194</v>
      </c>
      <c r="D222" s="101" t="s">
        <v>49</v>
      </c>
      <c r="E222" s="305" t="s">
        <v>1210</v>
      </c>
      <c r="F222" s="302" t="s">
        <v>1126</v>
      </c>
      <c r="G222" s="302">
        <f t="shared" ref="G222:G233" si="30">H222+I222</f>
        <v>5917133.3499999996</v>
      </c>
      <c r="H222" s="302">
        <f>'d3'!E247</f>
        <v>5917133.3499999996</v>
      </c>
      <c r="I222" s="423">
        <f>'d3'!J247</f>
        <v>0</v>
      </c>
      <c r="J222" s="302">
        <f>'d3'!K247</f>
        <v>0</v>
      </c>
      <c r="K222" s="137"/>
      <c r="L222" s="137"/>
      <c r="M222" s="137"/>
    </row>
    <row r="223" spans="1:13" ht="184.5" thickTop="1" thickBot="1" x14ac:dyDescent="0.25">
      <c r="A223" s="101" t="s">
        <v>1318</v>
      </c>
      <c r="B223" s="101" t="s">
        <v>1319</v>
      </c>
      <c r="C223" s="101" t="s">
        <v>194</v>
      </c>
      <c r="D223" s="101" t="s">
        <v>1320</v>
      </c>
      <c r="E223" s="305" t="s">
        <v>1210</v>
      </c>
      <c r="F223" s="302" t="s">
        <v>1126</v>
      </c>
      <c r="G223" s="302">
        <f t="shared" si="30"/>
        <v>210816</v>
      </c>
      <c r="H223" s="302">
        <f>'d3'!E249</f>
        <v>210816</v>
      </c>
      <c r="I223" s="423">
        <f>'d3'!J249</f>
        <v>0</v>
      </c>
      <c r="J223" s="423">
        <f>'d3'!K249</f>
        <v>0</v>
      </c>
      <c r="K223" s="137"/>
      <c r="L223" s="137"/>
      <c r="M223" s="137"/>
    </row>
    <row r="224" spans="1:13" ht="184.5" thickTop="1" thickBot="1" x14ac:dyDescent="0.25">
      <c r="A224" s="642" t="s">
        <v>30</v>
      </c>
      <c r="B224" s="642" t="s">
        <v>193</v>
      </c>
      <c r="C224" s="642" t="s">
        <v>194</v>
      </c>
      <c r="D224" s="101" t="s">
        <v>31</v>
      </c>
      <c r="E224" s="305" t="s">
        <v>1210</v>
      </c>
      <c r="F224" s="302" t="s">
        <v>1126</v>
      </c>
      <c r="G224" s="302">
        <f t="shared" si="30"/>
        <v>950164</v>
      </c>
      <c r="H224" s="302">
        <f>'d3'!E251</f>
        <v>950164</v>
      </c>
      <c r="I224" s="423">
        <f>'d3'!J251</f>
        <v>0</v>
      </c>
      <c r="J224" s="302">
        <f>'d3'!K251</f>
        <v>0</v>
      </c>
      <c r="K224" s="137"/>
      <c r="L224" s="137"/>
      <c r="M224" s="137"/>
    </row>
    <row r="225" spans="1:13" ht="184.5" thickTop="1" thickBot="1" x14ac:dyDescent="0.25">
      <c r="A225" s="642" t="s">
        <v>507</v>
      </c>
      <c r="B225" s="642" t="s">
        <v>505</v>
      </c>
      <c r="C225" s="642" t="s">
        <v>194</v>
      </c>
      <c r="D225" s="101" t="s">
        <v>506</v>
      </c>
      <c r="E225" s="305" t="s">
        <v>1210</v>
      </c>
      <c r="F225" s="302" t="s">
        <v>1126</v>
      </c>
      <c r="G225" s="302">
        <f t="shared" si="30"/>
        <v>4210750</v>
      </c>
      <c r="H225" s="302">
        <f>'d3'!E252</f>
        <v>4210750</v>
      </c>
      <c r="I225" s="423">
        <f>'d3'!J252</f>
        <v>0</v>
      </c>
      <c r="J225" s="423">
        <f>'d3'!K252</f>
        <v>0</v>
      </c>
      <c r="K225" s="137"/>
      <c r="L225" s="137"/>
      <c r="M225" s="137"/>
    </row>
    <row r="226" spans="1:13" ht="184.5" thickTop="1" thickBot="1" x14ac:dyDescent="0.25">
      <c r="A226" s="642" t="s">
        <v>32</v>
      </c>
      <c r="B226" s="642" t="s">
        <v>195</v>
      </c>
      <c r="C226" s="642" t="s">
        <v>194</v>
      </c>
      <c r="D226" s="101" t="s">
        <v>33</v>
      </c>
      <c r="E226" s="305" t="s">
        <v>1210</v>
      </c>
      <c r="F226" s="302" t="s">
        <v>1126</v>
      </c>
      <c r="G226" s="302">
        <f t="shared" si="30"/>
        <v>2438699</v>
      </c>
      <c r="H226" s="302">
        <f>'d3'!E253</f>
        <v>2288540</v>
      </c>
      <c r="I226" s="423">
        <f>'d3'!J253</f>
        <v>150159</v>
      </c>
      <c r="J226" s="302">
        <f>'d3'!K253</f>
        <v>21000</v>
      </c>
      <c r="K226" s="137"/>
      <c r="L226" s="137"/>
      <c r="M226" s="137"/>
    </row>
    <row r="227" spans="1:13" ht="184.5" thickTop="1" thickBot="1" x14ac:dyDescent="0.25">
      <c r="A227" s="642" t="s">
        <v>1713</v>
      </c>
      <c r="B227" s="642" t="s">
        <v>1714</v>
      </c>
      <c r="C227" s="642" t="s">
        <v>194</v>
      </c>
      <c r="D227" s="101" t="s">
        <v>1712</v>
      </c>
      <c r="E227" s="305" t="s">
        <v>1210</v>
      </c>
      <c r="F227" s="302" t="s">
        <v>1126</v>
      </c>
      <c r="G227" s="302">
        <f t="shared" si="30"/>
        <v>331633</v>
      </c>
      <c r="H227" s="302">
        <f>'d3'!E254</f>
        <v>0</v>
      </c>
      <c r="I227" s="423">
        <f>'d3'!J254</f>
        <v>331633</v>
      </c>
      <c r="J227" s="423">
        <f>'d3'!K254</f>
        <v>331633</v>
      </c>
      <c r="K227" s="137"/>
      <c r="L227" s="137"/>
      <c r="M227" s="137"/>
    </row>
    <row r="228" spans="1:13" ht="184.5" hidden="1" thickTop="1" thickBot="1" x14ac:dyDescent="0.25">
      <c r="A228" s="374" t="s">
        <v>339</v>
      </c>
      <c r="B228" s="374" t="s">
        <v>338</v>
      </c>
      <c r="C228" s="374" t="s">
        <v>337</v>
      </c>
      <c r="D228" s="126" t="s">
        <v>630</v>
      </c>
      <c r="E228" s="243" t="s">
        <v>1210</v>
      </c>
      <c r="F228" s="187" t="s">
        <v>1126</v>
      </c>
      <c r="G228" s="187">
        <f t="shared" si="30"/>
        <v>0</v>
      </c>
      <c r="H228" s="187">
        <f>'d3'!E257</f>
        <v>0</v>
      </c>
      <c r="I228" s="261">
        <f>'d3'!J257</f>
        <v>0</v>
      </c>
      <c r="J228" s="261">
        <f>'d3'!K257</f>
        <v>0</v>
      </c>
      <c r="K228" s="137"/>
      <c r="L228" s="137"/>
      <c r="M228" s="137"/>
    </row>
    <row r="229" spans="1:13" ht="184.5" hidden="1" thickTop="1" thickBot="1" x14ac:dyDescent="0.25">
      <c r="A229" s="126" t="s">
        <v>1064</v>
      </c>
      <c r="B229" s="126" t="s">
        <v>311</v>
      </c>
      <c r="C229" s="126" t="s">
        <v>302</v>
      </c>
      <c r="D229" s="126" t="s">
        <v>1196</v>
      </c>
      <c r="E229" s="243" t="s">
        <v>1210</v>
      </c>
      <c r="F229" s="187" t="s">
        <v>1126</v>
      </c>
      <c r="G229" s="187">
        <f t="shared" si="30"/>
        <v>0</v>
      </c>
      <c r="H229" s="187">
        <f>'d3'!E261</f>
        <v>0</v>
      </c>
      <c r="I229" s="261">
        <f>'d3'!J261</f>
        <v>0</v>
      </c>
      <c r="J229" s="261">
        <f>'d3'!K261</f>
        <v>0</v>
      </c>
      <c r="K229" s="137"/>
      <c r="L229" s="137"/>
      <c r="M229" s="137"/>
    </row>
    <row r="230" spans="1:13" ht="184.5" hidden="1" thickTop="1" thickBot="1" x14ac:dyDescent="0.25">
      <c r="A230" s="126" t="s">
        <v>1281</v>
      </c>
      <c r="B230" s="126" t="s">
        <v>211</v>
      </c>
      <c r="C230" s="126" t="s">
        <v>212</v>
      </c>
      <c r="D230" s="126" t="s">
        <v>41</v>
      </c>
      <c r="E230" s="243" t="s">
        <v>1210</v>
      </c>
      <c r="F230" s="187" t="s">
        <v>1126</v>
      </c>
      <c r="G230" s="187">
        <f t="shared" si="30"/>
        <v>0</v>
      </c>
      <c r="H230" s="187">
        <f>'d3'!E263</f>
        <v>0</v>
      </c>
      <c r="I230" s="261">
        <f>'d3'!J263</f>
        <v>0</v>
      </c>
      <c r="J230" s="261">
        <f>'d3'!K263</f>
        <v>0</v>
      </c>
      <c r="K230" s="137"/>
      <c r="L230" s="137"/>
      <c r="M230" s="137"/>
    </row>
    <row r="231" spans="1:13" ht="184.5" thickTop="1" thickBot="1" x14ac:dyDescent="0.25">
      <c r="A231" s="101" t="s">
        <v>598</v>
      </c>
      <c r="B231" s="101" t="s">
        <v>196</v>
      </c>
      <c r="C231" s="101" t="s">
        <v>169</v>
      </c>
      <c r="D231" s="101" t="s">
        <v>34</v>
      </c>
      <c r="E231" s="305" t="s">
        <v>1210</v>
      </c>
      <c r="F231" s="302" t="s">
        <v>1126</v>
      </c>
      <c r="G231" s="302">
        <f t="shared" ref="G231" si="31">H231+I231</f>
        <v>998662</v>
      </c>
      <c r="H231" s="302">
        <f>'d3'!E264</f>
        <v>0</v>
      </c>
      <c r="I231" s="423">
        <f>'d3'!J264</f>
        <v>998662</v>
      </c>
      <c r="J231" s="423">
        <f>'d3'!K264</f>
        <v>998662</v>
      </c>
      <c r="K231" s="137"/>
      <c r="L231" s="137"/>
      <c r="M231" s="137"/>
    </row>
    <row r="232" spans="1:13" ht="184.5" hidden="1" thickTop="1" thickBot="1" x14ac:dyDescent="0.25">
      <c r="A232" s="374" t="s">
        <v>452</v>
      </c>
      <c r="B232" s="374" t="s">
        <v>454</v>
      </c>
      <c r="C232" s="374" t="s">
        <v>50</v>
      </c>
      <c r="D232" s="126" t="s">
        <v>451</v>
      </c>
      <c r="E232" s="243" t="s">
        <v>1210</v>
      </c>
      <c r="F232" s="187" t="s">
        <v>1126</v>
      </c>
      <c r="G232" s="187">
        <f t="shared" si="30"/>
        <v>0</v>
      </c>
      <c r="H232" s="187">
        <f>'d4'!F17</f>
        <v>0</v>
      </c>
      <c r="I232" s="261">
        <f>'d4'!G17</f>
        <v>0</v>
      </c>
      <c r="J232" s="261">
        <f>'d4'!H17</f>
        <v>0</v>
      </c>
      <c r="K232" s="137"/>
      <c r="L232" s="137"/>
      <c r="M232" s="137"/>
    </row>
    <row r="233" spans="1:13" ht="184.5" hidden="1" thickTop="1" thickBot="1" x14ac:dyDescent="0.25">
      <c r="A233" s="126" t="s">
        <v>1072</v>
      </c>
      <c r="B233" s="126" t="s">
        <v>359</v>
      </c>
      <c r="C233" s="126" t="s">
        <v>43</v>
      </c>
      <c r="D233" s="126" t="s">
        <v>360</v>
      </c>
      <c r="E233" s="243" t="s">
        <v>1210</v>
      </c>
      <c r="F233" s="187" t="s">
        <v>1126</v>
      </c>
      <c r="G233" s="187">
        <f t="shared" si="30"/>
        <v>0</v>
      </c>
      <c r="H233" s="187">
        <f>'d3'!E267</f>
        <v>0</v>
      </c>
      <c r="I233" s="261">
        <f>'d3'!J267</f>
        <v>0</v>
      </c>
      <c r="J233" s="261">
        <f>'d3'!K267</f>
        <v>0</v>
      </c>
      <c r="K233" s="137"/>
      <c r="L233" s="137"/>
      <c r="M233" s="137"/>
    </row>
    <row r="234" spans="1:13" ht="170.45" customHeight="1" thickTop="1" thickBot="1" x14ac:dyDescent="0.25">
      <c r="A234" s="585" t="s">
        <v>157</v>
      </c>
      <c r="B234" s="585"/>
      <c r="C234" s="585"/>
      <c r="D234" s="586" t="s">
        <v>554</v>
      </c>
      <c r="E234" s="585"/>
      <c r="F234" s="585"/>
      <c r="G234" s="587">
        <f>G235</f>
        <v>58109868.640000001</v>
      </c>
      <c r="H234" s="587">
        <f t="shared" ref="H234:J234" si="32">H235</f>
        <v>34626454.640000001</v>
      </c>
      <c r="I234" s="587">
        <f t="shared" si="32"/>
        <v>23483414</v>
      </c>
      <c r="J234" s="587">
        <f t="shared" si="32"/>
        <v>23483414</v>
      </c>
      <c r="K234" s="95" t="b">
        <f>H234='d3'!E268-'d3'!E271+'d7'!H236</f>
        <v>1</v>
      </c>
      <c r="L234" s="95" t="b">
        <f>I234='d3'!J268-'d3'!J271+I236</f>
        <v>1</v>
      </c>
      <c r="M234" s="95" t="b">
        <f>J234='d3'!K268-'d3'!K271+J236</f>
        <v>1</v>
      </c>
    </row>
    <row r="235" spans="1:13" ht="159" customHeight="1" thickTop="1" thickBot="1" x14ac:dyDescent="0.25">
      <c r="A235" s="588" t="s">
        <v>158</v>
      </c>
      <c r="B235" s="588"/>
      <c r="C235" s="588"/>
      <c r="D235" s="589" t="s">
        <v>555</v>
      </c>
      <c r="E235" s="590"/>
      <c r="F235" s="590"/>
      <c r="G235" s="590">
        <f>SUM(G236:G265)</f>
        <v>58109868.640000001</v>
      </c>
      <c r="H235" s="590">
        <f>SUM(H236:H265)</f>
        <v>34626454.640000001</v>
      </c>
      <c r="I235" s="590">
        <f>SUM(I236:I265)</f>
        <v>23483414</v>
      </c>
      <c r="J235" s="590">
        <f>SUM(J236:J265)</f>
        <v>23483414</v>
      </c>
      <c r="K235" s="137"/>
      <c r="L235" s="137"/>
      <c r="M235" s="137"/>
    </row>
    <row r="236" spans="1:13" ht="138.75" thickTop="1" thickBot="1" x14ac:dyDescent="0.25">
      <c r="A236" s="101" t="s">
        <v>416</v>
      </c>
      <c r="B236" s="101" t="s">
        <v>235</v>
      </c>
      <c r="C236" s="101" t="s">
        <v>233</v>
      </c>
      <c r="D236" s="101" t="s">
        <v>234</v>
      </c>
      <c r="E236" s="305" t="s">
        <v>1005</v>
      </c>
      <c r="F236" s="302" t="s">
        <v>841</v>
      </c>
      <c r="G236" s="302">
        <f t="shared" ref="G236:G310" si="33">H236+I236</f>
        <v>30000</v>
      </c>
      <c r="H236" s="306">
        <v>0</v>
      </c>
      <c r="I236" s="423">
        <v>30000</v>
      </c>
      <c r="J236" s="423">
        <v>30000</v>
      </c>
      <c r="K236" s="137"/>
      <c r="L236" s="137"/>
      <c r="M236" s="137"/>
    </row>
    <row r="237" spans="1:13" ht="276" hidden="1" thickTop="1" thickBot="1" x14ac:dyDescent="0.25">
      <c r="A237" s="126" t="s">
        <v>618</v>
      </c>
      <c r="B237" s="126" t="s">
        <v>358</v>
      </c>
      <c r="C237" s="126" t="s">
        <v>616</v>
      </c>
      <c r="D237" s="126" t="s">
        <v>617</v>
      </c>
      <c r="E237" s="243" t="s">
        <v>1248</v>
      </c>
      <c r="F237" s="187" t="s">
        <v>1249</v>
      </c>
      <c r="G237" s="187">
        <f t="shared" si="33"/>
        <v>0</v>
      </c>
      <c r="H237" s="244">
        <f>'d3'!E272</f>
        <v>0</v>
      </c>
      <c r="I237" s="261">
        <v>0</v>
      </c>
      <c r="J237" s="261">
        <v>0</v>
      </c>
      <c r="K237" s="137"/>
      <c r="L237" s="137"/>
      <c r="M237" s="137"/>
    </row>
    <row r="238" spans="1:13" ht="195.75" customHeight="1" thickTop="1" thickBot="1" x14ac:dyDescent="0.25">
      <c r="A238" s="101" t="s">
        <v>1709</v>
      </c>
      <c r="B238" s="101" t="s">
        <v>1159</v>
      </c>
      <c r="C238" s="101" t="s">
        <v>205</v>
      </c>
      <c r="D238" s="600" t="s">
        <v>1160</v>
      </c>
      <c r="E238" s="305" t="s">
        <v>1566</v>
      </c>
      <c r="F238" s="302" t="s">
        <v>1598</v>
      </c>
      <c r="G238" s="302">
        <f t="shared" si="33"/>
        <v>10000</v>
      </c>
      <c r="H238" s="322">
        <f>'d3'!E275</f>
        <v>0</v>
      </c>
      <c r="I238" s="592">
        <f>'d3'!J275</f>
        <v>10000</v>
      </c>
      <c r="J238" s="592">
        <f>'d3'!K275</f>
        <v>10000</v>
      </c>
      <c r="K238" s="137"/>
      <c r="L238" s="137"/>
      <c r="M238" s="137"/>
    </row>
    <row r="239" spans="1:13" ht="138.75" thickTop="1" thickBot="1" x14ac:dyDescent="0.25">
      <c r="A239" s="318" t="s">
        <v>278</v>
      </c>
      <c r="B239" s="318" t="s">
        <v>279</v>
      </c>
      <c r="C239" s="318" t="s">
        <v>337</v>
      </c>
      <c r="D239" s="318" t="s">
        <v>280</v>
      </c>
      <c r="E239" s="305" t="s">
        <v>1193</v>
      </c>
      <c r="F239" s="302" t="s">
        <v>1131</v>
      </c>
      <c r="G239" s="309">
        <f t="shared" si="33"/>
        <v>1311000</v>
      </c>
      <c r="H239" s="309">
        <f>(150000)+150000</f>
        <v>300000</v>
      </c>
      <c r="I239" s="309">
        <f>((200000)-200000)+1011000</f>
        <v>1011000</v>
      </c>
      <c r="J239" s="309">
        <f>((200000)-200000)+1011000</f>
        <v>1011000</v>
      </c>
      <c r="K239" s="95" t="b">
        <f>H239+H240+H242+H241='d3'!E278</f>
        <v>1</v>
      </c>
      <c r="L239" s="424" t="b">
        <f>I239+I240+I242+I241='d3'!J278</f>
        <v>1</v>
      </c>
      <c r="M239" s="424" t="b">
        <f>J239+J240+J242+J241='d3'!K278</f>
        <v>1</v>
      </c>
    </row>
    <row r="240" spans="1:13" ht="138.75" thickTop="1" thickBot="1" x14ac:dyDescent="0.25">
      <c r="A240" s="318" t="s">
        <v>278</v>
      </c>
      <c r="B240" s="318" t="s">
        <v>279</v>
      </c>
      <c r="C240" s="318" t="s">
        <v>337</v>
      </c>
      <c r="D240" s="318" t="s">
        <v>280</v>
      </c>
      <c r="E240" s="311" t="s">
        <v>1600</v>
      </c>
      <c r="F240" s="311" t="s">
        <v>1601</v>
      </c>
      <c r="G240" s="309">
        <f t="shared" si="33"/>
        <v>7436327</v>
      </c>
      <c r="H240" s="306">
        <f>(((1911200)+897000)+630000)+624260</f>
        <v>4062460</v>
      </c>
      <c r="I240" s="423">
        <f>(((1500000)+922570)+498522)+452775</f>
        <v>3373867</v>
      </c>
      <c r="J240" s="423">
        <f>(((1500000)+922570)+498522)+452775</f>
        <v>3373867</v>
      </c>
      <c r="K240" s="137"/>
      <c r="L240" s="137"/>
      <c r="M240" s="137"/>
    </row>
    <row r="241" spans="1:13" ht="138.75" thickTop="1" thickBot="1" x14ac:dyDescent="0.25">
      <c r="A241" s="318" t="s">
        <v>278</v>
      </c>
      <c r="B241" s="318" t="s">
        <v>279</v>
      </c>
      <c r="C241" s="318" t="s">
        <v>337</v>
      </c>
      <c r="D241" s="318" t="s">
        <v>280</v>
      </c>
      <c r="E241" s="305" t="s">
        <v>1492</v>
      </c>
      <c r="F241" s="302" t="s">
        <v>1493</v>
      </c>
      <c r="G241" s="309">
        <f t="shared" si="33"/>
        <v>383798</v>
      </c>
      <c r="H241" s="306">
        <v>383798</v>
      </c>
      <c r="I241" s="423">
        <v>0</v>
      </c>
      <c r="J241" s="423">
        <v>0</v>
      </c>
      <c r="K241" s="137"/>
      <c r="L241" s="137"/>
      <c r="M241" s="137"/>
    </row>
    <row r="242" spans="1:13" ht="276" hidden="1" thickTop="1" thickBot="1" x14ac:dyDescent="0.25">
      <c r="A242" s="341" t="s">
        <v>278</v>
      </c>
      <c r="B242" s="341" t="s">
        <v>279</v>
      </c>
      <c r="C242" s="341" t="s">
        <v>337</v>
      </c>
      <c r="D242" s="341" t="s">
        <v>280</v>
      </c>
      <c r="E242" s="187" t="s">
        <v>1327</v>
      </c>
      <c r="F242" s="187" t="s">
        <v>843</v>
      </c>
      <c r="G242" s="187">
        <f t="shared" si="33"/>
        <v>0</v>
      </c>
      <c r="H242" s="244">
        <v>0</v>
      </c>
      <c r="I242" s="261">
        <v>0</v>
      </c>
      <c r="J242" s="261">
        <v>0</v>
      </c>
      <c r="K242" s="137"/>
      <c r="L242" s="137"/>
      <c r="M242" s="137"/>
    </row>
    <row r="243" spans="1:13" ht="138.75" hidden="1" thickTop="1" thickBot="1" x14ac:dyDescent="0.25">
      <c r="A243" s="126" t="s">
        <v>1521</v>
      </c>
      <c r="B243" s="126" t="s">
        <v>284</v>
      </c>
      <c r="C243" s="126" t="s">
        <v>281</v>
      </c>
      <c r="D243" s="126" t="s">
        <v>285</v>
      </c>
      <c r="E243" s="243" t="s">
        <v>1193</v>
      </c>
      <c r="F243" s="187" t="s">
        <v>1131</v>
      </c>
      <c r="G243" s="187">
        <f t="shared" si="33"/>
        <v>0</v>
      </c>
      <c r="H243" s="244">
        <f>'d3'!E279</f>
        <v>0</v>
      </c>
      <c r="I243" s="261">
        <f>'d3'!J279</f>
        <v>0</v>
      </c>
      <c r="J243" s="261">
        <f>'d3'!K279</f>
        <v>0</v>
      </c>
      <c r="K243" s="137"/>
      <c r="L243" s="137"/>
      <c r="M243" s="137"/>
    </row>
    <row r="244" spans="1:13" ht="138.75" thickTop="1" thickBot="1" x14ac:dyDescent="0.25">
      <c r="A244" s="101" t="s">
        <v>299</v>
      </c>
      <c r="B244" s="101" t="s">
        <v>300</v>
      </c>
      <c r="C244" s="101" t="s">
        <v>281</v>
      </c>
      <c r="D244" s="101" t="s">
        <v>301</v>
      </c>
      <c r="E244" s="305" t="s">
        <v>1193</v>
      </c>
      <c r="F244" s="302" t="s">
        <v>1131</v>
      </c>
      <c r="G244" s="302">
        <f t="shared" si="33"/>
        <v>13171073</v>
      </c>
      <c r="H244" s="306">
        <f>'d3'!E280</f>
        <v>0</v>
      </c>
      <c r="I244" s="423">
        <f>'d3'!J280</f>
        <v>13171073</v>
      </c>
      <c r="J244" s="423">
        <f>'d3'!K280</f>
        <v>13171073</v>
      </c>
      <c r="K244" s="137"/>
      <c r="L244" s="137"/>
      <c r="M244" s="137"/>
    </row>
    <row r="245" spans="1:13" ht="138.75" hidden="1" thickTop="1" thickBot="1" x14ac:dyDescent="0.25">
      <c r="A245" s="341" t="s">
        <v>282</v>
      </c>
      <c r="B245" s="341" t="s">
        <v>283</v>
      </c>
      <c r="C245" s="341" t="s">
        <v>281</v>
      </c>
      <c r="D245" s="341" t="s">
        <v>461</v>
      </c>
      <c r="E245" s="243" t="s">
        <v>1193</v>
      </c>
      <c r="F245" s="187" t="s">
        <v>1131</v>
      </c>
      <c r="G245" s="187">
        <f t="shared" si="33"/>
        <v>0</v>
      </c>
      <c r="H245" s="416">
        <f>2500000-2500000</f>
        <v>0</v>
      </c>
      <c r="I245" s="261">
        <f>2800000-2800000</f>
        <v>0</v>
      </c>
      <c r="J245" s="261">
        <f>2800000-2800000</f>
        <v>0</v>
      </c>
      <c r="K245" s="137"/>
      <c r="L245" s="137"/>
      <c r="M245" s="137"/>
    </row>
    <row r="246" spans="1:13" ht="138.75" thickTop="1" thickBot="1" x14ac:dyDescent="0.25">
      <c r="A246" s="318" t="s">
        <v>282</v>
      </c>
      <c r="B246" s="318" t="s">
        <v>283</v>
      </c>
      <c r="C246" s="318" t="s">
        <v>281</v>
      </c>
      <c r="D246" s="318" t="s">
        <v>461</v>
      </c>
      <c r="E246" s="305" t="s">
        <v>1492</v>
      </c>
      <c r="F246" s="302" t="s">
        <v>1493</v>
      </c>
      <c r="G246" s="302">
        <f t="shared" si="33"/>
        <v>51600</v>
      </c>
      <c r="H246" s="591">
        <f>'d3'!E281-H245</f>
        <v>51600</v>
      </c>
      <c r="I246" s="423">
        <f>'d3'!J281-I245</f>
        <v>0</v>
      </c>
      <c r="J246" s="423">
        <f>'d3'!K281-J245</f>
        <v>0</v>
      </c>
      <c r="K246" s="137"/>
      <c r="L246" s="137"/>
      <c r="M246" s="137"/>
    </row>
    <row r="247" spans="1:13" ht="138.75" hidden="1" thickTop="1" thickBot="1" x14ac:dyDescent="0.25">
      <c r="A247" s="126" t="s">
        <v>909</v>
      </c>
      <c r="B247" s="126" t="s">
        <v>295</v>
      </c>
      <c r="C247" s="126" t="s">
        <v>281</v>
      </c>
      <c r="D247" s="126" t="s">
        <v>296</v>
      </c>
      <c r="E247" s="243" t="s">
        <v>1345</v>
      </c>
      <c r="F247" s="187" t="s">
        <v>1293</v>
      </c>
      <c r="G247" s="187">
        <f t="shared" ref="G247:G254" si="34">H247+I247</f>
        <v>0</v>
      </c>
      <c r="H247" s="244"/>
      <c r="I247" s="261"/>
      <c r="J247" s="261"/>
      <c r="K247" s="137"/>
      <c r="L247" s="137"/>
      <c r="M247" s="137"/>
    </row>
    <row r="248" spans="1:13" ht="138.75" thickTop="1" thickBot="1" x14ac:dyDescent="0.25">
      <c r="A248" s="101" t="s">
        <v>909</v>
      </c>
      <c r="B248" s="101" t="s">
        <v>295</v>
      </c>
      <c r="C248" s="101" t="s">
        <v>281</v>
      </c>
      <c r="D248" s="101" t="s">
        <v>296</v>
      </c>
      <c r="E248" s="305" t="s">
        <v>1492</v>
      </c>
      <c r="F248" s="302" t="s">
        <v>1493</v>
      </c>
      <c r="G248" s="302">
        <f t="shared" si="34"/>
        <v>1658108</v>
      </c>
      <c r="H248" s="306">
        <f>(504000)+1154108</f>
        <v>1658108</v>
      </c>
      <c r="I248" s="423">
        <v>0</v>
      </c>
      <c r="J248" s="423">
        <v>0</v>
      </c>
      <c r="K248" s="137"/>
      <c r="L248" s="137"/>
      <c r="M248" s="137"/>
    </row>
    <row r="249" spans="1:13" ht="276" hidden="1" thickTop="1" thickBot="1" x14ac:dyDescent="0.25">
      <c r="A249" s="126" t="s">
        <v>909</v>
      </c>
      <c r="B249" s="126" t="s">
        <v>295</v>
      </c>
      <c r="C249" s="126" t="s">
        <v>281</v>
      </c>
      <c r="D249" s="126" t="s">
        <v>296</v>
      </c>
      <c r="E249" s="187" t="s">
        <v>1327</v>
      </c>
      <c r="F249" s="187" t="s">
        <v>843</v>
      </c>
      <c r="G249" s="187">
        <f t="shared" si="34"/>
        <v>0</v>
      </c>
      <c r="H249" s="244"/>
      <c r="I249" s="261"/>
      <c r="J249" s="261"/>
      <c r="K249" s="137"/>
      <c r="L249" s="137"/>
      <c r="M249" s="137"/>
    </row>
    <row r="250" spans="1:13" ht="138.75" thickTop="1" thickBot="1" x14ac:dyDescent="0.25">
      <c r="A250" s="101" t="s">
        <v>286</v>
      </c>
      <c r="B250" s="101" t="s">
        <v>287</v>
      </c>
      <c r="C250" s="101" t="s">
        <v>281</v>
      </c>
      <c r="D250" s="101" t="s">
        <v>288</v>
      </c>
      <c r="E250" s="305" t="s">
        <v>1193</v>
      </c>
      <c r="F250" s="302" t="s">
        <v>1131</v>
      </c>
      <c r="G250" s="302">
        <f t="shared" si="33"/>
        <v>17423285</v>
      </c>
      <c r="H250" s="306">
        <f>'d3'!E283</f>
        <v>15000000</v>
      </c>
      <c r="I250" s="423">
        <f>'d3'!J283</f>
        <v>2423285</v>
      </c>
      <c r="J250" s="423">
        <f>'d3'!K283</f>
        <v>2423285</v>
      </c>
      <c r="K250" s="137"/>
      <c r="L250" s="137"/>
      <c r="M250" s="137"/>
    </row>
    <row r="251" spans="1:13" ht="138.75" thickTop="1" thickBot="1" x14ac:dyDescent="0.25">
      <c r="A251" s="101" t="s">
        <v>1219</v>
      </c>
      <c r="B251" s="101" t="s">
        <v>1110</v>
      </c>
      <c r="C251" s="101" t="s">
        <v>1111</v>
      </c>
      <c r="D251" s="101" t="s">
        <v>1108</v>
      </c>
      <c r="E251" s="305" t="s">
        <v>1193</v>
      </c>
      <c r="F251" s="302" t="s">
        <v>1131</v>
      </c>
      <c r="G251" s="302">
        <f t="shared" si="34"/>
        <v>2040723</v>
      </c>
      <c r="H251" s="322">
        <v>2040723</v>
      </c>
      <c r="I251" s="592">
        <f>'d3'!J284-I254-I253-I252</f>
        <v>0</v>
      </c>
      <c r="J251" s="592">
        <f>'d3'!K284-J254-J253-J252</f>
        <v>0</v>
      </c>
      <c r="K251" s="137"/>
      <c r="L251" s="137"/>
      <c r="M251" s="137"/>
    </row>
    <row r="252" spans="1:13" ht="93" hidden="1" thickTop="1" thickBot="1" x14ac:dyDescent="0.25">
      <c r="A252" s="101" t="s">
        <v>1219</v>
      </c>
      <c r="B252" s="101" t="s">
        <v>1110</v>
      </c>
      <c r="C252" s="101" t="s">
        <v>1111</v>
      </c>
      <c r="D252" s="101" t="s">
        <v>1108</v>
      </c>
      <c r="E252" s="305"/>
      <c r="F252" s="302"/>
      <c r="G252" s="302">
        <f t="shared" si="34"/>
        <v>0</v>
      </c>
      <c r="H252" s="322"/>
      <c r="I252" s="592"/>
      <c r="J252" s="592"/>
      <c r="K252" s="137"/>
      <c r="L252" s="137"/>
      <c r="M252" s="137"/>
    </row>
    <row r="253" spans="1:13" ht="230.25" hidden="1" thickTop="1" thickBot="1" x14ac:dyDescent="0.25">
      <c r="A253" s="126" t="s">
        <v>1219</v>
      </c>
      <c r="B253" s="126" t="s">
        <v>1110</v>
      </c>
      <c r="C253" s="126" t="s">
        <v>1111</v>
      </c>
      <c r="D253" s="126" t="s">
        <v>1108</v>
      </c>
      <c r="E253" s="243" t="s">
        <v>1522</v>
      </c>
      <c r="F253" s="187" t="s">
        <v>1240</v>
      </c>
      <c r="G253" s="187">
        <f t="shared" si="34"/>
        <v>0</v>
      </c>
      <c r="H253" s="263"/>
      <c r="I253" s="264">
        <v>0</v>
      </c>
      <c r="J253" s="264">
        <v>0</v>
      </c>
      <c r="K253" s="137"/>
      <c r="L253" s="137"/>
      <c r="M253" s="137"/>
    </row>
    <row r="254" spans="1:13" ht="184.5" thickTop="1" thickBot="1" x14ac:dyDescent="0.25">
      <c r="A254" s="101" t="s">
        <v>1219</v>
      </c>
      <c r="B254" s="101" t="s">
        <v>1110</v>
      </c>
      <c r="C254" s="101" t="s">
        <v>1111</v>
      </c>
      <c r="D254" s="101" t="s">
        <v>1108</v>
      </c>
      <c r="E254" s="305" t="s">
        <v>1385</v>
      </c>
      <c r="F254" s="302" t="s">
        <v>1386</v>
      </c>
      <c r="G254" s="302">
        <f t="shared" si="34"/>
        <v>1500000</v>
      </c>
      <c r="H254" s="322">
        <v>0</v>
      </c>
      <c r="I254" s="592">
        <f>(0)+1500000</f>
        <v>1500000</v>
      </c>
      <c r="J254" s="592">
        <f>(0)+1500000</f>
        <v>1500000</v>
      </c>
      <c r="K254" s="137"/>
      <c r="L254" s="137"/>
      <c r="M254" s="137"/>
    </row>
    <row r="255" spans="1:13" ht="276" thickTop="1" thickBot="1" x14ac:dyDescent="0.25">
      <c r="A255" s="101" t="s">
        <v>1559</v>
      </c>
      <c r="B255" s="101" t="s">
        <v>1560</v>
      </c>
      <c r="C255" s="101" t="s">
        <v>1111</v>
      </c>
      <c r="D255" s="101" t="s">
        <v>1561</v>
      </c>
      <c r="E255" s="302" t="s">
        <v>1327</v>
      </c>
      <c r="F255" s="302" t="s">
        <v>843</v>
      </c>
      <c r="G255" s="302">
        <f t="shared" ref="G255:G257" si="35">H255+I255</f>
        <v>321397</v>
      </c>
      <c r="H255" s="322">
        <v>0</v>
      </c>
      <c r="I255" s="592">
        <v>321397</v>
      </c>
      <c r="J255" s="592">
        <v>321397</v>
      </c>
      <c r="K255" s="95" t="b">
        <f>H255+H256='d3'!E285</f>
        <v>1</v>
      </c>
      <c r="L255" s="426" t="b">
        <f>I255+I256='d3'!J285</f>
        <v>1</v>
      </c>
      <c r="M255" s="426" t="b">
        <f>J255+J256='d3'!K285</f>
        <v>1</v>
      </c>
    </row>
    <row r="256" spans="1:13" ht="184.5" thickTop="1" thickBot="1" x14ac:dyDescent="0.25">
      <c r="A256" s="101" t="s">
        <v>1559</v>
      </c>
      <c r="B256" s="101" t="s">
        <v>1560</v>
      </c>
      <c r="C256" s="101" t="s">
        <v>1111</v>
      </c>
      <c r="D256" s="101" t="s">
        <v>1561</v>
      </c>
      <c r="E256" s="305" t="s">
        <v>1294</v>
      </c>
      <c r="F256" s="302" t="s">
        <v>1295</v>
      </c>
      <c r="G256" s="302">
        <f t="shared" si="35"/>
        <v>1642792</v>
      </c>
      <c r="H256" s="322">
        <v>0</v>
      </c>
      <c r="I256" s="592">
        <f>(960631)+682161</f>
        <v>1642792</v>
      </c>
      <c r="J256" s="592">
        <f>(960631)+682161</f>
        <v>1642792</v>
      </c>
      <c r="K256" s="137"/>
      <c r="L256" s="137"/>
      <c r="M256" s="137"/>
    </row>
    <row r="257" spans="1:13" ht="138.75" thickTop="1" thickBot="1" x14ac:dyDescent="0.25">
      <c r="A257" s="101" t="s">
        <v>1673</v>
      </c>
      <c r="B257" s="101" t="s">
        <v>305</v>
      </c>
      <c r="C257" s="101" t="s">
        <v>306</v>
      </c>
      <c r="D257" s="101" t="s">
        <v>456</v>
      </c>
      <c r="E257" s="305" t="s">
        <v>1193</v>
      </c>
      <c r="F257" s="302" t="s">
        <v>1131</v>
      </c>
      <c r="G257" s="302">
        <f t="shared" si="35"/>
        <v>30400</v>
      </c>
      <c r="H257" s="322">
        <f>'d3'!E288</f>
        <v>30400</v>
      </c>
      <c r="I257" s="592">
        <f>'d3'!J288</f>
        <v>0</v>
      </c>
      <c r="J257" s="592">
        <f>'d3'!K288</f>
        <v>0</v>
      </c>
      <c r="K257" s="137"/>
      <c r="L257" s="137"/>
      <c r="M257" s="137"/>
    </row>
    <row r="258" spans="1:13" ht="138.75" hidden="1" thickTop="1" thickBot="1" x14ac:dyDescent="0.25">
      <c r="A258" s="126" t="s">
        <v>1107</v>
      </c>
      <c r="B258" s="126" t="s">
        <v>303</v>
      </c>
      <c r="C258" s="126" t="s">
        <v>302</v>
      </c>
      <c r="D258" s="126" t="s">
        <v>1419</v>
      </c>
      <c r="E258" s="243" t="s">
        <v>1193</v>
      </c>
      <c r="F258" s="187" t="s">
        <v>1131</v>
      </c>
      <c r="G258" s="187">
        <f t="shared" si="33"/>
        <v>0</v>
      </c>
      <c r="H258" s="263">
        <v>0</v>
      </c>
      <c r="I258" s="264">
        <v>0</v>
      </c>
      <c r="J258" s="264">
        <v>0</v>
      </c>
      <c r="K258" s="137"/>
      <c r="L258" s="137"/>
      <c r="M258" s="137"/>
    </row>
    <row r="259" spans="1:13" ht="138.75" thickTop="1" thickBot="1" x14ac:dyDescent="0.25">
      <c r="A259" s="101" t="s">
        <v>294</v>
      </c>
      <c r="B259" s="101" t="s">
        <v>211</v>
      </c>
      <c r="C259" s="101" t="s">
        <v>212</v>
      </c>
      <c r="D259" s="101" t="s">
        <v>41</v>
      </c>
      <c r="E259" s="305" t="s">
        <v>1513</v>
      </c>
      <c r="F259" s="302" t="s">
        <v>1415</v>
      </c>
      <c r="G259" s="309">
        <f>H259+I259</f>
        <v>9431289.6400000006</v>
      </c>
      <c r="H259" s="309">
        <f>(((911400+600000)+2620384)+5632662)-283156.36-50000</f>
        <v>9431289.6400000006</v>
      </c>
      <c r="I259" s="309">
        <v>0</v>
      </c>
      <c r="J259" s="309">
        <v>0</v>
      </c>
      <c r="K259" s="95" t="b">
        <f>H259='d3'!E290</f>
        <v>1</v>
      </c>
      <c r="L259" s="426" t="b">
        <f>I259='d3'!J290</f>
        <v>1</v>
      </c>
      <c r="M259" s="426" t="b">
        <f>J259='d3'!K290</f>
        <v>1</v>
      </c>
    </row>
    <row r="260" spans="1:13" ht="138.75" hidden="1" thickTop="1" thickBot="1" x14ac:dyDescent="0.25">
      <c r="A260" s="101" t="s">
        <v>900</v>
      </c>
      <c r="B260" s="101" t="s">
        <v>196</v>
      </c>
      <c r="C260" s="101" t="s">
        <v>169</v>
      </c>
      <c r="D260" s="101" t="s">
        <v>34</v>
      </c>
      <c r="E260" s="305" t="s">
        <v>1193</v>
      </c>
      <c r="F260" s="302" t="s">
        <v>1131</v>
      </c>
      <c r="G260" s="302">
        <f t="shared" si="33"/>
        <v>0</v>
      </c>
      <c r="H260" s="306">
        <f>'d3'!E291-H261</f>
        <v>0</v>
      </c>
      <c r="I260" s="423">
        <f>'d3'!J291-I261</f>
        <v>0</v>
      </c>
      <c r="J260" s="423">
        <f>'d3'!K291-J261</f>
        <v>0</v>
      </c>
      <c r="K260" s="137"/>
      <c r="L260" s="137"/>
      <c r="M260" s="137"/>
    </row>
    <row r="261" spans="1:13" ht="138.75" hidden="1" thickTop="1" thickBot="1" x14ac:dyDescent="0.25">
      <c r="A261" s="126" t="s">
        <v>900</v>
      </c>
      <c r="B261" s="126" t="s">
        <v>196</v>
      </c>
      <c r="C261" s="126" t="s">
        <v>169</v>
      </c>
      <c r="D261" s="126" t="s">
        <v>34</v>
      </c>
      <c r="E261" s="417" t="s">
        <v>1345</v>
      </c>
      <c r="F261" s="187" t="s">
        <v>1293</v>
      </c>
      <c r="G261" s="187">
        <f t="shared" si="33"/>
        <v>0</v>
      </c>
      <c r="H261" s="263">
        <v>0</v>
      </c>
      <c r="I261" s="264">
        <v>0</v>
      </c>
      <c r="J261" s="264">
        <v>0</v>
      </c>
      <c r="K261" s="137"/>
      <c r="L261" s="137"/>
      <c r="M261" s="137"/>
    </row>
    <row r="262" spans="1:13" ht="321.75" hidden="1" customHeight="1" thickTop="1" thickBot="1" x14ac:dyDescent="0.7">
      <c r="A262" s="770" t="s">
        <v>419</v>
      </c>
      <c r="B262" s="770" t="s">
        <v>335</v>
      </c>
      <c r="C262" s="770" t="s">
        <v>169</v>
      </c>
      <c r="D262" s="367" t="s">
        <v>435</v>
      </c>
      <c r="E262" s="905" t="s">
        <v>1237</v>
      </c>
      <c r="F262" s="905" t="s">
        <v>1238</v>
      </c>
      <c r="G262" s="847">
        <f t="shared" si="33"/>
        <v>0</v>
      </c>
      <c r="H262" s="847">
        <f>'d3'!E293</f>
        <v>0</v>
      </c>
      <c r="I262" s="847">
        <f>'d3'!J293</f>
        <v>0</v>
      </c>
      <c r="J262" s="847">
        <f>'d3'!K293</f>
        <v>0</v>
      </c>
      <c r="K262" s="137"/>
      <c r="L262" s="137"/>
      <c r="M262" s="137"/>
    </row>
    <row r="263" spans="1:13" ht="138.75" hidden="1" thickTop="1" thickBot="1" x14ac:dyDescent="0.25">
      <c r="A263" s="771"/>
      <c r="B263" s="771"/>
      <c r="C263" s="771"/>
      <c r="D263" s="368" t="s">
        <v>436</v>
      </c>
      <c r="E263" s="769"/>
      <c r="F263" s="769"/>
      <c r="G263" s="906"/>
      <c r="H263" s="906"/>
      <c r="I263" s="906"/>
      <c r="J263" s="906"/>
      <c r="K263" s="137"/>
      <c r="L263" s="137"/>
      <c r="M263" s="137"/>
    </row>
    <row r="264" spans="1:13" ht="276" thickTop="1" thickBot="1" x14ac:dyDescent="0.25">
      <c r="A264" s="101" t="s">
        <v>1423</v>
      </c>
      <c r="B264" s="101" t="s">
        <v>511</v>
      </c>
      <c r="C264" s="101" t="s">
        <v>249</v>
      </c>
      <c r="D264" s="101" t="s">
        <v>512</v>
      </c>
      <c r="E264" s="302" t="s">
        <v>1327</v>
      </c>
      <c r="F264" s="302" t="s">
        <v>843</v>
      </c>
      <c r="G264" s="302">
        <f t="shared" si="33"/>
        <v>1668076</v>
      </c>
      <c r="H264" s="322">
        <f>'d3'!E297</f>
        <v>1668076</v>
      </c>
      <c r="I264" s="592">
        <f>'d3'!J297</f>
        <v>0</v>
      </c>
      <c r="J264" s="592">
        <f>'d3'!K297</f>
        <v>0</v>
      </c>
      <c r="K264" s="137"/>
      <c r="L264" s="137"/>
      <c r="M264" s="137"/>
    </row>
    <row r="265" spans="1:13" ht="276" hidden="1" thickTop="1" thickBot="1" x14ac:dyDescent="0.25">
      <c r="A265" s="126" t="s">
        <v>1191</v>
      </c>
      <c r="B265" s="126" t="s">
        <v>1172</v>
      </c>
      <c r="C265" s="126" t="s">
        <v>1147</v>
      </c>
      <c r="D265" s="126" t="s">
        <v>1173</v>
      </c>
      <c r="E265" s="187" t="s">
        <v>1170</v>
      </c>
      <c r="F265" s="187" t="s">
        <v>843</v>
      </c>
      <c r="G265" s="257">
        <f>H265+I265</f>
        <v>0</v>
      </c>
      <c r="H265" s="263">
        <f>'d3'!E299</f>
        <v>0</v>
      </c>
      <c r="I265" s="264">
        <f>'d3'!J299</f>
        <v>0</v>
      </c>
      <c r="J265" s="264">
        <f>'d3'!K299</f>
        <v>0</v>
      </c>
      <c r="K265" s="137"/>
      <c r="L265" s="137"/>
      <c r="M265" s="137"/>
    </row>
    <row r="266" spans="1:13" ht="170.45" customHeight="1" thickTop="1" thickBot="1" x14ac:dyDescent="0.25">
      <c r="A266" s="585" t="s">
        <v>533</v>
      </c>
      <c r="B266" s="585"/>
      <c r="C266" s="585"/>
      <c r="D266" s="586" t="s">
        <v>552</v>
      </c>
      <c r="E266" s="585"/>
      <c r="F266" s="585"/>
      <c r="G266" s="587">
        <f>H266+I266</f>
        <v>517397373.19</v>
      </c>
      <c r="H266" s="587">
        <f>H267</f>
        <v>460456482</v>
      </c>
      <c r="I266" s="587">
        <f>I267</f>
        <v>56940891.189999998</v>
      </c>
      <c r="J266" s="587">
        <f>J267</f>
        <v>54136678.790000007</v>
      </c>
      <c r="K266" s="95" t="b">
        <f>H266='d3'!E301-'d3'!E303+'d7'!H268</f>
        <v>1</v>
      </c>
      <c r="L266" s="95" t="b">
        <f>I266='d3'!J301-'d3'!J303+'d7'!I268</f>
        <v>1</v>
      </c>
      <c r="M266" s="95" t="b">
        <f>J266='d3'!K301-'d3'!K303+'d7'!J268</f>
        <v>1</v>
      </c>
    </row>
    <row r="267" spans="1:13" ht="170.45" customHeight="1" thickTop="1" thickBot="1" x14ac:dyDescent="0.25">
      <c r="A267" s="588" t="s">
        <v>534</v>
      </c>
      <c r="B267" s="588"/>
      <c r="C267" s="588"/>
      <c r="D267" s="589" t="s">
        <v>553</v>
      </c>
      <c r="E267" s="590"/>
      <c r="F267" s="590"/>
      <c r="G267" s="590">
        <f>SUM(G268:G311)</f>
        <v>517397373.19</v>
      </c>
      <c r="H267" s="590">
        <f>SUM(H268:H311)</f>
        <v>460456482</v>
      </c>
      <c r="I267" s="590">
        <f>SUM(I268:I311)</f>
        <v>56940891.189999998</v>
      </c>
      <c r="J267" s="590">
        <f>SUM(J268:J311)</f>
        <v>54136678.790000007</v>
      </c>
      <c r="K267" s="265"/>
      <c r="L267" s="137"/>
      <c r="M267" s="137"/>
    </row>
    <row r="268" spans="1:13" ht="138.75" thickTop="1" thickBot="1" x14ac:dyDescent="0.25">
      <c r="A268" s="101" t="s">
        <v>535</v>
      </c>
      <c r="B268" s="101" t="s">
        <v>235</v>
      </c>
      <c r="C268" s="101" t="s">
        <v>233</v>
      </c>
      <c r="D268" s="101" t="s">
        <v>234</v>
      </c>
      <c r="E268" s="305" t="s">
        <v>1005</v>
      </c>
      <c r="F268" s="302" t="s">
        <v>841</v>
      </c>
      <c r="G268" s="302">
        <f t="shared" si="33"/>
        <v>25000</v>
      </c>
      <c r="H268" s="302">
        <v>0</v>
      </c>
      <c r="I268" s="302">
        <v>25000</v>
      </c>
      <c r="J268" s="302">
        <v>25000</v>
      </c>
      <c r="K268" s="137"/>
      <c r="L268" s="137"/>
      <c r="M268" s="137"/>
    </row>
    <row r="269" spans="1:13" ht="276" hidden="1" thickTop="1" thickBot="1" x14ac:dyDescent="0.25">
      <c r="A269" s="126" t="s">
        <v>620</v>
      </c>
      <c r="B269" s="126" t="s">
        <v>358</v>
      </c>
      <c r="C269" s="126" t="s">
        <v>616</v>
      </c>
      <c r="D269" s="126" t="s">
        <v>617</v>
      </c>
      <c r="E269" s="243" t="s">
        <v>1136</v>
      </c>
      <c r="F269" s="187" t="s">
        <v>1137</v>
      </c>
      <c r="G269" s="187">
        <f t="shared" ref="G269" si="36">H269+I269</f>
        <v>0</v>
      </c>
      <c r="H269" s="244">
        <f>'d3'!E304</f>
        <v>0</v>
      </c>
      <c r="I269" s="261">
        <v>0</v>
      </c>
      <c r="J269" s="261">
        <v>0</v>
      </c>
      <c r="K269" s="137"/>
      <c r="L269" s="137"/>
      <c r="M269" s="137"/>
    </row>
    <row r="270" spans="1:13" ht="138.75" thickTop="1" thickBot="1" x14ac:dyDescent="0.25">
      <c r="A270" s="101" t="s">
        <v>536</v>
      </c>
      <c r="B270" s="101" t="s">
        <v>43</v>
      </c>
      <c r="C270" s="101" t="s">
        <v>42</v>
      </c>
      <c r="D270" s="101" t="s">
        <v>246</v>
      </c>
      <c r="E270" s="305" t="s">
        <v>1193</v>
      </c>
      <c r="F270" s="302" t="s">
        <v>1131</v>
      </c>
      <c r="G270" s="302">
        <f t="shared" si="33"/>
        <v>27858</v>
      </c>
      <c r="H270" s="302">
        <f>'d3'!E305</f>
        <v>27858</v>
      </c>
      <c r="I270" s="302">
        <f>'d3'!J305</f>
        <v>0</v>
      </c>
      <c r="J270" s="302">
        <f>'d3'!K305</f>
        <v>0</v>
      </c>
      <c r="K270" s="137"/>
      <c r="L270" s="137"/>
      <c r="M270" s="137"/>
    </row>
    <row r="271" spans="1:13" ht="205.5" customHeight="1" thickTop="1" thickBot="1" x14ac:dyDescent="0.25">
      <c r="A271" s="101" t="s">
        <v>537</v>
      </c>
      <c r="B271" s="101" t="s">
        <v>372</v>
      </c>
      <c r="C271" s="101" t="s">
        <v>281</v>
      </c>
      <c r="D271" s="101" t="s">
        <v>373</v>
      </c>
      <c r="E271" s="305" t="s">
        <v>1350</v>
      </c>
      <c r="F271" s="302" t="s">
        <v>1296</v>
      </c>
      <c r="G271" s="302">
        <f t="shared" si="33"/>
        <v>77000000</v>
      </c>
      <c r="H271" s="306">
        <f>'d3'!E308</f>
        <v>77000000</v>
      </c>
      <c r="I271" s="302">
        <f>'d3'!J308</f>
        <v>0</v>
      </c>
      <c r="J271" s="302">
        <f>'d3'!K308</f>
        <v>0</v>
      </c>
      <c r="K271" s="137"/>
      <c r="L271" s="137"/>
      <c r="M271" s="137"/>
    </row>
    <row r="272" spans="1:13" ht="138.75" thickTop="1" thickBot="1" x14ac:dyDescent="0.25">
      <c r="A272" s="101" t="s">
        <v>538</v>
      </c>
      <c r="B272" s="101" t="s">
        <v>284</v>
      </c>
      <c r="C272" s="101" t="s">
        <v>281</v>
      </c>
      <c r="D272" s="101" t="s">
        <v>285</v>
      </c>
      <c r="E272" s="305" t="s">
        <v>1193</v>
      </c>
      <c r="F272" s="302" t="s">
        <v>1131</v>
      </c>
      <c r="G272" s="302">
        <f t="shared" si="33"/>
        <v>94317</v>
      </c>
      <c r="H272" s="306">
        <v>0</v>
      </c>
      <c r="I272" s="423">
        <f>'d3'!J309</f>
        <v>94317</v>
      </c>
      <c r="J272" s="423">
        <f>'d3'!K309</f>
        <v>94317</v>
      </c>
    </row>
    <row r="273" spans="1:13" ht="138.75" thickTop="1" thickBot="1" x14ac:dyDescent="0.25">
      <c r="A273" s="101" t="s">
        <v>538</v>
      </c>
      <c r="B273" s="101" t="s">
        <v>284</v>
      </c>
      <c r="C273" s="101" t="s">
        <v>281</v>
      </c>
      <c r="D273" s="101" t="s">
        <v>285</v>
      </c>
      <c r="E273" s="305" t="s">
        <v>1346</v>
      </c>
      <c r="F273" s="302" t="s">
        <v>1297</v>
      </c>
      <c r="G273" s="302">
        <f t="shared" si="33"/>
        <v>50600240</v>
      </c>
      <c r="H273" s="306">
        <f>(((10600240)+20000000)+5000000)+15000000</f>
        <v>50600240</v>
      </c>
      <c r="I273" s="423">
        <v>0</v>
      </c>
      <c r="J273" s="423">
        <v>0</v>
      </c>
      <c r="K273" s="95" t="b">
        <f>'d3'!E309='d7'!H272+'d7'!H273</f>
        <v>1</v>
      </c>
      <c r="L273" s="95" t="b">
        <f>'d3'!J309='d7'!I272+'d7'!I273</f>
        <v>1</v>
      </c>
      <c r="M273" s="95" t="b">
        <f>'d3'!K309='d7'!J272+'d7'!J273</f>
        <v>1</v>
      </c>
    </row>
    <row r="274" spans="1:13" ht="138.75" hidden="1" thickTop="1" thickBot="1" x14ac:dyDescent="0.25">
      <c r="A274" s="126" t="s">
        <v>1347</v>
      </c>
      <c r="B274" s="126" t="s">
        <v>1348</v>
      </c>
      <c r="C274" s="126" t="s">
        <v>281</v>
      </c>
      <c r="D274" s="126" t="s">
        <v>1349</v>
      </c>
      <c r="E274" s="243" t="s">
        <v>1346</v>
      </c>
      <c r="F274" s="187" t="s">
        <v>1297</v>
      </c>
      <c r="G274" s="187">
        <f t="shared" si="33"/>
        <v>0</v>
      </c>
      <c r="H274" s="244">
        <f>'d3'!E310</f>
        <v>0</v>
      </c>
      <c r="I274" s="261">
        <v>0</v>
      </c>
      <c r="J274" s="261">
        <v>0</v>
      </c>
      <c r="K274" s="137"/>
      <c r="L274" s="137"/>
      <c r="M274" s="137"/>
    </row>
    <row r="275" spans="1:13" ht="138.75" thickTop="1" thickBot="1" x14ac:dyDescent="0.25">
      <c r="A275" s="101" t="s">
        <v>539</v>
      </c>
      <c r="B275" s="101" t="s">
        <v>295</v>
      </c>
      <c r="C275" s="101" t="s">
        <v>281</v>
      </c>
      <c r="D275" s="101" t="s">
        <v>296</v>
      </c>
      <c r="E275" s="305" t="s">
        <v>1193</v>
      </c>
      <c r="F275" s="302" t="s">
        <v>1131</v>
      </c>
      <c r="G275" s="302">
        <f t="shared" si="33"/>
        <v>396847</v>
      </c>
      <c r="H275" s="306">
        <f>((0)+199891)+196956</f>
        <v>396847</v>
      </c>
      <c r="I275" s="423">
        <v>0</v>
      </c>
      <c r="J275" s="423">
        <v>0</v>
      </c>
      <c r="K275" s="137"/>
      <c r="L275" s="137"/>
      <c r="M275" s="137"/>
    </row>
    <row r="276" spans="1:13" ht="138.75" thickTop="1" thickBot="1" x14ac:dyDescent="0.25">
      <c r="A276" s="101" t="s">
        <v>539</v>
      </c>
      <c r="B276" s="101" t="s">
        <v>295</v>
      </c>
      <c r="C276" s="101" t="s">
        <v>281</v>
      </c>
      <c r="D276" s="101" t="s">
        <v>296</v>
      </c>
      <c r="E276" s="305" t="s">
        <v>1384</v>
      </c>
      <c r="F276" s="302" t="s">
        <v>1300</v>
      </c>
      <c r="G276" s="302">
        <f t="shared" si="33"/>
        <v>937713</v>
      </c>
      <c r="H276" s="306">
        <f>(700000)+237713</f>
        <v>937713</v>
      </c>
      <c r="I276" s="423">
        <f>'d3'!J311</f>
        <v>0</v>
      </c>
      <c r="J276" s="423">
        <f>'d3'!K311</f>
        <v>0</v>
      </c>
      <c r="K276" s="95" t="b">
        <f>'d3'!E311='d7'!H276+'d7'!H278+H277+H275</f>
        <v>1</v>
      </c>
      <c r="L276" s="95" t="b">
        <f>'d3'!J311='d7'!I276+'d7'!I278+I277+I275</f>
        <v>1</v>
      </c>
      <c r="M276" s="95" t="b">
        <f>'d3'!K311='d7'!J276+'d7'!J278+J277+J275</f>
        <v>1</v>
      </c>
    </row>
    <row r="277" spans="1:13" ht="138.75" hidden="1" thickTop="1" thickBot="1" x14ac:dyDescent="0.25">
      <c r="A277" s="101" t="s">
        <v>539</v>
      </c>
      <c r="B277" s="101" t="s">
        <v>295</v>
      </c>
      <c r="C277" s="101" t="s">
        <v>281</v>
      </c>
      <c r="D277" s="101" t="s">
        <v>296</v>
      </c>
      <c r="E277" s="305" t="s">
        <v>1345</v>
      </c>
      <c r="F277" s="302" t="s">
        <v>1293</v>
      </c>
      <c r="G277" s="302">
        <f t="shared" si="33"/>
        <v>0</v>
      </c>
      <c r="H277" s="306">
        <f>(68333)-68333</f>
        <v>0</v>
      </c>
      <c r="I277" s="423">
        <f>'d3'!J311-I279-I278</f>
        <v>0</v>
      </c>
      <c r="J277" s="423">
        <f>'d3'!K311-J279-J278</f>
        <v>0</v>
      </c>
      <c r="K277" s="529"/>
      <c r="L277" s="529"/>
      <c r="M277" s="529"/>
    </row>
    <row r="278" spans="1:13" ht="138.75" thickTop="1" thickBot="1" x14ac:dyDescent="0.25">
      <c r="A278" s="101" t="s">
        <v>539</v>
      </c>
      <c r="B278" s="101" t="s">
        <v>295</v>
      </c>
      <c r="C278" s="101" t="s">
        <v>281</v>
      </c>
      <c r="D278" s="101" t="s">
        <v>296</v>
      </c>
      <c r="E278" s="305" t="s">
        <v>1353</v>
      </c>
      <c r="F278" s="302" t="s">
        <v>1303</v>
      </c>
      <c r="G278" s="302">
        <f t="shared" si="33"/>
        <v>15773977</v>
      </c>
      <c r="H278" s="306">
        <f>(44809377)-30500000+1464600</f>
        <v>15773977</v>
      </c>
      <c r="I278" s="423">
        <v>0</v>
      </c>
      <c r="J278" s="423">
        <v>0</v>
      </c>
      <c r="K278" s="137"/>
      <c r="L278" s="137"/>
      <c r="M278" s="137"/>
    </row>
    <row r="279" spans="1:13" ht="138.75" thickTop="1" thickBot="1" x14ac:dyDescent="0.25">
      <c r="A279" s="101" t="s">
        <v>540</v>
      </c>
      <c r="B279" s="101">
        <v>6030</v>
      </c>
      <c r="C279" s="101" t="s">
        <v>281</v>
      </c>
      <c r="D279" s="101" t="s">
        <v>288</v>
      </c>
      <c r="E279" s="305" t="s">
        <v>1193</v>
      </c>
      <c r="F279" s="302" t="s">
        <v>1131</v>
      </c>
      <c r="G279" s="302">
        <f t="shared" si="33"/>
        <v>300055518</v>
      </c>
      <c r="H279" s="306">
        <f>(((299868104-H280)+1921714-500000)+102500+50200+795000)+6060203-256000</f>
        <v>300055518</v>
      </c>
      <c r="I279" s="423">
        <v>0</v>
      </c>
      <c r="J279" s="423">
        <v>0</v>
      </c>
      <c r="K279" s="95" t="b">
        <f>H280+H279+H281='d3'!E312</f>
        <v>1</v>
      </c>
      <c r="L279" s="95" t="b">
        <f>I280+I279+I281='d3'!J312</f>
        <v>1</v>
      </c>
      <c r="M279" s="95" t="b">
        <f>J280+J279+J281='d3'!K312</f>
        <v>1</v>
      </c>
    </row>
    <row r="280" spans="1:13" ht="184.5" thickTop="1" thickBot="1" x14ac:dyDescent="0.25">
      <c r="A280" s="101" t="s">
        <v>540</v>
      </c>
      <c r="B280" s="101">
        <v>6030</v>
      </c>
      <c r="C280" s="101" t="s">
        <v>281</v>
      </c>
      <c r="D280" s="101" t="s">
        <v>288</v>
      </c>
      <c r="E280" s="306" t="s">
        <v>1602</v>
      </c>
      <c r="F280" s="311" t="s">
        <v>1603</v>
      </c>
      <c r="G280" s="302">
        <f t="shared" ref="G280:G287" si="37">H280+I280</f>
        <v>7986203</v>
      </c>
      <c r="H280" s="423">
        <v>7986203</v>
      </c>
      <c r="I280" s="423">
        <v>0</v>
      </c>
      <c r="J280" s="423">
        <v>0</v>
      </c>
      <c r="K280" s="137"/>
      <c r="L280" s="137"/>
      <c r="M280" s="137"/>
    </row>
    <row r="281" spans="1:13" ht="138.75" thickTop="1" thickBot="1" x14ac:dyDescent="0.25">
      <c r="A281" s="101" t="s">
        <v>540</v>
      </c>
      <c r="B281" s="101">
        <v>6030</v>
      </c>
      <c r="C281" s="101" t="s">
        <v>281</v>
      </c>
      <c r="D281" s="101" t="s">
        <v>288</v>
      </c>
      <c r="E281" s="305" t="s">
        <v>1498</v>
      </c>
      <c r="F281" s="302" t="s">
        <v>1499</v>
      </c>
      <c r="G281" s="302">
        <f t="shared" si="37"/>
        <v>348110</v>
      </c>
      <c r="H281" s="423">
        <v>348110</v>
      </c>
      <c r="I281" s="423">
        <v>0</v>
      </c>
      <c r="J281" s="423">
        <v>0</v>
      </c>
      <c r="K281" s="137"/>
      <c r="L281" s="137"/>
      <c r="M281" s="137"/>
    </row>
    <row r="282" spans="1:13" ht="138.75" thickTop="1" thickBot="1" x14ac:dyDescent="0.25">
      <c r="A282" s="101" t="s">
        <v>1109</v>
      </c>
      <c r="B282" s="101" t="s">
        <v>1110</v>
      </c>
      <c r="C282" s="101" t="s">
        <v>1111</v>
      </c>
      <c r="D282" s="101" t="s">
        <v>1108</v>
      </c>
      <c r="E282" s="305" t="s">
        <v>1193</v>
      </c>
      <c r="F282" s="302" t="s">
        <v>1131</v>
      </c>
      <c r="G282" s="302">
        <f t="shared" si="37"/>
        <v>623669</v>
      </c>
      <c r="H282" s="423">
        <v>623669</v>
      </c>
      <c r="I282" s="423">
        <v>0</v>
      </c>
      <c r="J282" s="423">
        <v>0</v>
      </c>
      <c r="K282" s="137"/>
      <c r="L282" s="137"/>
      <c r="M282" s="137"/>
    </row>
    <row r="283" spans="1:13" ht="184.5" thickTop="1" thickBot="1" x14ac:dyDescent="0.25">
      <c r="A283" s="101" t="s">
        <v>1109</v>
      </c>
      <c r="B283" s="101" t="s">
        <v>1110</v>
      </c>
      <c r="C283" s="101" t="s">
        <v>1111</v>
      </c>
      <c r="D283" s="101" t="s">
        <v>1108</v>
      </c>
      <c r="E283" s="305" t="s">
        <v>1530</v>
      </c>
      <c r="F283" s="302" t="s">
        <v>1299</v>
      </c>
      <c r="G283" s="302">
        <f t="shared" si="37"/>
        <v>132005</v>
      </c>
      <c r="H283" s="423">
        <v>132005</v>
      </c>
      <c r="I283" s="423">
        <v>0</v>
      </c>
      <c r="J283" s="423">
        <v>0</v>
      </c>
      <c r="K283" s="137"/>
      <c r="L283" s="137"/>
      <c r="M283" s="137"/>
    </row>
    <row r="284" spans="1:13" ht="184.5" thickTop="1" thickBot="1" x14ac:dyDescent="0.25">
      <c r="A284" s="101" t="s">
        <v>1109</v>
      </c>
      <c r="B284" s="101" t="s">
        <v>1110</v>
      </c>
      <c r="C284" s="101" t="s">
        <v>1111</v>
      </c>
      <c r="D284" s="101" t="s">
        <v>1108</v>
      </c>
      <c r="E284" s="305" t="s">
        <v>1351</v>
      </c>
      <c r="F284" s="302" t="s">
        <v>1298</v>
      </c>
      <c r="G284" s="302">
        <f t="shared" si="37"/>
        <v>78890</v>
      </c>
      <c r="H284" s="423">
        <v>78890</v>
      </c>
      <c r="I284" s="423">
        <v>0</v>
      </c>
      <c r="J284" s="423">
        <v>0</v>
      </c>
      <c r="K284" s="137"/>
      <c r="L284" s="137"/>
      <c r="M284" s="137"/>
    </row>
    <row r="285" spans="1:13" ht="138.75" thickTop="1" thickBot="1" x14ac:dyDescent="0.25">
      <c r="A285" s="101" t="s">
        <v>1562</v>
      </c>
      <c r="B285" s="101" t="s">
        <v>1560</v>
      </c>
      <c r="C285" s="101" t="s">
        <v>1111</v>
      </c>
      <c r="D285" s="101" t="s">
        <v>1561</v>
      </c>
      <c r="E285" s="305" t="s">
        <v>1193</v>
      </c>
      <c r="F285" s="302" t="s">
        <v>1131</v>
      </c>
      <c r="G285" s="302">
        <f t="shared" si="37"/>
        <v>2852150</v>
      </c>
      <c r="H285" s="423">
        <f>'d3'!E314</f>
        <v>0</v>
      </c>
      <c r="I285" s="423">
        <f>'d3'!J314</f>
        <v>2852150</v>
      </c>
      <c r="J285" s="423">
        <f>'d3'!K314</f>
        <v>2852150</v>
      </c>
      <c r="K285" s="137"/>
      <c r="L285" s="137"/>
      <c r="M285" s="137"/>
    </row>
    <row r="286" spans="1:13" ht="138.75" thickTop="1" thickBot="1" x14ac:dyDescent="0.25">
      <c r="A286" s="101" t="s">
        <v>542</v>
      </c>
      <c r="B286" s="101" t="s">
        <v>291</v>
      </c>
      <c r="C286" s="101" t="s">
        <v>293</v>
      </c>
      <c r="D286" s="606" t="s">
        <v>292</v>
      </c>
      <c r="E286" s="305" t="s">
        <v>1193</v>
      </c>
      <c r="F286" s="302" t="s">
        <v>1131</v>
      </c>
      <c r="G286" s="302">
        <f t="shared" si="37"/>
        <v>25125000</v>
      </c>
      <c r="H286" s="306">
        <f>'d3'!E318-H287</f>
        <v>0</v>
      </c>
      <c r="I286" s="423">
        <f>'d3'!J318-I287</f>
        <v>25125000</v>
      </c>
      <c r="J286" s="423">
        <f>'d3'!K318-J287</f>
        <v>24998291.600000001</v>
      </c>
      <c r="K286" s="95" t="b">
        <f>H286+H287='d3'!E318</f>
        <v>1</v>
      </c>
      <c r="L286" s="95" t="b">
        <f>I286+I287='d3'!J318</f>
        <v>1</v>
      </c>
      <c r="M286" s="95" t="b">
        <f>J286+J287='d3'!K318</f>
        <v>1</v>
      </c>
    </row>
    <row r="287" spans="1:13" ht="138.75" hidden="1" thickTop="1" thickBot="1" x14ac:dyDescent="0.25">
      <c r="A287" s="536" t="s">
        <v>542</v>
      </c>
      <c r="B287" s="536" t="s">
        <v>291</v>
      </c>
      <c r="C287" s="536" t="s">
        <v>293</v>
      </c>
      <c r="D287" s="537" t="s">
        <v>292</v>
      </c>
      <c r="E287" s="243" t="s">
        <v>1336</v>
      </c>
      <c r="F287" s="149" t="s">
        <v>420</v>
      </c>
      <c r="G287" s="187">
        <f t="shared" si="37"/>
        <v>0</v>
      </c>
      <c r="H287" s="538">
        <v>0</v>
      </c>
      <c r="I287" s="539">
        <v>0</v>
      </c>
      <c r="J287" s="539">
        <v>0</v>
      </c>
      <c r="K287" s="137"/>
      <c r="L287" s="137"/>
      <c r="M287" s="137"/>
    </row>
    <row r="288" spans="1:13" ht="138.75" hidden="1" thickTop="1" thickBot="1" x14ac:dyDescent="0.25">
      <c r="A288" s="126" t="s">
        <v>542</v>
      </c>
      <c r="B288" s="126" t="s">
        <v>291</v>
      </c>
      <c r="C288" s="126" t="s">
        <v>293</v>
      </c>
      <c r="D288" s="535" t="s">
        <v>292</v>
      </c>
      <c r="E288" s="244" t="s">
        <v>858</v>
      </c>
      <c r="F288" s="244" t="s">
        <v>872</v>
      </c>
      <c r="G288" s="187">
        <f t="shared" si="33"/>
        <v>0</v>
      </c>
      <c r="H288" s="244"/>
      <c r="I288" s="261"/>
      <c r="J288" s="261"/>
      <c r="K288" s="137"/>
      <c r="L288" s="137"/>
      <c r="M288" s="137"/>
    </row>
    <row r="289" spans="1:13" ht="138.75" hidden="1" thickTop="1" thickBot="1" x14ac:dyDescent="0.25">
      <c r="A289" s="126" t="s">
        <v>543</v>
      </c>
      <c r="B289" s="126" t="s">
        <v>211</v>
      </c>
      <c r="C289" s="126" t="s">
        <v>212</v>
      </c>
      <c r="D289" s="126" t="s">
        <v>41</v>
      </c>
      <c r="E289" s="243" t="s">
        <v>1193</v>
      </c>
      <c r="F289" s="187" t="s">
        <v>1131</v>
      </c>
      <c r="G289" s="244">
        <f t="shared" si="33"/>
        <v>0</v>
      </c>
      <c r="H289" s="244"/>
      <c r="I289" s="244"/>
      <c r="J289" s="244"/>
      <c r="K289" s="137"/>
      <c r="L289" s="137"/>
      <c r="M289" s="137"/>
    </row>
    <row r="290" spans="1:13" ht="138.75" hidden="1" thickTop="1" thickBot="1" x14ac:dyDescent="0.25">
      <c r="A290" s="126" t="s">
        <v>544</v>
      </c>
      <c r="B290" s="126" t="s">
        <v>196</v>
      </c>
      <c r="C290" s="126" t="s">
        <v>169</v>
      </c>
      <c r="D290" s="126" t="s">
        <v>34</v>
      </c>
      <c r="E290" s="243" t="s">
        <v>1130</v>
      </c>
      <c r="F290" s="187" t="s">
        <v>1131</v>
      </c>
      <c r="G290" s="244">
        <f t="shared" ref="G290:G292" si="38">H290+I290</f>
        <v>0</v>
      </c>
      <c r="H290" s="244"/>
      <c r="I290" s="244"/>
      <c r="J290" s="244"/>
      <c r="K290" s="914" t="b">
        <f>'d3'!E321='d7'!H293+'d7'!H294+'d7'!H296+'d7'!H297+'d7'!H298+'d7'!H299+'d7'!H300+'d7'!H302+'d7'!H303+H290+H301+H291+H292+H295</f>
        <v>1</v>
      </c>
      <c r="L290" s="919" t="b">
        <f>'d3'!J321='d7'!I293+'d7'!I294+'d7'!I296+'d7'!I297+'d7'!I298+'d7'!I299+'d7'!I300+'d7'!I302+'d7'!I303+I290+I301+I291+I292+I295</f>
        <v>1</v>
      </c>
      <c r="M290" s="919" t="b">
        <f>'d3'!K321='d7'!J293+'d7'!J294+'d7'!J296+'d7'!J297+'d7'!J298+'d7'!J299+'d7'!J300+'d7'!J302+'d7'!J303+J290+J301+J291+J292+J295</f>
        <v>1</v>
      </c>
    </row>
    <row r="291" spans="1:13" ht="138.75" hidden="1" thickTop="1" thickBot="1" x14ac:dyDescent="0.25">
      <c r="A291" s="126" t="s">
        <v>544</v>
      </c>
      <c r="B291" s="126" t="s">
        <v>196</v>
      </c>
      <c r="C291" s="126" t="s">
        <v>169</v>
      </c>
      <c r="D291" s="126" t="s">
        <v>34</v>
      </c>
      <c r="E291" s="243" t="s">
        <v>1382</v>
      </c>
      <c r="F291" s="187" t="s">
        <v>1381</v>
      </c>
      <c r="G291" s="244">
        <f t="shared" si="38"/>
        <v>0</v>
      </c>
      <c r="H291" s="244"/>
      <c r="I291" s="244"/>
      <c r="J291" s="244"/>
      <c r="K291" s="914"/>
      <c r="L291" s="919"/>
      <c r="M291" s="919"/>
    </row>
    <row r="292" spans="1:13" ht="138.75" hidden="1" thickTop="1" thickBot="1" x14ac:dyDescent="0.25">
      <c r="A292" s="126" t="s">
        <v>544</v>
      </c>
      <c r="B292" s="126" t="s">
        <v>196</v>
      </c>
      <c r="C292" s="126" t="s">
        <v>169</v>
      </c>
      <c r="D292" s="126" t="s">
        <v>34</v>
      </c>
      <c r="E292" s="243" t="s">
        <v>1469</v>
      </c>
      <c r="F292" s="187" t="s">
        <v>1383</v>
      </c>
      <c r="G292" s="244">
        <f t="shared" si="38"/>
        <v>0</v>
      </c>
      <c r="H292" s="244"/>
      <c r="I292" s="244"/>
      <c r="J292" s="244"/>
      <c r="K292" s="914"/>
      <c r="L292" s="919"/>
      <c r="M292" s="919"/>
    </row>
    <row r="293" spans="1:13" ht="138.75" hidden="1" thickTop="1" thickBot="1" x14ac:dyDescent="0.25">
      <c r="A293" s="126" t="s">
        <v>544</v>
      </c>
      <c r="B293" s="126" t="s">
        <v>196</v>
      </c>
      <c r="C293" s="126" t="s">
        <v>169</v>
      </c>
      <c r="D293" s="126" t="s">
        <v>34</v>
      </c>
      <c r="E293" s="243" t="s">
        <v>1350</v>
      </c>
      <c r="F293" s="187" t="s">
        <v>1296</v>
      </c>
      <c r="G293" s="244">
        <f t="shared" si="33"/>
        <v>0</v>
      </c>
      <c r="H293" s="244"/>
      <c r="I293" s="244"/>
      <c r="J293" s="244"/>
      <c r="K293" s="914"/>
      <c r="L293" s="919"/>
      <c r="M293" s="919"/>
    </row>
    <row r="294" spans="1:13" ht="138.75" thickTop="1" thickBot="1" x14ac:dyDescent="0.25">
      <c r="A294" s="101" t="s">
        <v>544</v>
      </c>
      <c r="B294" s="101" t="s">
        <v>196</v>
      </c>
      <c r="C294" s="101" t="s">
        <v>169</v>
      </c>
      <c r="D294" s="101" t="s">
        <v>34</v>
      </c>
      <c r="E294" s="305" t="s">
        <v>1346</v>
      </c>
      <c r="F294" s="302" t="s">
        <v>1297</v>
      </c>
      <c r="G294" s="306">
        <f t="shared" si="33"/>
        <v>19163369.66</v>
      </c>
      <c r="H294" s="306">
        <v>0</v>
      </c>
      <c r="I294" s="306">
        <f>(((11422451)+502490)+7678647)-440218.34</f>
        <v>19163369.66</v>
      </c>
      <c r="J294" s="306">
        <f>(((11422451)+502490)+7678647)-440218.34</f>
        <v>19163369.66</v>
      </c>
      <c r="K294" s="914"/>
      <c r="L294" s="919"/>
      <c r="M294" s="919"/>
    </row>
    <row r="295" spans="1:13" ht="184.5" hidden="1" thickTop="1" thickBot="1" x14ac:dyDescent="0.25">
      <c r="A295" s="101" t="s">
        <v>544</v>
      </c>
      <c r="B295" s="101" t="s">
        <v>196</v>
      </c>
      <c r="C295" s="101" t="s">
        <v>169</v>
      </c>
      <c r="D295" s="101" t="s">
        <v>34</v>
      </c>
      <c r="E295" s="306" t="s">
        <v>1602</v>
      </c>
      <c r="F295" s="311" t="s">
        <v>1603</v>
      </c>
      <c r="G295" s="306">
        <f t="shared" ref="G295" si="39">H295+I295</f>
        <v>0</v>
      </c>
      <c r="H295" s="306">
        <v>0</v>
      </c>
      <c r="I295" s="306">
        <f>(50400)-50400</f>
        <v>0</v>
      </c>
      <c r="J295" s="306">
        <f>(50400)-50400</f>
        <v>0</v>
      </c>
      <c r="K295" s="914"/>
      <c r="L295" s="919"/>
      <c r="M295" s="919"/>
    </row>
    <row r="296" spans="1:13" ht="184.5" thickTop="1" thickBot="1" x14ac:dyDescent="0.25">
      <c r="A296" s="101" t="s">
        <v>544</v>
      </c>
      <c r="B296" s="101" t="s">
        <v>196</v>
      </c>
      <c r="C296" s="101" t="s">
        <v>169</v>
      </c>
      <c r="D296" s="101" t="s">
        <v>34</v>
      </c>
      <c r="E296" s="305" t="s">
        <v>1530</v>
      </c>
      <c r="F296" s="302" t="s">
        <v>1299</v>
      </c>
      <c r="G296" s="306">
        <f t="shared" si="33"/>
        <v>5490889.1299999999</v>
      </c>
      <c r="H296" s="306">
        <v>0</v>
      </c>
      <c r="I296" s="306">
        <f>((0)+498900)+4991989.13</f>
        <v>5490889.1299999999</v>
      </c>
      <c r="J296" s="306">
        <f>((0)+498900)+4991989.13</f>
        <v>5490889.1299999999</v>
      </c>
      <c r="K296" s="914"/>
      <c r="L296" s="919"/>
      <c r="M296" s="919"/>
    </row>
    <row r="297" spans="1:13" ht="184.5" thickTop="1" thickBot="1" x14ac:dyDescent="0.25">
      <c r="A297" s="101" t="s">
        <v>544</v>
      </c>
      <c r="B297" s="101" t="s">
        <v>196</v>
      </c>
      <c r="C297" s="101" t="s">
        <v>169</v>
      </c>
      <c r="D297" s="101" t="s">
        <v>34</v>
      </c>
      <c r="E297" s="305" t="s">
        <v>1351</v>
      </c>
      <c r="F297" s="302" t="s">
        <v>1298</v>
      </c>
      <c r="G297" s="306">
        <f t="shared" si="33"/>
        <v>882000</v>
      </c>
      <c r="H297" s="306">
        <v>0</v>
      </c>
      <c r="I297" s="306">
        <v>882000</v>
      </c>
      <c r="J297" s="306">
        <v>882000</v>
      </c>
      <c r="K297" s="914"/>
      <c r="L297" s="919"/>
      <c r="M297" s="919"/>
    </row>
    <row r="298" spans="1:13" ht="138.75" hidden="1" thickTop="1" thickBot="1" x14ac:dyDescent="0.25">
      <c r="A298" s="126" t="s">
        <v>544</v>
      </c>
      <c r="B298" s="126" t="s">
        <v>196</v>
      </c>
      <c r="C298" s="126" t="s">
        <v>169</v>
      </c>
      <c r="D298" s="126" t="s">
        <v>34</v>
      </c>
      <c r="E298" s="418" t="s">
        <v>1277</v>
      </c>
      <c r="F298" s="419"/>
      <c r="G298" s="244">
        <f t="shared" si="33"/>
        <v>0</v>
      </c>
      <c r="H298" s="244"/>
      <c r="I298" s="244"/>
      <c r="J298" s="244"/>
      <c r="K298" s="914"/>
      <c r="L298" s="919"/>
      <c r="M298" s="919"/>
    </row>
    <row r="299" spans="1:13" ht="138.75" hidden="1" thickTop="1" thickBot="1" x14ac:dyDescent="0.25">
      <c r="A299" s="126" t="s">
        <v>544</v>
      </c>
      <c r="B299" s="126" t="s">
        <v>196</v>
      </c>
      <c r="C299" s="126" t="s">
        <v>169</v>
      </c>
      <c r="D299" s="126" t="s">
        <v>34</v>
      </c>
      <c r="E299" s="243" t="s">
        <v>1352</v>
      </c>
      <c r="F299" s="187" t="s">
        <v>1300</v>
      </c>
      <c r="G299" s="244">
        <f t="shared" si="33"/>
        <v>0</v>
      </c>
      <c r="H299" s="244"/>
      <c r="I299" s="244"/>
      <c r="J299" s="244"/>
      <c r="K299" s="914"/>
      <c r="L299" s="919"/>
      <c r="M299" s="919"/>
    </row>
    <row r="300" spans="1:13" ht="138.75" hidden="1" thickTop="1" thickBot="1" x14ac:dyDescent="0.25">
      <c r="A300" s="126" t="s">
        <v>544</v>
      </c>
      <c r="B300" s="126" t="s">
        <v>196</v>
      </c>
      <c r="C300" s="126" t="s">
        <v>169</v>
      </c>
      <c r="D300" s="126" t="s">
        <v>34</v>
      </c>
      <c r="E300" s="243" t="s">
        <v>1301</v>
      </c>
      <c r="F300" s="187" t="s">
        <v>1302</v>
      </c>
      <c r="G300" s="244">
        <f t="shared" si="33"/>
        <v>0</v>
      </c>
      <c r="H300" s="244"/>
      <c r="I300" s="244"/>
      <c r="J300" s="244"/>
      <c r="K300" s="914"/>
      <c r="L300" s="919"/>
      <c r="M300" s="919"/>
    </row>
    <row r="301" spans="1:13" ht="138.75" hidden="1" thickTop="1" thickBot="1" x14ac:dyDescent="0.25">
      <c r="A301" s="126" t="s">
        <v>544</v>
      </c>
      <c r="B301" s="126" t="s">
        <v>196</v>
      </c>
      <c r="C301" s="126" t="s">
        <v>169</v>
      </c>
      <c r="D301" s="126" t="s">
        <v>34</v>
      </c>
      <c r="E301" s="417" t="s">
        <v>1345</v>
      </c>
      <c r="F301" s="187" t="s">
        <v>1293</v>
      </c>
      <c r="G301" s="244">
        <f t="shared" si="33"/>
        <v>0</v>
      </c>
      <c r="H301" s="244"/>
      <c r="I301" s="244"/>
      <c r="J301" s="244"/>
      <c r="K301" s="914"/>
      <c r="L301" s="919"/>
      <c r="M301" s="919"/>
    </row>
    <row r="302" spans="1:13" ht="138.75" thickTop="1" thickBot="1" x14ac:dyDescent="0.25">
      <c r="A302" s="101" t="s">
        <v>544</v>
      </c>
      <c r="B302" s="101" t="s">
        <v>196</v>
      </c>
      <c r="C302" s="101" t="s">
        <v>169</v>
      </c>
      <c r="D302" s="101" t="s">
        <v>34</v>
      </c>
      <c r="E302" s="305" t="s">
        <v>1353</v>
      </c>
      <c r="F302" s="302" t="s">
        <v>1303</v>
      </c>
      <c r="G302" s="306">
        <f t="shared" si="33"/>
        <v>566228.4</v>
      </c>
      <c r="H302" s="306">
        <v>0</v>
      </c>
      <c r="I302" s="306">
        <v>566228.4</v>
      </c>
      <c r="J302" s="306">
        <v>566228.4</v>
      </c>
      <c r="K302" s="914"/>
      <c r="L302" s="919"/>
      <c r="M302" s="919"/>
    </row>
    <row r="303" spans="1:13" ht="138.75" hidden="1" thickTop="1" thickBot="1" x14ac:dyDescent="0.25">
      <c r="A303" s="126" t="s">
        <v>544</v>
      </c>
      <c r="B303" s="126" t="s">
        <v>196</v>
      </c>
      <c r="C303" s="126" t="s">
        <v>169</v>
      </c>
      <c r="D303" s="126" t="s">
        <v>34</v>
      </c>
      <c r="E303" s="418" t="s">
        <v>1278</v>
      </c>
      <c r="F303" s="419"/>
      <c r="G303" s="244">
        <f t="shared" si="33"/>
        <v>0</v>
      </c>
      <c r="H303" s="244"/>
      <c r="I303" s="244"/>
      <c r="J303" s="244"/>
      <c r="K303" s="137"/>
      <c r="L303" s="137"/>
      <c r="M303" s="137"/>
    </row>
    <row r="304" spans="1:13" ht="138.75" hidden="1" thickTop="1" thickBot="1" x14ac:dyDescent="0.25">
      <c r="A304" s="126" t="s">
        <v>544</v>
      </c>
      <c r="B304" s="126" t="s">
        <v>196</v>
      </c>
      <c r="C304" s="126" t="s">
        <v>169</v>
      </c>
      <c r="D304" s="126" t="s">
        <v>34</v>
      </c>
      <c r="E304" s="244" t="s">
        <v>859</v>
      </c>
      <c r="F304" s="187" t="s">
        <v>857</v>
      </c>
      <c r="G304" s="261">
        <f t="shared" si="33"/>
        <v>0</v>
      </c>
      <c r="H304" s="244"/>
      <c r="I304" s="261"/>
      <c r="J304" s="261"/>
      <c r="K304" s="137"/>
      <c r="L304" s="137"/>
      <c r="M304" s="137"/>
    </row>
    <row r="305" spans="1:13" ht="230.25" thickTop="1" thickBot="1" x14ac:dyDescent="0.7">
      <c r="A305" s="789" t="s">
        <v>545</v>
      </c>
      <c r="B305" s="789" t="s">
        <v>335</v>
      </c>
      <c r="C305" s="789" t="s">
        <v>169</v>
      </c>
      <c r="D305" s="475" t="s">
        <v>435</v>
      </c>
      <c r="E305" s="908" t="s">
        <v>1566</v>
      </c>
      <c r="F305" s="850" t="s">
        <v>1598</v>
      </c>
      <c r="G305" s="781">
        <f t="shared" si="33"/>
        <v>2677504</v>
      </c>
      <c r="H305" s="781">
        <f>'d3'!E323</f>
        <v>0</v>
      </c>
      <c r="I305" s="781">
        <f>'d3'!J323</f>
        <v>2677504</v>
      </c>
      <c r="J305" s="781">
        <f>'d3'!K323</f>
        <v>0</v>
      </c>
      <c r="K305" s="137"/>
      <c r="L305" s="137"/>
      <c r="M305" s="137"/>
    </row>
    <row r="306" spans="1:13" ht="138.75" thickTop="1" thickBot="1" x14ac:dyDescent="0.25">
      <c r="A306" s="907"/>
      <c r="B306" s="907"/>
      <c r="C306" s="907"/>
      <c r="D306" s="476" t="s">
        <v>436</v>
      </c>
      <c r="E306" s="909"/>
      <c r="F306" s="851"/>
      <c r="G306" s="907">
        <f t="shared" si="33"/>
        <v>0</v>
      </c>
      <c r="H306" s="907"/>
      <c r="I306" s="907"/>
      <c r="J306" s="907"/>
      <c r="K306" s="137"/>
      <c r="L306" s="137"/>
      <c r="M306" s="137"/>
    </row>
    <row r="307" spans="1:13" ht="138.75" hidden="1" thickTop="1" thickBot="1" x14ac:dyDescent="0.25">
      <c r="A307" s="126" t="s">
        <v>1142</v>
      </c>
      <c r="B307" s="126" t="s">
        <v>255</v>
      </c>
      <c r="C307" s="126" t="s">
        <v>169</v>
      </c>
      <c r="D307" s="126" t="s">
        <v>253</v>
      </c>
      <c r="E307" s="243" t="s">
        <v>1193</v>
      </c>
      <c r="F307" s="187" t="s">
        <v>1131</v>
      </c>
      <c r="G307" s="261">
        <f t="shared" ref="G307" si="40">H307+I307</f>
        <v>0</v>
      </c>
      <c r="H307" s="244"/>
      <c r="I307" s="261"/>
      <c r="J307" s="261"/>
      <c r="K307" s="137"/>
      <c r="L307" s="137"/>
      <c r="M307" s="137"/>
    </row>
    <row r="308" spans="1:13" ht="276" thickTop="1" thickBot="1" x14ac:dyDescent="0.25">
      <c r="A308" s="101" t="s">
        <v>546</v>
      </c>
      <c r="B308" s="101" t="s">
        <v>511</v>
      </c>
      <c r="C308" s="101" t="s">
        <v>249</v>
      </c>
      <c r="D308" s="600" t="s">
        <v>512</v>
      </c>
      <c r="E308" s="306" t="s">
        <v>1175</v>
      </c>
      <c r="F308" s="302" t="s">
        <v>843</v>
      </c>
      <c r="G308" s="302">
        <f t="shared" si="33"/>
        <v>2000000</v>
      </c>
      <c r="H308" s="306">
        <f>'d3'!E328</f>
        <v>2000000</v>
      </c>
      <c r="I308" s="423">
        <f>'d3'!J328</f>
        <v>0</v>
      </c>
      <c r="J308" s="423">
        <f>'d3'!K328</f>
        <v>0</v>
      </c>
      <c r="K308" s="137"/>
      <c r="L308" s="137"/>
      <c r="M308" s="137"/>
    </row>
    <row r="309" spans="1:13" ht="276" thickTop="1" thickBot="1" x14ac:dyDescent="0.25">
      <c r="A309" s="101" t="s">
        <v>547</v>
      </c>
      <c r="B309" s="101" t="s">
        <v>248</v>
      </c>
      <c r="C309" s="101" t="s">
        <v>249</v>
      </c>
      <c r="D309" s="101" t="s">
        <v>247</v>
      </c>
      <c r="E309" s="306" t="s">
        <v>1175</v>
      </c>
      <c r="F309" s="302" t="s">
        <v>843</v>
      </c>
      <c r="G309" s="302">
        <f t="shared" si="33"/>
        <v>2759885</v>
      </c>
      <c r="H309" s="306">
        <f>'d3'!E329</f>
        <v>2695452</v>
      </c>
      <c r="I309" s="423">
        <f>'d3'!J329</f>
        <v>64433</v>
      </c>
      <c r="J309" s="423">
        <f>'d3'!K329</f>
        <v>64433</v>
      </c>
      <c r="K309" s="137"/>
      <c r="L309" s="137"/>
      <c r="M309" s="137"/>
    </row>
    <row r="310" spans="1:13" ht="276" hidden="1" thickTop="1" thickBot="1" x14ac:dyDescent="0.25">
      <c r="A310" s="41" t="s">
        <v>548</v>
      </c>
      <c r="B310" s="41" t="s">
        <v>549</v>
      </c>
      <c r="C310" s="41" t="s">
        <v>249</v>
      </c>
      <c r="D310" s="41" t="s">
        <v>550</v>
      </c>
      <c r="E310" s="247" t="s">
        <v>842</v>
      </c>
      <c r="F310" s="73" t="s">
        <v>843</v>
      </c>
      <c r="G310" s="73">
        <f t="shared" si="33"/>
        <v>0</v>
      </c>
      <c r="H310" s="247">
        <f>'d3'!E330</f>
        <v>0</v>
      </c>
      <c r="I310" s="262">
        <f>'d3'!J330</f>
        <v>0</v>
      </c>
      <c r="J310" s="262">
        <f>'d3'!K330</f>
        <v>0</v>
      </c>
      <c r="K310" s="137"/>
      <c r="L310" s="137"/>
      <c r="M310" s="137"/>
    </row>
    <row r="311" spans="1:13" ht="138.75" thickTop="1" thickBot="1" x14ac:dyDescent="0.25">
      <c r="A311" s="101" t="s">
        <v>1412</v>
      </c>
      <c r="B311" s="101" t="s">
        <v>359</v>
      </c>
      <c r="C311" s="101" t="s">
        <v>43</v>
      </c>
      <c r="D311" s="101" t="s">
        <v>360</v>
      </c>
      <c r="E311" s="305" t="s">
        <v>1566</v>
      </c>
      <c r="F311" s="302" t="s">
        <v>1598</v>
      </c>
      <c r="G311" s="302">
        <f>H311+I311</f>
        <v>1800000</v>
      </c>
      <c r="H311" s="306">
        <f>'d3'!E333</f>
        <v>1800000</v>
      </c>
      <c r="I311" s="423">
        <f>'d3'!J333</f>
        <v>0</v>
      </c>
      <c r="J311" s="423">
        <f>'d3'!K333</f>
        <v>0</v>
      </c>
      <c r="K311" s="137"/>
      <c r="L311" s="137"/>
      <c r="M311" s="137"/>
    </row>
    <row r="312" spans="1:13" ht="170.45" customHeight="1" thickTop="1" thickBot="1" x14ac:dyDescent="0.25">
      <c r="A312" s="585" t="s">
        <v>25</v>
      </c>
      <c r="B312" s="585"/>
      <c r="C312" s="585"/>
      <c r="D312" s="586" t="s">
        <v>873</v>
      </c>
      <c r="E312" s="585"/>
      <c r="F312" s="585"/>
      <c r="G312" s="587">
        <f>G313</f>
        <v>100762969.77000001</v>
      </c>
      <c r="H312" s="587">
        <f>H313</f>
        <v>0</v>
      </c>
      <c r="I312" s="587">
        <f>I313</f>
        <v>100762969.77000001</v>
      </c>
      <c r="J312" s="587">
        <f>J313</f>
        <v>100762969.77000001</v>
      </c>
      <c r="K312" s="137"/>
      <c r="L312" s="137"/>
      <c r="M312" s="137"/>
    </row>
    <row r="313" spans="1:13" ht="136.5" thickTop="1" thickBot="1" x14ac:dyDescent="0.25">
      <c r="A313" s="588" t="s">
        <v>26</v>
      </c>
      <c r="B313" s="588"/>
      <c r="C313" s="588"/>
      <c r="D313" s="589" t="s">
        <v>874</v>
      </c>
      <c r="E313" s="590"/>
      <c r="F313" s="590"/>
      <c r="G313" s="590">
        <f>SUM(G314:G331)</f>
        <v>100762969.77000001</v>
      </c>
      <c r="H313" s="590">
        <f>SUM(H314:H331)</f>
        <v>0</v>
      </c>
      <c r="I313" s="590">
        <f>SUM(I314:I331)</f>
        <v>100762969.77000001</v>
      </c>
      <c r="J313" s="590">
        <f>SUM(J314:J331)</f>
        <v>100762969.77000001</v>
      </c>
      <c r="K313" s="95" t="b">
        <f>H313='d3'!E335-'d3'!E337+H314</f>
        <v>1</v>
      </c>
      <c r="L313" s="426" t="b">
        <f>I313='d3'!J335+I314</f>
        <v>1</v>
      </c>
      <c r="M313" s="426" t="b">
        <f>J313='d3'!K335+J314</f>
        <v>1</v>
      </c>
    </row>
    <row r="314" spans="1:13" ht="138.75" hidden="1" thickTop="1" thickBot="1" x14ac:dyDescent="0.25">
      <c r="A314" s="126" t="s">
        <v>412</v>
      </c>
      <c r="B314" s="126" t="s">
        <v>235</v>
      </c>
      <c r="C314" s="126" t="s">
        <v>233</v>
      </c>
      <c r="D314" s="126" t="s">
        <v>234</v>
      </c>
      <c r="E314" s="243" t="s">
        <v>1005</v>
      </c>
      <c r="F314" s="187" t="s">
        <v>841</v>
      </c>
      <c r="G314" s="187">
        <f t="shared" ref="G314" si="41">H314+I314</f>
        <v>0</v>
      </c>
      <c r="H314" s="187">
        <v>0</v>
      </c>
      <c r="I314" s="187">
        <v>0</v>
      </c>
      <c r="J314" s="187">
        <v>0</v>
      </c>
      <c r="K314" s="245"/>
      <c r="L314" s="245"/>
      <c r="M314" s="245"/>
    </row>
    <row r="315" spans="1:13" ht="276" hidden="1" thickTop="1" thickBot="1" x14ac:dyDescent="0.25">
      <c r="A315" s="126" t="s">
        <v>621</v>
      </c>
      <c r="B315" s="126" t="s">
        <v>358</v>
      </c>
      <c r="C315" s="126" t="s">
        <v>616</v>
      </c>
      <c r="D315" s="126" t="s">
        <v>617</v>
      </c>
      <c r="E315" s="243" t="s">
        <v>1248</v>
      </c>
      <c r="F315" s="187" t="s">
        <v>1249</v>
      </c>
      <c r="G315" s="187">
        <f t="shared" ref="G315:G319" si="42">H315+I315</f>
        <v>0</v>
      </c>
      <c r="H315" s="244">
        <f>'d3'!E338</f>
        <v>0</v>
      </c>
      <c r="I315" s="261">
        <v>0</v>
      </c>
      <c r="J315" s="261">
        <v>0</v>
      </c>
      <c r="K315" s="245"/>
      <c r="L315" s="245"/>
      <c r="M315" s="245"/>
    </row>
    <row r="316" spans="1:13" ht="138.75" hidden="1" thickTop="1" thickBot="1" x14ac:dyDescent="0.25">
      <c r="A316" s="126" t="s">
        <v>908</v>
      </c>
      <c r="B316" s="126" t="s">
        <v>43</v>
      </c>
      <c r="C316" s="126" t="s">
        <v>42</v>
      </c>
      <c r="D316" s="126" t="s">
        <v>246</v>
      </c>
      <c r="E316" s="243" t="s">
        <v>1106</v>
      </c>
      <c r="F316" s="187"/>
      <c r="G316" s="187">
        <f t="shared" si="42"/>
        <v>0</v>
      </c>
      <c r="H316" s="244">
        <f>'d3'!E339</f>
        <v>0</v>
      </c>
      <c r="I316" s="261">
        <f>'d3'!J339</f>
        <v>0</v>
      </c>
      <c r="J316" s="261">
        <f>'d3'!K339</f>
        <v>0</v>
      </c>
      <c r="K316" s="245"/>
      <c r="L316" s="245"/>
      <c r="M316" s="245"/>
    </row>
    <row r="317" spans="1:13" ht="276" thickTop="1" thickBot="1" x14ac:dyDescent="0.25">
      <c r="A317" s="101" t="s">
        <v>1568</v>
      </c>
      <c r="B317" s="101" t="s">
        <v>1569</v>
      </c>
      <c r="C317" s="101" t="s">
        <v>209</v>
      </c>
      <c r="D317" s="101" t="s">
        <v>1570</v>
      </c>
      <c r="E317" s="306" t="s">
        <v>1175</v>
      </c>
      <c r="F317" s="302" t="s">
        <v>843</v>
      </c>
      <c r="G317" s="302">
        <f t="shared" ref="G317:G318" si="43">H317+I317</f>
        <v>43289130.200000003</v>
      </c>
      <c r="H317" s="306">
        <v>0</v>
      </c>
      <c r="I317" s="423">
        <f>(((10000000+7000000)+10000000)+4114095)-1928294.8+14103330</f>
        <v>43289130.200000003</v>
      </c>
      <c r="J317" s="423">
        <f>(((10000000+7000000)+10000000)+4114095)-1928294.8+14103330</f>
        <v>43289130.200000003</v>
      </c>
      <c r="K317" s="95" t="b">
        <f>H317+H318='d3'!E341</f>
        <v>1</v>
      </c>
      <c r="L317" s="426" t="b">
        <f>I317+I318='d3'!J341</f>
        <v>1</v>
      </c>
      <c r="M317" s="426" t="b">
        <f>J317+J318='d3'!K341</f>
        <v>1</v>
      </c>
    </row>
    <row r="318" spans="1:13" ht="138.75" thickTop="1" thickBot="1" x14ac:dyDescent="0.25">
      <c r="A318" s="101" t="s">
        <v>1568</v>
      </c>
      <c r="B318" s="101" t="s">
        <v>1569</v>
      </c>
      <c r="C318" s="101" t="s">
        <v>209</v>
      </c>
      <c r="D318" s="101" t="s">
        <v>1570</v>
      </c>
      <c r="E318" s="305" t="s">
        <v>1566</v>
      </c>
      <c r="F318" s="302" t="s">
        <v>1598</v>
      </c>
      <c r="G318" s="302">
        <f t="shared" si="43"/>
        <v>2112702.4500000002</v>
      </c>
      <c r="H318" s="306">
        <v>0</v>
      </c>
      <c r="I318" s="423">
        <f>((1532009)+100000)-240206.55+720900</f>
        <v>2112702.4500000002</v>
      </c>
      <c r="J318" s="423">
        <f>((1532009)+100000)-240206.55+720900</f>
        <v>2112702.4500000002</v>
      </c>
      <c r="K318" s="245"/>
      <c r="L318" s="245"/>
      <c r="M318" s="245"/>
    </row>
    <row r="319" spans="1:13" ht="138.75" thickTop="1" thickBot="1" x14ac:dyDescent="0.25">
      <c r="A319" s="101" t="s">
        <v>1195</v>
      </c>
      <c r="B319" s="101" t="s">
        <v>1159</v>
      </c>
      <c r="C319" s="101" t="s">
        <v>205</v>
      </c>
      <c r="D319" s="600" t="s">
        <v>1160</v>
      </c>
      <c r="E319" s="305" t="s">
        <v>1566</v>
      </c>
      <c r="F319" s="302" t="s">
        <v>1598</v>
      </c>
      <c r="G319" s="302">
        <f t="shared" si="42"/>
        <v>0</v>
      </c>
      <c r="H319" s="306">
        <f>'d3'!E343</f>
        <v>0</v>
      </c>
      <c r="I319" s="423">
        <f>'d3'!J343</f>
        <v>0</v>
      </c>
      <c r="J319" s="423">
        <f>'d3'!K343</f>
        <v>0</v>
      </c>
      <c r="K319" s="245"/>
      <c r="L319" s="245"/>
      <c r="M319" s="245"/>
    </row>
    <row r="320" spans="1:13" ht="138.75" thickTop="1" thickBot="1" x14ac:dyDescent="0.25">
      <c r="A320" s="101" t="s">
        <v>1576</v>
      </c>
      <c r="B320" s="101" t="s">
        <v>1577</v>
      </c>
      <c r="C320" s="101" t="s">
        <v>181</v>
      </c>
      <c r="D320" s="600" t="s">
        <v>1575</v>
      </c>
      <c r="E320" s="305" t="s">
        <v>1566</v>
      </c>
      <c r="F320" s="302" t="s">
        <v>1598</v>
      </c>
      <c r="G320" s="302">
        <f t="shared" ref="G320" si="44">H320+I320</f>
        <v>4752440</v>
      </c>
      <c r="H320" s="306">
        <f>'d3'!E346</f>
        <v>0</v>
      </c>
      <c r="I320" s="423">
        <f>'d3'!J346</f>
        <v>4752440</v>
      </c>
      <c r="J320" s="423">
        <f>'d3'!K346</f>
        <v>4752440</v>
      </c>
      <c r="K320" s="245"/>
      <c r="L320" s="245"/>
      <c r="M320" s="245"/>
    </row>
    <row r="321" spans="1:13" ht="249" customHeight="1" thickTop="1" thickBot="1" x14ac:dyDescent="0.25">
      <c r="A321" s="101" t="s">
        <v>428</v>
      </c>
      <c r="B321" s="101" t="s">
        <v>429</v>
      </c>
      <c r="C321" s="101" t="s">
        <v>194</v>
      </c>
      <c r="D321" s="101" t="s">
        <v>1138</v>
      </c>
      <c r="E321" s="305" t="s">
        <v>1566</v>
      </c>
      <c r="F321" s="302" t="s">
        <v>1598</v>
      </c>
      <c r="G321" s="302">
        <f>H321+I321</f>
        <v>2528649</v>
      </c>
      <c r="H321" s="302">
        <f>'d3'!E350</f>
        <v>0</v>
      </c>
      <c r="I321" s="302">
        <f>'d3'!J350</f>
        <v>2528649</v>
      </c>
      <c r="J321" s="302">
        <f>'d3'!K350</f>
        <v>2528649</v>
      </c>
      <c r="K321" s="137"/>
      <c r="L321" s="137"/>
      <c r="M321" s="137"/>
    </row>
    <row r="322" spans="1:13" ht="138.75" hidden="1" thickTop="1" thickBot="1" x14ac:dyDescent="0.25">
      <c r="A322" s="126" t="s">
        <v>308</v>
      </c>
      <c r="B322" s="126" t="s">
        <v>309</v>
      </c>
      <c r="C322" s="126" t="s">
        <v>302</v>
      </c>
      <c r="D322" s="126" t="s">
        <v>1418</v>
      </c>
      <c r="E322" s="243" t="s">
        <v>1335</v>
      </c>
      <c r="F322" s="187" t="s">
        <v>1129</v>
      </c>
      <c r="G322" s="187">
        <f t="shared" ref="G322:G331" si="45">H322+I322</f>
        <v>0</v>
      </c>
      <c r="H322" s="187">
        <v>0</v>
      </c>
      <c r="I322" s="187">
        <v>0</v>
      </c>
      <c r="J322" s="187">
        <v>0</v>
      </c>
      <c r="K322" s="137"/>
      <c r="L322" s="137"/>
      <c r="M322" s="137"/>
    </row>
    <row r="323" spans="1:13" ht="138.75" hidden="1" thickTop="1" thickBot="1" x14ac:dyDescent="0.25">
      <c r="A323" s="126" t="s">
        <v>310</v>
      </c>
      <c r="B323" s="126" t="s">
        <v>311</v>
      </c>
      <c r="C323" s="126" t="s">
        <v>302</v>
      </c>
      <c r="D323" s="126" t="s">
        <v>1196</v>
      </c>
      <c r="E323" s="243" t="s">
        <v>1122</v>
      </c>
      <c r="F323" s="187" t="s">
        <v>1123</v>
      </c>
      <c r="G323" s="187">
        <f t="shared" si="45"/>
        <v>0</v>
      </c>
      <c r="H323" s="187"/>
      <c r="I323" s="187"/>
      <c r="J323" s="187">
        <f>I323</f>
        <v>0</v>
      </c>
      <c r="K323" s="137"/>
      <c r="L323" s="137"/>
      <c r="M323" s="137"/>
    </row>
    <row r="324" spans="1:13" ht="138.75" hidden="1" thickTop="1" thickBot="1" x14ac:dyDescent="0.25">
      <c r="A324" s="126" t="s">
        <v>312</v>
      </c>
      <c r="B324" s="126" t="s">
        <v>313</v>
      </c>
      <c r="C324" s="126" t="s">
        <v>302</v>
      </c>
      <c r="D324" s="126" t="s">
        <v>1420</v>
      </c>
      <c r="E324" s="243" t="s">
        <v>1237</v>
      </c>
      <c r="F324" s="187" t="s">
        <v>1238</v>
      </c>
      <c r="G324" s="187">
        <f t="shared" si="45"/>
        <v>0</v>
      </c>
      <c r="H324" s="187">
        <v>0</v>
      </c>
      <c r="I324" s="187">
        <v>0</v>
      </c>
      <c r="J324" s="187">
        <v>0</v>
      </c>
      <c r="K324" s="137"/>
      <c r="L324" s="137"/>
      <c r="M324" s="137"/>
    </row>
    <row r="325" spans="1:13" ht="138.75" hidden="1" thickTop="1" thickBot="1" x14ac:dyDescent="0.25">
      <c r="A325" s="126" t="s">
        <v>312</v>
      </c>
      <c r="B325" s="126" t="s">
        <v>313</v>
      </c>
      <c r="C325" s="126" t="s">
        <v>302</v>
      </c>
      <c r="D325" s="126" t="s">
        <v>1420</v>
      </c>
      <c r="E325" s="243" t="s">
        <v>1374</v>
      </c>
      <c r="F325" s="187" t="s">
        <v>1375</v>
      </c>
      <c r="G325" s="187">
        <f t="shared" si="45"/>
        <v>0</v>
      </c>
      <c r="H325" s="187">
        <v>0</v>
      </c>
      <c r="I325" s="187">
        <v>0</v>
      </c>
      <c r="J325" s="187">
        <v>0</v>
      </c>
      <c r="K325" s="137"/>
      <c r="L325" s="137"/>
      <c r="M325" s="137"/>
    </row>
    <row r="326" spans="1:13" ht="276" hidden="1" thickTop="1" thickBot="1" x14ac:dyDescent="0.25">
      <c r="A326" s="126" t="s">
        <v>312</v>
      </c>
      <c r="B326" s="126" t="s">
        <v>313</v>
      </c>
      <c r="C326" s="126" t="s">
        <v>302</v>
      </c>
      <c r="D326" s="126" t="s">
        <v>1420</v>
      </c>
      <c r="E326" s="244" t="s">
        <v>1175</v>
      </c>
      <c r="F326" s="187" t="s">
        <v>843</v>
      </c>
      <c r="G326" s="187">
        <f t="shared" si="45"/>
        <v>0</v>
      </c>
      <c r="H326" s="187">
        <v>0</v>
      </c>
      <c r="I326" s="187">
        <v>0</v>
      </c>
      <c r="J326" s="187">
        <v>0</v>
      </c>
      <c r="K326" s="137"/>
      <c r="L326" s="137"/>
      <c r="M326" s="137"/>
    </row>
    <row r="327" spans="1:13" ht="138.75" thickTop="1" thickBot="1" x14ac:dyDescent="0.25">
      <c r="A327" s="101" t="s">
        <v>312</v>
      </c>
      <c r="B327" s="101" t="s">
        <v>313</v>
      </c>
      <c r="C327" s="101" t="s">
        <v>302</v>
      </c>
      <c r="D327" s="101" t="s">
        <v>1572</v>
      </c>
      <c r="E327" s="305" t="s">
        <v>1336</v>
      </c>
      <c r="F327" s="311" t="s">
        <v>420</v>
      </c>
      <c r="G327" s="302">
        <f t="shared" si="45"/>
        <v>48080048.119999997</v>
      </c>
      <c r="H327" s="302">
        <v>0</v>
      </c>
      <c r="I327" s="302">
        <f>(((6100000)+21823304.2)+14856743.92)+5300000</f>
        <v>48080048.119999997</v>
      </c>
      <c r="J327" s="302">
        <f>(((6100000)+21823304.2)+14856743.92)+5300000</f>
        <v>48080048.119999997</v>
      </c>
      <c r="K327" s="137"/>
      <c r="L327" s="137"/>
      <c r="M327" s="137"/>
    </row>
    <row r="328" spans="1:13" ht="138.75" hidden="1" thickTop="1" thickBot="1" x14ac:dyDescent="0.25">
      <c r="A328" s="126" t="s">
        <v>432</v>
      </c>
      <c r="B328" s="126" t="s">
        <v>347</v>
      </c>
      <c r="C328" s="126" t="s">
        <v>169</v>
      </c>
      <c r="D328" s="126" t="s">
        <v>260</v>
      </c>
      <c r="E328" s="243" t="s">
        <v>1106</v>
      </c>
      <c r="F328" s="187"/>
      <c r="G328" s="187">
        <f t="shared" si="45"/>
        <v>0</v>
      </c>
      <c r="H328" s="187">
        <f>'d3'!E354</f>
        <v>0</v>
      </c>
      <c r="I328" s="187">
        <f>'d3'!J354</f>
        <v>0</v>
      </c>
      <c r="J328" s="187">
        <f>'d3'!K354</f>
        <v>0</v>
      </c>
      <c r="K328" s="137"/>
      <c r="L328" s="137"/>
      <c r="M328" s="137"/>
    </row>
    <row r="329" spans="1:13" ht="230.25" hidden="1" thickTop="1" thickBot="1" x14ac:dyDescent="0.7">
      <c r="A329" s="770" t="s">
        <v>968</v>
      </c>
      <c r="B329" s="770" t="s">
        <v>335</v>
      </c>
      <c r="C329" s="770" t="s">
        <v>169</v>
      </c>
      <c r="D329" s="152" t="s">
        <v>435</v>
      </c>
      <c r="E329" s="770" t="s">
        <v>1106</v>
      </c>
      <c r="F329" s="770"/>
      <c r="G329" s="187">
        <f t="shared" si="45"/>
        <v>0</v>
      </c>
      <c r="H329" s="755">
        <f>'d3'!E357</f>
        <v>0</v>
      </c>
      <c r="I329" s="755">
        <f>'d3'!J357</f>
        <v>0</v>
      </c>
      <c r="J329" s="755">
        <f>'d3'!K357</f>
        <v>0</v>
      </c>
      <c r="K329" s="137"/>
      <c r="L329" s="137"/>
      <c r="M329" s="137"/>
    </row>
    <row r="330" spans="1:13" ht="138.75" hidden="1" thickTop="1" thickBot="1" x14ac:dyDescent="0.25">
      <c r="A330" s="770"/>
      <c r="B330" s="770"/>
      <c r="C330" s="770"/>
      <c r="D330" s="153" t="s">
        <v>436</v>
      </c>
      <c r="E330" s="770"/>
      <c r="F330" s="770"/>
      <c r="G330" s="187">
        <f t="shared" si="45"/>
        <v>0</v>
      </c>
      <c r="H330" s="771"/>
      <c r="I330" s="771"/>
      <c r="J330" s="771"/>
      <c r="K330" s="137"/>
      <c r="L330" s="137"/>
      <c r="M330" s="137"/>
    </row>
    <row r="331" spans="1:13" ht="138.75" hidden="1" thickTop="1" thickBot="1" x14ac:dyDescent="0.25">
      <c r="A331" s="126" t="s">
        <v>1152</v>
      </c>
      <c r="B331" s="126" t="s">
        <v>255</v>
      </c>
      <c r="C331" s="126" t="s">
        <v>169</v>
      </c>
      <c r="D331" s="153" t="s">
        <v>253</v>
      </c>
      <c r="E331" s="243" t="s">
        <v>1122</v>
      </c>
      <c r="F331" s="187" t="s">
        <v>1123</v>
      </c>
      <c r="G331" s="187">
        <f t="shared" si="45"/>
        <v>0</v>
      </c>
      <c r="H331" s="187"/>
      <c r="I331" s="187">
        <v>0</v>
      </c>
      <c r="J331" s="187">
        <v>0</v>
      </c>
      <c r="K331" s="137"/>
      <c r="L331" s="137"/>
      <c r="M331" s="137"/>
    </row>
    <row r="332" spans="1:13" ht="91.5" thickTop="1" thickBot="1" x14ac:dyDescent="0.25">
      <c r="A332" s="585" t="s">
        <v>159</v>
      </c>
      <c r="B332" s="585"/>
      <c r="C332" s="585"/>
      <c r="D332" s="586" t="s">
        <v>875</v>
      </c>
      <c r="E332" s="585"/>
      <c r="F332" s="585"/>
      <c r="G332" s="587">
        <f>G333</f>
        <v>137700</v>
      </c>
      <c r="H332" s="587">
        <f t="shared" ref="H332:J332" si="46">H333</f>
        <v>0</v>
      </c>
      <c r="I332" s="587">
        <f t="shared" si="46"/>
        <v>137700</v>
      </c>
      <c r="J332" s="587">
        <f t="shared" si="46"/>
        <v>137700</v>
      </c>
      <c r="K332" s="426" t="b">
        <f>H332='d3'!E361-'d3'!E363+H334</f>
        <v>1</v>
      </c>
      <c r="L332" s="426" t="b">
        <f>I332='d3'!J361-'d3'!J363+'d7'!I334</f>
        <v>1</v>
      </c>
      <c r="M332" s="426" t="b">
        <f>J332='d3'!K361-'d3'!K363+'d7'!J334</f>
        <v>1</v>
      </c>
    </row>
    <row r="333" spans="1:13" ht="170.45" customHeight="1" thickTop="1" thickBot="1" x14ac:dyDescent="0.25">
      <c r="A333" s="588" t="s">
        <v>160</v>
      </c>
      <c r="B333" s="588"/>
      <c r="C333" s="588"/>
      <c r="D333" s="589" t="s">
        <v>880</v>
      </c>
      <c r="E333" s="590"/>
      <c r="F333" s="590"/>
      <c r="G333" s="590">
        <f>SUM(G334:G338)</f>
        <v>137700</v>
      </c>
      <c r="H333" s="590">
        <f>SUM(H334:H338)</f>
        <v>0</v>
      </c>
      <c r="I333" s="590">
        <f>SUM(I334:I338)</f>
        <v>137700</v>
      </c>
      <c r="J333" s="590">
        <f>SUM(J334:J338)</f>
        <v>137700</v>
      </c>
      <c r="K333" s="137"/>
      <c r="L333" s="137"/>
      <c r="M333" s="137"/>
    </row>
    <row r="334" spans="1:13" ht="138.75" thickTop="1" thickBot="1" x14ac:dyDescent="0.25">
      <c r="A334" s="101" t="s">
        <v>414</v>
      </c>
      <c r="B334" s="101" t="s">
        <v>235</v>
      </c>
      <c r="C334" s="101" t="s">
        <v>233</v>
      </c>
      <c r="D334" s="101" t="s">
        <v>234</v>
      </c>
      <c r="E334" s="305" t="s">
        <v>1005</v>
      </c>
      <c r="F334" s="302" t="s">
        <v>841</v>
      </c>
      <c r="G334" s="302">
        <f>H334+I334</f>
        <v>37700</v>
      </c>
      <c r="H334" s="302">
        <v>0</v>
      </c>
      <c r="I334" s="302">
        <f>(0)+37700</f>
        <v>37700</v>
      </c>
      <c r="J334" s="302">
        <f>(0)+37700</f>
        <v>37700</v>
      </c>
      <c r="K334" s="137"/>
      <c r="L334" s="137"/>
      <c r="M334" s="137"/>
    </row>
    <row r="335" spans="1:13" ht="276" hidden="1" thickTop="1" thickBot="1" x14ac:dyDescent="0.25">
      <c r="A335" s="126" t="s">
        <v>622</v>
      </c>
      <c r="B335" s="126" t="s">
        <v>358</v>
      </c>
      <c r="C335" s="126" t="s">
        <v>616</v>
      </c>
      <c r="D335" s="126" t="s">
        <v>617</v>
      </c>
      <c r="E335" s="243" t="s">
        <v>1248</v>
      </c>
      <c r="F335" s="187" t="s">
        <v>1249</v>
      </c>
      <c r="G335" s="187">
        <f t="shared" ref="G335:G338" si="47">H335+I335</f>
        <v>0</v>
      </c>
      <c r="H335" s="244">
        <f>'d3'!E364</f>
        <v>0</v>
      </c>
      <c r="I335" s="261">
        <v>0</v>
      </c>
      <c r="J335" s="261">
        <v>0</v>
      </c>
      <c r="K335" s="137"/>
      <c r="L335" s="137"/>
      <c r="M335" s="137"/>
    </row>
    <row r="336" spans="1:13" ht="138.75" hidden="1" thickTop="1" thickBot="1" x14ac:dyDescent="0.25">
      <c r="A336" s="126" t="s">
        <v>1218</v>
      </c>
      <c r="B336" s="126" t="s">
        <v>43</v>
      </c>
      <c r="C336" s="126" t="s">
        <v>42</v>
      </c>
      <c r="D336" s="126" t="s">
        <v>246</v>
      </c>
      <c r="E336" s="243" t="s">
        <v>1428</v>
      </c>
      <c r="F336" s="187" t="s">
        <v>1445</v>
      </c>
      <c r="G336" s="187">
        <f t="shared" si="47"/>
        <v>0</v>
      </c>
      <c r="H336" s="244">
        <f>'d3'!E365</f>
        <v>0</v>
      </c>
      <c r="I336" s="261">
        <f>'d3'!J365</f>
        <v>0</v>
      </c>
      <c r="J336" s="261">
        <f>'d3'!K365</f>
        <v>0</v>
      </c>
      <c r="K336" s="137"/>
      <c r="L336" s="137"/>
      <c r="M336" s="137"/>
    </row>
    <row r="337" spans="1:13" ht="138.75" thickTop="1" thickBot="1" x14ac:dyDescent="0.25">
      <c r="A337" s="101" t="s">
        <v>893</v>
      </c>
      <c r="B337" s="101" t="s">
        <v>894</v>
      </c>
      <c r="C337" s="101" t="s">
        <v>302</v>
      </c>
      <c r="D337" s="101" t="s">
        <v>895</v>
      </c>
      <c r="E337" s="305" t="s">
        <v>1566</v>
      </c>
      <c r="F337" s="302" t="s">
        <v>1598</v>
      </c>
      <c r="G337" s="302">
        <f t="shared" si="47"/>
        <v>100000</v>
      </c>
      <c r="H337" s="306">
        <f>'d3'!E368</f>
        <v>0</v>
      </c>
      <c r="I337" s="423">
        <f>'d3'!J368</f>
        <v>100000</v>
      </c>
      <c r="J337" s="423">
        <f>'d3'!K368</f>
        <v>100000</v>
      </c>
      <c r="K337" s="137"/>
      <c r="L337" s="137"/>
      <c r="M337" s="137"/>
    </row>
    <row r="338" spans="1:13" ht="138.75" hidden="1" thickTop="1" thickBot="1" x14ac:dyDescent="0.25">
      <c r="A338" s="101" t="s">
        <v>1581</v>
      </c>
      <c r="B338" s="101" t="s">
        <v>1583</v>
      </c>
      <c r="C338" s="101" t="s">
        <v>302</v>
      </c>
      <c r="D338" s="101" t="s">
        <v>1582</v>
      </c>
      <c r="E338" s="305" t="s">
        <v>1566</v>
      </c>
      <c r="F338" s="302" t="s">
        <v>1598</v>
      </c>
      <c r="G338" s="302">
        <f t="shared" si="47"/>
        <v>0</v>
      </c>
      <c r="H338" s="306">
        <f>'d3'!E369</f>
        <v>0</v>
      </c>
      <c r="I338" s="423">
        <f>'d3'!J369</f>
        <v>0</v>
      </c>
      <c r="J338" s="423">
        <f>'d3'!K369</f>
        <v>0</v>
      </c>
      <c r="K338" s="137"/>
      <c r="L338" s="137"/>
      <c r="M338" s="137"/>
    </row>
    <row r="339" spans="1:13" ht="170.45" customHeight="1" thickTop="1" thickBot="1" x14ac:dyDescent="0.25">
      <c r="A339" s="585" t="s">
        <v>439</v>
      </c>
      <c r="B339" s="585"/>
      <c r="C339" s="585"/>
      <c r="D339" s="586" t="s">
        <v>441</v>
      </c>
      <c r="E339" s="585"/>
      <c r="F339" s="585"/>
      <c r="G339" s="587">
        <f>G340</f>
        <v>183199614</v>
      </c>
      <c r="H339" s="587">
        <f t="shared" ref="H339:J339" si="48">H340</f>
        <v>165509660</v>
      </c>
      <c r="I339" s="587">
        <f t="shared" si="48"/>
        <v>17689954</v>
      </c>
      <c r="J339" s="587">
        <f t="shared" si="48"/>
        <v>17689954</v>
      </c>
      <c r="K339" s="137"/>
      <c r="L339" s="137"/>
      <c r="M339" s="137"/>
    </row>
    <row r="340" spans="1:13" ht="170.45" customHeight="1" thickTop="1" thickBot="1" x14ac:dyDescent="0.25">
      <c r="A340" s="588" t="s">
        <v>440</v>
      </c>
      <c r="B340" s="588"/>
      <c r="C340" s="588"/>
      <c r="D340" s="589" t="s">
        <v>442</v>
      </c>
      <c r="E340" s="590"/>
      <c r="F340" s="590"/>
      <c r="G340" s="590">
        <f>SUM(G341:G351)</f>
        <v>183199614</v>
      </c>
      <c r="H340" s="590">
        <f t="shared" ref="H340" si="49">SUM(H341:H351)</f>
        <v>165509660</v>
      </c>
      <c r="I340" s="590">
        <f>SUM(I341:I351)</f>
        <v>17689954</v>
      </c>
      <c r="J340" s="590">
        <f>SUM(J341:J351)</f>
        <v>17689954</v>
      </c>
      <c r="K340" s="95" t="b">
        <f>H340='d3'!E371-'d3'!E373+'d7'!H341</f>
        <v>1</v>
      </c>
      <c r="L340" s="426" t="b">
        <f>I340='d3'!J371-'d3'!J373+'d7'!I341</f>
        <v>1</v>
      </c>
      <c r="M340" s="426" t="b">
        <f>J340='d3'!K371-'d3'!K373+'d7'!J341</f>
        <v>1</v>
      </c>
    </row>
    <row r="341" spans="1:13" ht="138.75" thickTop="1" thickBot="1" x14ac:dyDescent="0.25">
      <c r="A341" s="101" t="s">
        <v>443</v>
      </c>
      <c r="B341" s="101" t="s">
        <v>235</v>
      </c>
      <c r="C341" s="101" t="s">
        <v>233</v>
      </c>
      <c r="D341" s="101" t="s">
        <v>234</v>
      </c>
      <c r="E341" s="305" t="s">
        <v>1005</v>
      </c>
      <c r="F341" s="302" t="s">
        <v>841</v>
      </c>
      <c r="G341" s="302">
        <f>H341+I341</f>
        <v>89954</v>
      </c>
      <c r="H341" s="306">
        <v>0</v>
      </c>
      <c r="I341" s="302">
        <v>89954</v>
      </c>
      <c r="J341" s="302">
        <v>89954</v>
      </c>
      <c r="K341" s="137"/>
      <c r="L341" s="137"/>
      <c r="M341" s="137"/>
    </row>
    <row r="342" spans="1:13" ht="276" hidden="1" thickTop="1" thickBot="1" x14ac:dyDescent="0.25">
      <c r="A342" s="126" t="s">
        <v>623</v>
      </c>
      <c r="B342" s="126" t="s">
        <v>358</v>
      </c>
      <c r="C342" s="126" t="s">
        <v>616</v>
      </c>
      <c r="D342" s="126" t="s">
        <v>617</v>
      </c>
      <c r="E342" s="243" t="s">
        <v>1248</v>
      </c>
      <c r="F342" s="187" t="s">
        <v>1249</v>
      </c>
      <c r="G342" s="187">
        <f t="shared" ref="G342:G345" si="50">H342+I342</f>
        <v>0</v>
      </c>
      <c r="H342" s="244">
        <f>'d3'!E374</f>
        <v>0</v>
      </c>
      <c r="I342" s="261">
        <f>'d3'!J374</f>
        <v>0</v>
      </c>
      <c r="J342" s="261">
        <f>'d3'!K374</f>
        <v>0</v>
      </c>
      <c r="K342" s="137"/>
      <c r="L342" s="137"/>
      <c r="M342" s="137"/>
    </row>
    <row r="343" spans="1:13" ht="138.75" thickTop="1" thickBot="1" x14ac:dyDescent="0.25">
      <c r="A343" s="101" t="s">
        <v>462</v>
      </c>
      <c r="B343" s="101" t="s">
        <v>407</v>
      </c>
      <c r="C343" s="101" t="s">
        <v>408</v>
      </c>
      <c r="D343" s="101" t="s">
        <v>409</v>
      </c>
      <c r="E343" s="101" t="s">
        <v>1725</v>
      </c>
      <c r="F343" s="302" t="s">
        <v>1655</v>
      </c>
      <c r="G343" s="302">
        <f t="shared" si="50"/>
        <v>950000</v>
      </c>
      <c r="H343" s="306">
        <v>950000</v>
      </c>
      <c r="I343" s="423">
        <f>'d3'!J378</f>
        <v>0</v>
      </c>
      <c r="J343" s="423">
        <f>'d3'!K378</f>
        <v>0</v>
      </c>
      <c r="K343" s="95" t="b">
        <f>H343+H344='d3'!E378</f>
        <v>1</v>
      </c>
      <c r="L343" s="426" t="b">
        <f>I343+I344='d3'!J378</f>
        <v>1</v>
      </c>
      <c r="M343" s="426" t="b">
        <f>J343+J344='d3'!K378</f>
        <v>1</v>
      </c>
    </row>
    <row r="344" spans="1:13" ht="184.5" thickTop="1" thickBot="1" x14ac:dyDescent="0.25">
      <c r="A344" s="101" t="s">
        <v>462</v>
      </c>
      <c r="B344" s="101" t="s">
        <v>407</v>
      </c>
      <c r="C344" s="101" t="s">
        <v>408</v>
      </c>
      <c r="D344" s="101" t="s">
        <v>409</v>
      </c>
      <c r="E344" s="101" t="s">
        <v>1531</v>
      </c>
      <c r="F344" s="302" t="s">
        <v>1532</v>
      </c>
      <c r="G344" s="302">
        <f t="shared" si="50"/>
        <v>1500000</v>
      </c>
      <c r="H344" s="306">
        <f>(0)+1500000</f>
        <v>1500000</v>
      </c>
      <c r="I344" s="423">
        <v>0</v>
      </c>
      <c r="J344" s="423">
        <v>0</v>
      </c>
      <c r="K344" s="137"/>
      <c r="L344" s="137"/>
      <c r="M344" s="137"/>
    </row>
    <row r="345" spans="1:13" ht="138.75" thickTop="1" thickBot="1" x14ac:dyDescent="0.25">
      <c r="A345" s="101" t="s">
        <v>463</v>
      </c>
      <c r="B345" s="101" t="s">
        <v>289</v>
      </c>
      <c r="C345" s="101" t="s">
        <v>1306</v>
      </c>
      <c r="D345" s="101" t="s">
        <v>290</v>
      </c>
      <c r="E345" s="305" t="s">
        <v>1223</v>
      </c>
      <c r="F345" s="302" t="s">
        <v>915</v>
      </c>
      <c r="G345" s="302">
        <f t="shared" si="50"/>
        <v>162259660</v>
      </c>
      <c r="H345" s="306">
        <f>'d3'!E380</f>
        <v>162259660</v>
      </c>
      <c r="I345" s="423">
        <f>'d3'!J380</f>
        <v>0</v>
      </c>
      <c r="J345" s="423">
        <f>'d3'!K380</f>
        <v>0</v>
      </c>
      <c r="K345" s="137"/>
      <c r="L345" s="137"/>
      <c r="M345" s="137"/>
    </row>
    <row r="346" spans="1:13" ht="138.75" hidden="1" thickTop="1" thickBot="1" x14ac:dyDescent="0.25">
      <c r="A346" s="767" t="s">
        <v>1060</v>
      </c>
      <c r="B346" s="767" t="s">
        <v>1061</v>
      </c>
      <c r="C346" s="767" t="s">
        <v>293</v>
      </c>
      <c r="D346" s="767" t="s">
        <v>1059</v>
      </c>
      <c r="E346" s="243" t="s">
        <v>988</v>
      </c>
      <c r="F346" s="187" t="s">
        <v>484</v>
      </c>
      <c r="G346" s="847">
        <f>H346+I346</f>
        <v>0</v>
      </c>
      <c r="H346" s="901"/>
      <c r="I346" s="902">
        <v>0</v>
      </c>
      <c r="J346" s="902">
        <v>0</v>
      </c>
      <c r="K346" s="137"/>
      <c r="L346" s="137"/>
      <c r="M346" s="137"/>
    </row>
    <row r="347" spans="1:13" ht="138.75" hidden="1" thickTop="1" thickBot="1" x14ac:dyDescent="0.25">
      <c r="A347" s="769"/>
      <c r="B347" s="769" t="s">
        <v>1061</v>
      </c>
      <c r="C347" s="769"/>
      <c r="D347" s="769"/>
      <c r="E347" s="243" t="s">
        <v>1122</v>
      </c>
      <c r="F347" s="187" t="s">
        <v>1123</v>
      </c>
      <c r="G347" s="769"/>
      <c r="H347" s="769"/>
      <c r="I347" s="769"/>
      <c r="J347" s="769"/>
      <c r="K347" s="137"/>
      <c r="L347" s="137"/>
      <c r="M347" s="137"/>
    </row>
    <row r="348" spans="1:13" ht="138.75" hidden="1" thickTop="1" thickBot="1" x14ac:dyDescent="0.25">
      <c r="A348" s="126" t="s">
        <v>1134</v>
      </c>
      <c r="B348" s="126" t="s">
        <v>196</v>
      </c>
      <c r="C348" s="126" t="s">
        <v>169</v>
      </c>
      <c r="D348" s="126" t="s">
        <v>1135</v>
      </c>
      <c r="E348" s="243" t="s">
        <v>1356</v>
      </c>
      <c r="F348" s="187" t="s">
        <v>484</v>
      </c>
      <c r="G348" s="187">
        <f t="shared" ref="G348:G349" si="51">H348+I348</f>
        <v>0</v>
      </c>
      <c r="H348" s="244">
        <f>'d3'!E383-H349</f>
        <v>0</v>
      </c>
      <c r="I348" s="261">
        <v>0</v>
      </c>
      <c r="J348" s="261">
        <v>0</v>
      </c>
      <c r="K348" s="914" t="b">
        <f>H348+H349='d3'!E383</f>
        <v>1</v>
      </c>
      <c r="L348" s="919" t="b">
        <f>I348+I349='d3'!J383</f>
        <v>1</v>
      </c>
      <c r="M348" s="919" t="b">
        <f>J348+J349='d3'!K383</f>
        <v>1</v>
      </c>
    </row>
    <row r="349" spans="1:13" ht="138.75" thickTop="1" thickBot="1" x14ac:dyDescent="0.25">
      <c r="A349" s="101" t="s">
        <v>1134</v>
      </c>
      <c r="B349" s="101" t="s">
        <v>196</v>
      </c>
      <c r="C349" s="101" t="s">
        <v>169</v>
      </c>
      <c r="D349" s="101" t="s">
        <v>1135</v>
      </c>
      <c r="E349" s="305" t="s">
        <v>1495</v>
      </c>
      <c r="F349" s="302" t="s">
        <v>915</v>
      </c>
      <c r="G349" s="302">
        <f t="shared" si="51"/>
        <v>17600000</v>
      </c>
      <c r="H349" s="306">
        <v>0</v>
      </c>
      <c r="I349" s="423">
        <f>(((0)+2000000)+3000000)+12600000</f>
        <v>17600000</v>
      </c>
      <c r="J349" s="423">
        <f>(((0)+2000000)+3000000)+12600000</f>
        <v>17600000</v>
      </c>
      <c r="K349" s="914"/>
      <c r="L349" s="919"/>
      <c r="M349" s="919"/>
    </row>
    <row r="350" spans="1:13" ht="138.75" thickTop="1" thickBot="1" x14ac:dyDescent="0.25">
      <c r="A350" s="101" t="s">
        <v>1180</v>
      </c>
      <c r="B350" s="101" t="s">
        <v>1181</v>
      </c>
      <c r="C350" s="101" t="s">
        <v>1147</v>
      </c>
      <c r="D350" s="101" t="s">
        <v>1182</v>
      </c>
      <c r="E350" s="101" t="s">
        <v>1725</v>
      </c>
      <c r="F350" s="302" t="s">
        <v>1655</v>
      </c>
      <c r="G350" s="302">
        <f>H350+I350</f>
        <v>800000</v>
      </c>
      <c r="H350" s="306">
        <f>'d3'!E386</f>
        <v>800000</v>
      </c>
      <c r="I350" s="423">
        <f>'d3'!J386</f>
        <v>0</v>
      </c>
      <c r="J350" s="423">
        <f>'d3'!K386</f>
        <v>0</v>
      </c>
      <c r="K350" s="137"/>
      <c r="L350" s="137"/>
      <c r="M350" s="137"/>
    </row>
    <row r="351" spans="1:13" ht="138.75" hidden="1" thickTop="1" thickBot="1" x14ac:dyDescent="0.25">
      <c r="A351" s="126" t="s">
        <v>1280</v>
      </c>
      <c r="B351" s="126" t="s">
        <v>509</v>
      </c>
      <c r="C351" s="126" t="s">
        <v>43</v>
      </c>
      <c r="D351" s="126" t="s">
        <v>510</v>
      </c>
      <c r="E351" s="126" t="s">
        <v>1304</v>
      </c>
      <c r="F351" s="187" t="s">
        <v>1305</v>
      </c>
      <c r="G351" s="187">
        <f>H351+I351</f>
        <v>0</v>
      </c>
      <c r="H351" s="244">
        <v>0</v>
      </c>
      <c r="I351" s="261">
        <v>0</v>
      </c>
      <c r="J351" s="261">
        <v>0</v>
      </c>
      <c r="K351" s="137"/>
      <c r="L351" s="137"/>
      <c r="M351" s="137"/>
    </row>
    <row r="352" spans="1:13" ht="170.45" customHeight="1" thickTop="1" thickBot="1" x14ac:dyDescent="0.25">
      <c r="A352" s="585" t="s">
        <v>165</v>
      </c>
      <c r="B352" s="585"/>
      <c r="C352" s="585"/>
      <c r="D352" s="586" t="s">
        <v>350</v>
      </c>
      <c r="E352" s="585"/>
      <c r="F352" s="585"/>
      <c r="G352" s="587">
        <f>G353</f>
        <v>15201394.029999999</v>
      </c>
      <c r="H352" s="587">
        <f t="shared" ref="H352:J352" si="52">H353</f>
        <v>14908894.029999999</v>
      </c>
      <c r="I352" s="587">
        <f t="shared" si="52"/>
        <v>292500</v>
      </c>
      <c r="J352" s="587">
        <f t="shared" si="52"/>
        <v>292500</v>
      </c>
      <c r="K352" s="95" t="b">
        <f>H352='d3'!E389</f>
        <v>1</v>
      </c>
      <c r="L352" s="426" t="b">
        <f>I352='d3'!J389</f>
        <v>1</v>
      </c>
      <c r="M352" s="426" t="b">
        <f>J352='d3'!K389</f>
        <v>1</v>
      </c>
    </row>
    <row r="353" spans="1:13" ht="170.45" customHeight="1" thickTop="1" thickBot="1" x14ac:dyDescent="0.25">
      <c r="A353" s="588" t="s">
        <v>166</v>
      </c>
      <c r="B353" s="588"/>
      <c r="C353" s="588"/>
      <c r="D353" s="589" t="s">
        <v>351</v>
      </c>
      <c r="E353" s="590"/>
      <c r="F353" s="590"/>
      <c r="G353" s="590">
        <f>SUM(G354:G367)</f>
        <v>15201394.029999999</v>
      </c>
      <c r="H353" s="590">
        <f>SUM(H354:H367)</f>
        <v>14908894.029999999</v>
      </c>
      <c r="I353" s="590">
        <f>SUM(I354:I367)</f>
        <v>292500</v>
      </c>
      <c r="J353" s="590">
        <f>SUM(J354:J367)</f>
        <v>292500</v>
      </c>
      <c r="K353" s="137"/>
      <c r="L353" s="137"/>
      <c r="M353" s="137"/>
    </row>
    <row r="354" spans="1:13" ht="138.75" hidden="1" thickTop="1" thickBot="1" x14ac:dyDescent="0.25">
      <c r="A354" s="101" t="s">
        <v>1259</v>
      </c>
      <c r="B354" s="101" t="s">
        <v>1159</v>
      </c>
      <c r="C354" s="101" t="s">
        <v>205</v>
      </c>
      <c r="D354" s="600" t="s">
        <v>1160</v>
      </c>
      <c r="E354" s="302" t="s">
        <v>1117</v>
      </c>
      <c r="F354" s="302" t="s">
        <v>1254</v>
      </c>
      <c r="G354" s="306">
        <f t="shared" ref="G354:G359" si="53">H354+I354</f>
        <v>0</v>
      </c>
      <c r="H354" s="302">
        <f>'d3'!E392</f>
        <v>0</v>
      </c>
      <c r="I354" s="302">
        <f>'d3'!J392</f>
        <v>0</v>
      </c>
      <c r="J354" s="302">
        <f>'d3'!K392</f>
        <v>0</v>
      </c>
      <c r="K354" s="137"/>
      <c r="L354" s="137"/>
      <c r="M354" s="137"/>
    </row>
    <row r="355" spans="1:13" ht="138.75" thickTop="1" thickBot="1" x14ac:dyDescent="0.25">
      <c r="A355" s="101" t="s">
        <v>1500</v>
      </c>
      <c r="B355" s="101" t="s">
        <v>328</v>
      </c>
      <c r="C355" s="101" t="s">
        <v>190</v>
      </c>
      <c r="D355" s="600" t="s">
        <v>329</v>
      </c>
      <c r="E355" s="302" t="s">
        <v>1117</v>
      </c>
      <c r="F355" s="302" t="s">
        <v>1254</v>
      </c>
      <c r="G355" s="306">
        <f t="shared" si="53"/>
        <v>1584600</v>
      </c>
      <c r="H355" s="302">
        <f>'d3'!F393</f>
        <v>1292100</v>
      </c>
      <c r="I355" s="302">
        <f>'d3'!J393</f>
        <v>292500</v>
      </c>
      <c r="J355" s="302">
        <f>'d3'!K393</f>
        <v>292500</v>
      </c>
      <c r="K355" s="137"/>
      <c r="L355" s="137"/>
      <c r="M355" s="137"/>
    </row>
    <row r="356" spans="1:13" ht="138.75" thickTop="1" thickBot="1" x14ac:dyDescent="0.25">
      <c r="A356" s="101" t="s">
        <v>984</v>
      </c>
      <c r="B356" s="101" t="s">
        <v>347</v>
      </c>
      <c r="C356" s="101" t="s">
        <v>169</v>
      </c>
      <c r="D356" s="101" t="s">
        <v>260</v>
      </c>
      <c r="E356" s="305" t="s">
        <v>1566</v>
      </c>
      <c r="F356" s="302" t="s">
        <v>1598</v>
      </c>
      <c r="G356" s="306">
        <f t="shared" si="53"/>
        <v>260000</v>
      </c>
      <c r="H356" s="302">
        <v>260000</v>
      </c>
      <c r="I356" s="302">
        <v>0</v>
      </c>
      <c r="J356" s="302">
        <v>0</v>
      </c>
      <c r="K356" s="95" t="b">
        <f>H356+H357='d3'!E396</f>
        <v>1</v>
      </c>
      <c r="L356" s="426" t="b">
        <f>I356+I357='d3'!J396</f>
        <v>1</v>
      </c>
      <c r="M356" s="426" t="b">
        <f>J356+J357='d3'!K396</f>
        <v>1</v>
      </c>
    </row>
    <row r="357" spans="1:13" ht="138.75" hidden="1" thickTop="1" thickBot="1" x14ac:dyDescent="0.25">
      <c r="A357" s="101" t="s">
        <v>984</v>
      </c>
      <c r="B357" s="101" t="s">
        <v>347</v>
      </c>
      <c r="C357" s="101" t="s">
        <v>169</v>
      </c>
      <c r="D357" s="101" t="s">
        <v>260</v>
      </c>
      <c r="E357" s="305" t="s">
        <v>1498</v>
      </c>
      <c r="F357" s="302" t="s">
        <v>1499</v>
      </c>
      <c r="G357" s="306">
        <f t="shared" si="53"/>
        <v>0</v>
      </c>
      <c r="H357" s="302">
        <f>((1000000)+4500000)-5500000</f>
        <v>0</v>
      </c>
      <c r="I357" s="302">
        <f>((0)+5000000-1000000)-4000000</f>
        <v>0</v>
      </c>
      <c r="J357" s="302">
        <f>((0)+5000000-1000000)-4000000</f>
        <v>0</v>
      </c>
      <c r="K357" s="95"/>
      <c r="L357" s="426"/>
      <c r="M357" s="426"/>
    </row>
    <row r="358" spans="1:13" ht="138.75" thickTop="1" thickBot="1" x14ac:dyDescent="0.25">
      <c r="A358" s="101" t="s">
        <v>258</v>
      </c>
      <c r="B358" s="101" t="s">
        <v>259</v>
      </c>
      <c r="C358" s="101" t="s">
        <v>257</v>
      </c>
      <c r="D358" s="101" t="s">
        <v>256</v>
      </c>
      <c r="E358" s="305" t="s">
        <v>1510</v>
      </c>
      <c r="F358" s="302" t="s">
        <v>1476</v>
      </c>
      <c r="G358" s="306">
        <f t="shared" si="53"/>
        <v>8000000</v>
      </c>
      <c r="H358" s="302">
        <f>(((2000000)+6000000-2000000)+1000000)+1000000</f>
        <v>8000000</v>
      </c>
      <c r="I358" s="302">
        <v>0</v>
      </c>
      <c r="J358" s="302">
        <v>0</v>
      </c>
      <c r="K358" s="95"/>
      <c r="L358" s="426"/>
      <c r="M358" s="426"/>
    </row>
    <row r="359" spans="1:13" ht="138.75" thickTop="1" thickBot="1" x14ac:dyDescent="0.25">
      <c r="A359" s="101" t="s">
        <v>258</v>
      </c>
      <c r="B359" s="101" t="s">
        <v>259</v>
      </c>
      <c r="C359" s="101" t="s">
        <v>257</v>
      </c>
      <c r="D359" s="101" t="s">
        <v>256</v>
      </c>
      <c r="E359" s="305" t="s">
        <v>1250</v>
      </c>
      <c r="F359" s="302" t="s">
        <v>1124</v>
      </c>
      <c r="G359" s="306">
        <f t="shared" si="53"/>
        <v>4758000</v>
      </c>
      <c r="H359" s="302">
        <f>(((2040000)+130000)+1188000)+1400000</f>
        <v>4758000</v>
      </c>
      <c r="I359" s="302">
        <v>0</v>
      </c>
      <c r="J359" s="302">
        <v>0</v>
      </c>
      <c r="K359" s="95" t="b">
        <f>H359+H360+H358='d3'!E398</f>
        <v>1</v>
      </c>
      <c r="L359" s="426" t="b">
        <f>I359+I360+I358='d3'!J398</f>
        <v>1</v>
      </c>
      <c r="M359" s="426" t="b">
        <f>J359+J360+J358='d3'!K398</f>
        <v>1</v>
      </c>
    </row>
    <row r="360" spans="1:13" ht="138.75" hidden="1" thickTop="1" thickBot="1" x14ac:dyDescent="0.25">
      <c r="A360" s="126" t="s">
        <v>258</v>
      </c>
      <c r="B360" s="126" t="s">
        <v>259</v>
      </c>
      <c r="C360" s="126" t="s">
        <v>257</v>
      </c>
      <c r="D360" s="126" t="s">
        <v>256</v>
      </c>
      <c r="E360" s="243" t="s">
        <v>1336</v>
      </c>
      <c r="F360" s="149" t="s">
        <v>420</v>
      </c>
      <c r="G360" s="244">
        <f t="shared" ref="G360:G367" si="54">H360+I360</f>
        <v>0</v>
      </c>
      <c r="H360" s="187">
        <v>0</v>
      </c>
      <c r="I360" s="187">
        <v>0</v>
      </c>
      <c r="J360" s="187">
        <v>0</v>
      </c>
      <c r="K360" s="137"/>
      <c r="L360" s="137"/>
      <c r="M360" s="249"/>
    </row>
    <row r="361" spans="1:13" ht="138.75" thickTop="1" thickBot="1" x14ac:dyDescent="0.25">
      <c r="A361" s="101" t="s">
        <v>250</v>
      </c>
      <c r="B361" s="101" t="s">
        <v>252</v>
      </c>
      <c r="C361" s="101" t="s">
        <v>212</v>
      </c>
      <c r="D361" s="101" t="s">
        <v>251</v>
      </c>
      <c r="E361" s="302" t="s">
        <v>1228</v>
      </c>
      <c r="F361" s="302" t="s">
        <v>846</v>
      </c>
      <c r="G361" s="306">
        <f t="shared" si="54"/>
        <v>398794.03</v>
      </c>
      <c r="H361" s="302">
        <f>(985000)-586205.97</f>
        <v>398794.03</v>
      </c>
      <c r="I361" s="302">
        <v>0</v>
      </c>
      <c r="J361" s="302">
        <v>0</v>
      </c>
      <c r="K361" s="95" t="b">
        <f>H361='d3'!E399</f>
        <v>1</v>
      </c>
      <c r="L361" s="426" t="b">
        <f>I361='d3'!J399</f>
        <v>1</v>
      </c>
      <c r="M361" s="426" t="b">
        <f>J361='d3'!K399</f>
        <v>1</v>
      </c>
    </row>
    <row r="362" spans="1:13" ht="138.75" hidden="1" thickTop="1" thickBot="1" x14ac:dyDescent="0.25">
      <c r="A362" s="126" t="s">
        <v>1253</v>
      </c>
      <c r="B362" s="126" t="s">
        <v>211</v>
      </c>
      <c r="C362" s="126" t="s">
        <v>212</v>
      </c>
      <c r="D362" s="126" t="s">
        <v>41</v>
      </c>
      <c r="E362" s="187" t="s">
        <v>1117</v>
      </c>
      <c r="F362" s="187" t="s">
        <v>1254</v>
      </c>
      <c r="G362" s="244">
        <f t="shared" si="54"/>
        <v>0</v>
      </c>
      <c r="H362" s="187">
        <f>'d3'!E400</f>
        <v>0</v>
      </c>
      <c r="I362" s="187">
        <f>'d3'!J400</f>
        <v>0</v>
      </c>
      <c r="J362" s="187">
        <f>'d3'!K400</f>
        <v>0</v>
      </c>
      <c r="K362" s="242"/>
      <c r="L362" s="249"/>
      <c r="M362" s="249"/>
    </row>
    <row r="363" spans="1:13" ht="138.75" hidden="1" thickTop="1" thickBot="1" x14ac:dyDescent="0.25">
      <c r="A363" s="126" t="s">
        <v>254</v>
      </c>
      <c r="B363" s="126" t="s">
        <v>255</v>
      </c>
      <c r="C363" s="126" t="s">
        <v>169</v>
      </c>
      <c r="D363" s="126" t="s">
        <v>253</v>
      </c>
      <c r="E363" s="187" t="s">
        <v>1117</v>
      </c>
      <c r="F363" s="187" t="s">
        <v>579</v>
      </c>
      <c r="G363" s="244">
        <f t="shared" si="54"/>
        <v>0</v>
      </c>
      <c r="H363" s="187"/>
      <c r="I363" s="187"/>
      <c r="J363" s="187"/>
    </row>
    <row r="364" spans="1:13" ht="138.75" hidden="1" thickTop="1" thickBot="1" x14ac:dyDescent="0.25">
      <c r="A364" s="41" t="s">
        <v>254</v>
      </c>
      <c r="B364" s="41" t="s">
        <v>255</v>
      </c>
      <c r="C364" s="41" t="s">
        <v>169</v>
      </c>
      <c r="D364" s="41" t="s">
        <v>253</v>
      </c>
      <c r="E364" s="246" t="s">
        <v>934</v>
      </c>
      <c r="F364" s="73" t="s">
        <v>935</v>
      </c>
      <c r="G364" s="247">
        <f t="shared" si="54"/>
        <v>0</v>
      </c>
      <c r="H364" s="73">
        <v>0</v>
      </c>
      <c r="I364" s="73">
        <v>0</v>
      </c>
      <c r="J364" s="73">
        <v>0</v>
      </c>
      <c r="K364" s="242"/>
      <c r="L364" s="249"/>
      <c r="M364" s="250"/>
    </row>
    <row r="365" spans="1:13" ht="195.75" customHeight="1" thickTop="1" thickBot="1" x14ac:dyDescent="0.25">
      <c r="A365" s="101" t="s">
        <v>254</v>
      </c>
      <c r="B365" s="101" t="s">
        <v>255</v>
      </c>
      <c r="C365" s="101" t="s">
        <v>169</v>
      </c>
      <c r="D365" s="101" t="s">
        <v>253</v>
      </c>
      <c r="E365" s="305" t="s">
        <v>1566</v>
      </c>
      <c r="F365" s="302" t="s">
        <v>1598</v>
      </c>
      <c r="G365" s="306">
        <f t="shared" si="54"/>
        <v>200000</v>
      </c>
      <c r="H365" s="302">
        <v>200000</v>
      </c>
      <c r="I365" s="302">
        <v>0</v>
      </c>
      <c r="J365" s="302">
        <v>0</v>
      </c>
      <c r="K365" s="95" t="b">
        <f>'d3'!E402=H363+H364+H365</f>
        <v>1</v>
      </c>
      <c r="L365" s="426" t="b">
        <f>'d3'!J402=I363+I364+I365</f>
        <v>1</v>
      </c>
      <c r="M365" s="426" t="b">
        <f>'d3'!K402=J363+J364+J365</f>
        <v>1</v>
      </c>
    </row>
    <row r="366" spans="1:13" ht="138.75" hidden="1" thickTop="1" thickBot="1" x14ac:dyDescent="0.25">
      <c r="A366" s="101" t="s">
        <v>1257</v>
      </c>
      <c r="B366" s="101" t="s">
        <v>1149</v>
      </c>
      <c r="C366" s="101" t="s">
        <v>1147</v>
      </c>
      <c r="D366" s="101" t="s">
        <v>1146</v>
      </c>
      <c r="E366" s="302" t="s">
        <v>1117</v>
      </c>
      <c r="F366" s="302" t="s">
        <v>1254</v>
      </c>
      <c r="G366" s="306">
        <f t="shared" ref="G366" si="55">H366+I366</f>
        <v>0</v>
      </c>
      <c r="H366" s="302">
        <f>'d3'!E405</f>
        <v>0</v>
      </c>
      <c r="I366" s="302">
        <f>'d3'!J405</f>
        <v>0</v>
      </c>
      <c r="J366" s="302">
        <f>'d3'!K405</f>
        <v>0</v>
      </c>
      <c r="K366" s="242"/>
      <c r="L366" s="249"/>
      <c r="M366" s="250"/>
    </row>
    <row r="367" spans="1:13" ht="138.75" hidden="1" thickTop="1" thickBot="1" x14ac:dyDescent="0.25">
      <c r="A367" s="126" t="s">
        <v>890</v>
      </c>
      <c r="B367" s="126" t="s">
        <v>359</v>
      </c>
      <c r="C367" s="126" t="s">
        <v>43</v>
      </c>
      <c r="D367" s="126" t="s">
        <v>360</v>
      </c>
      <c r="E367" s="243" t="s">
        <v>1237</v>
      </c>
      <c r="F367" s="187" t="s">
        <v>1238</v>
      </c>
      <c r="G367" s="244">
        <f t="shared" si="54"/>
        <v>0</v>
      </c>
      <c r="H367" s="187">
        <f>'d3'!E408</f>
        <v>0</v>
      </c>
      <c r="I367" s="187">
        <f>'d3'!J408</f>
        <v>0</v>
      </c>
      <c r="J367" s="187">
        <f>'d3'!K408</f>
        <v>0</v>
      </c>
      <c r="K367" s="242"/>
      <c r="L367" s="249"/>
      <c r="M367" s="250"/>
    </row>
    <row r="368" spans="1:13" ht="200.1" customHeight="1" thickTop="1" thickBot="1" x14ac:dyDescent="0.25">
      <c r="A368" s="585" t="s">
        <v>163</v>
      </c>
      <c r="B368" s="585"/>
      <c r="C368" s="585"/>
      <c r="D368" s="586" t="s">
        <v>870</v>
      </c>
      <c r="E368" s="585"/>
      <c r="F368" s="585"/>
      <c r="G368" s="587">
        <f>G369</f>
        <v>5478677.6299999999</v>
      </c>
      <c r="H368" s="587">
        <f t="shared" ref="H368:J368" si="56">H369</f>
        <v>0</v>
      </c>
      <c r="I368" s="587">
        <f t="shared" si="56"/>
        <v>5478677.6299999999</v>
      </c>
      <c r="J368" s="587">
        <f t="shared" si="56"/>
        <v>30000</v>
      </c>
      <c r="K368" s="95" t="b">
        <f>H368='d3'!E410-'d3'!E412+H370</f>
        <v>1</v>
      </c>
      <c r="L368" s="426" t="b">
        <f>I368='d3'!J410-'d3'!J412+'d7'!I370</f>
        <v>1</v>
      </c>
      <c r="M368" s="426" t="b">
        <f>J368='d3'!K410-'d3'!K412+'d7'!J370</f>
        <v>1</v>
      </c>
    </row>
    <row r="369" spans="1:15" ht="136.5" thickTop="1" thickBot="1" x14ac:dyDescent="0.25">
      <c r="A369" s="588" t="s">
        <v>164</v>
      </c>
      <c r="B369" s="588"/>
      <c r="C369" s="588"/>
      <c r="D369" s="589" t="s">
        <v>871</v>
      </c>
      <c r="E369" s="590"/>
      <c r="F369" s="590"/>
      <c r="G369" s="590">
        <f>SUM(G370:G374)</f>
        <v>5478677.6299999999</v>
      </c>
      <c r="H369" s="590">
        <f>SUM(H370:H374)</f>
        <v>0</v>
      </c>
      <c r="I369" s="590">
        <f>SUM(I370:I374)</f>
        <v>5478677.6299999999</v>
      </c>
      <c r="J369" s="590">
        <f>SUM(J370:J374)</f>
        <v>30000</v>
      </c>
      <c r="K369" s="137"/>
      <c r="L369" s="137"/>
      <c r="M369" s="137"/>
    </row>
    <row r="370" spans="1:15" ht="138.75" thickTop="1" thickBot="1" x14ac:dyDescent="0.25">
      <c r="A370" s="101" t="s">
        <v>417</v>
      </c>
      <c r="B370" s="101" t="s">
        <v>235</v>
      </c>
      <c r="C370" s="101" t="s">
        <v>233</v>
      </c>
      <c r="D370" s="101" t="s">
        <v>234</v>
      </c>
      <c r="E370" s="305" t="s">
        <v>1005</v>
      </c>
      <c r="F370" s="302" t="s">
        <v>841</v>
      </c>
      <c r="G370" s="302">
        <f>H370+I370</f>
        <v>30000</v>
      </c>
      <c r="H370" s="306">
        <v>0</v>
      </c>
      <c r="I370" s="302">
        <f>(0)+30000</f>
        <v>30000</v>
      </c>
      <c r="J370" s="302">
        <f>(0)+30000</f>
        <v>30000</v>
      </c>
      <c r="K370" s="137"/>
      <c r="L370" s="137"/>
      <c r="M370" s="137"/>
    </row>
    <row r="371" spans="1:15" ht="276" hidden="1" thickTop="1" thickBot="1" x14ac:dyDescent="0.25">
      <c r="A371" s="126" t="s">
        <v>624</v>
      </c>
      <c r="B371" s="126" t="s">
        <v>358</v>
      </c>
      <c r="C371" s="126" t="s">
        <v>616</v>
      </c>
      <c r="D371" s="126" t="s">
        <v>617</v>
      </c>
      <c r="E371" s="253" t="s">
        <v>866</v>
      </c>
      <c r="F371" s="254" t="s">
        <v>867</v>
      </c>
      <c r="G371" s="187">
        <f t="shared" ref="G371" si="57">H371+I371</f>
        <v>0</v>
      </c>
      <c r="H371" s="244">
        <f>'d3'!E413</f>
        <v>0</v>
      </c>
      <c r="I371" s="261"/>
      <c r="J371" s="261"/>
      <c r="K371" s="137"/>
      <c r="L371" s="137"/>
      <c r="M371" s="137"/>
    </row>
    <row r="372" spans="1:15" ht="138.75" thickTop="1" thickBot="1" x14ac:dyDescent="0.25">
      <c r="A372" s="101" t="s">
        <v>1089</v>
      </c>
      <c r="B372" s="101" t="s">
        <v>1090</v>
      </c>
      <c r="C372" s="101" t="s">
        <v>51</v>
      </c>
      <c r="D372" s="101" t="s">
        <v>1091</v>
      </c>
      <c r="E372" s="305" t="s">
        <v>1166</v>
      </c>
      <c r="F372" s="302" t="s">
        <v>933</v>
      </c>
      <c r="G372" s="306">
        <f t="shared" ref="G372:G374" si="58">H372+I372</f>
        <v>5348677.63</v>
      </c>
      <c r="H372" s="302">
        <f>'d3'!E416</f>
        <v>0</v>
      </c>
      <c r="I372" s="302">
        <f>(1900000)+3448677.63</f>
        <v>5348677.63</v>
      </c>
      <c r="J372" s="302">
        <f>'d3'!K416</f>
        <v>0</v>
      </c>
      <c r="K372" s="95" t="b">
        <f>H372+H373='d3'!E416</f>
        <v>1</v>
      </c>
      <c r="L372" s="95" t="b">
        <f>I372+I373='d3'!J416</f>
        <v>1</v>
      </c>
      <c r="M372" s="95" t="b">
        <f>J372+J373='d3'!K416</f>
        <v>1</v>
      </c>
    </row>
    <row r="373" spans="1:15" ht="138.75" thickTop="1" thickBot="1" x14ac:dyDescent="0.25">
      <c r="A373" s="101" t="s">
        <v>1089</v>
      </c>
      <c r="B373" s="101" t="s">
        <v>1090</v>
      </c>
      <c r="C373" s="101" t="s">
        <v>51</v>
      </c>
      <c r="D373" s="101" t="s">
        <v>1091</v>
      </c>
      <c r="E373" s="305" t="s">
        <v>1231</v>
      </c>
      <c r="F373" s="302" t="s">
        <v>1208</v>
      </c>
      <c r="G373" s="306">
        <f t="shared" si="58"/>
        <v>100000</v>
      </c>
      <c r="H373" s="302">
        <v>0</v>
      </c>
      <c r="I373" s="302">
        <f>(100000)</f>
        <v>100000</v>
      </c>
      <c r="J373" s="302">
        <v>0</v>
      </c>
      <c r="K373" s="137"/>
      <c r="L373" s="137"/>
      <c r="M373" s="137"/>
    </row>
    <row r="374" spans="1:15" ht="138.75" hidden="1" thickTop="1" thickBot="1" x14ac:dyDescent="0.25">
      <c r="A374" s="126" t="s">
        <v>1206</v>
      </c>
      <c r="B374" s="126" t="s">
        <v>509</v>
      </c>
      <c r="C374" s="126" t="s">
        <v>43</v>
      </c>
      <c r="D374" s="126" t="s">
        <v>510</v>
      </c>
      <c r="E374" s="243" t="s">
        <v>1231</v>
      </c>
      <c r="F374" s="187" t="s">
        <v>1208</v>
      </c>
      <c r="G374" s="244">
        <f t="shared" si="58"/>
        <v>0</v>
      </c>
      <c r="H374" s="187">
        <f>'d3'!E418</f>
        <v>0</v>
      </c>
      <c r="I374" s="187">
        <f>'d3'!J418</f>
        <v>0</v>
      </c>
      <c r="J374" s="187">
        <f>'d3'!K418</f>
        <v>0</v>
      </c>
      <c r="K374" s="137"/>
      <c r="L374" s="137"/>
      <c r="M374" s="137"/>
    </row>
    <row r="375" spans="1:15" ht="200.1" customHeight="1" thickTop="1" thickBot="1" x14ac:dyDescent="0.25">
      <c r="A375" s="585" t="s">
        <v>161</v>
      </c>
      <c r="B375" s="585"/>
      <c r="C375" s="585"/>
      <c r="D375" s="586" t="s">
        <v>881</v>
      </c>
      <c r="E375" s="585"/>
      <c r="F375" s="585"/>
      <c r="G375" s="587">
        <f>G376</f>
        <v>412000</v>
      </c>
      <c r="H375" s="587">
        <f t="shared" ref="H375:J375" si="59">H376</f>
        <v>290000</v>
      </c>
      <c r="I375" s="587">
        <f t="shared" si="59"/>
        <v>122000</v>
      </c>
      <c r="J375" s="587">
        <f t="shared" si="59"/>
        <v>122000</v>
      </c>
      <c r="K375" s="95" t="b">
        <f>H375='d3'!E420-'d3'!E422+H377</f>
        <v>1</v>
      </c>
      <c r="L375" s="426" t="b">
        <f>I375='d3'!J420-'d3'!J422+I377</f>
        <v>1</v>
      </c>
      <c r="M375" s="426" t="b">
        <f>J375='d3'!K420-'d3'!K422+J377</f>
        <v>1</v>
      </c>
    </row>
    <row r="376" spans="1:15" ht="199.5" customHeight="1" thickTop="1" thickBot="1" x14ac:dyDescent="0.25">
      <c r="A376" s="588" t="s">
        <v>162</v>
      </c>
      <c r="B376" s="588"/>
      <c r="C376" s="588"/>
      <c r="D376" s="589" t="s">
        <v>882</v>
      </c>
      <c r="E376" s="590"/>
      <c r="F376" s="590"/>
      <c r="G376" s="590">
        <f>SUM(G377:G380)</f>
        <v>412000</v>
      </c>
      <c r="H376" s="590">
        <f>SUM(H377:H380)</f>
        <v>290000</v>
      </c>
      <c r="I376" s="590">
        <f>SUM(I377:I380)</f>
        <v>122000</v>
      </c>
      <c r="J376" s="590">
        <f>SUM(J377:J380)</f>
        <v>122000</v>
      </c>
      <c r="K376" s="137"/>
      <c r="L376" s="137"/>
      <c r="M376" s="137"/>
    </row>
    <row r="377" spans="1:15" ht="138.75" thickTop="1" thickBot="1" x14ac:dyDescent="0.25">
      <c r="A377" s="101" t="s">
        <v>413</v>
      </c>
      <c r="B377" s="101" t="s">
        <v>235</v>
      </c>
      <c r="C377" s="101" t="s">
        <v>233</v>
      </c>
      <c r="D377" s="101" t="s">
        <v>234</v>
      </c>
      <c r="E377" s="305" t="s">
        <v>1005</v>
      </c>
      <c r="F377" s="302" t="s">
        <v>841</v>
      </c>
      <c r="G377" s="302">
        <f>H377+I377</f>
        <v>112000</v>
      </c>
      <c r="H377" s="306">
        <v>0</v>
      </c>
      <c r="I377" s="302">
        <f>(0)+112000</f>
        <v>112000</v>
      </c>
      <c r="J377" s="302">
        <f>(0)+112000</f>
        <v>112000</v>
      </c>
      <c r="K377" s="137"/>
      <c r="L377" s="137"/>
      <c r="M377" s="137"/>
    </row>
    <row r="378" spans="1:15" ht="138.75" thickTop="1" thickBot="1" x14ac:dyDescent="0.25">
      <c r="A378" s="101" t="s">
        <v>304</v>
      </c>
      <c r="B378" s="101" t="s">
        <v>305</v>
      </c>
      <c r="C378" s="101" t="s">
        <v>306</v>
      </c>
      <c r="D378" s="101" t="s">
        <v>456</v>
      </c>
      <c r="E378" s="305" t="s">
        <v>1566</v>
      </c>
      <c r="F378" s="302" t="s">
        <v>1598</v>
      </c>
      <c r="G378" s="306">
        <f t="shared" ref="G378:G380" si="60">H378+I378</f>
        <v>290000</v>
      </c>
      <c r="H378" s="302">
        <f>((90000)+50000)+150000</f>
        <v>290000</v>
      </c>
      <c r="I378" s="302">
        <f>'d3'!J425</f>
        <v>0</v>
      </c>
      <c r="J378" s="302">
        <f>'d3'!K425</f>
        <v>0</v>
      </c>
      <c r="K378" s="302"/>
      <c r="L378" s="137"/>
      <c r="M378" s="137"/>
    </row>
    <row r="379" spans="1:15" ht="138.75" hidden="1" thickTop="1" thickBot="1" x14ac:dyDescent="0.25">
      <c r="A379" s="126" t="s">
        <v>304</v>
      </c>
      <c r="B379" s="126" t="s">
        <v>305</v>
      </c>
      <c r="C379" s="126" t="s">
        <v>306</v>
      </c>
      <c r="D379" s="126" t="s">
        <v>456</v>
      </c>
      <c r="E379" s="243" t="s">
        <v>1166</v>
      </c>
      <c r="F379" s="187" t="s">
        <v>933</v>
      </c>
      <c r="G379" s="244">
        <f t="shared" si="60"/>
        <v>0</v>
      </c>
      <c r="H379" s="692"/>
      <c r="I379" s="187">
        <v>0</v>
      </c>
      <c r="J379" s="187">
        <v>0</v>
      </c>
      <c r="K379" s="137"/>
      <c r="L379" s="137"/>
      <c r="M379" s="137"/>
    </row>
    <row r="380" spans="1:15" ht="138.75" thickTop="1" thickBot="1" x14ac:dyDescent="1.2">
      <c r="A380" s="101" t="s">
        <v>364</v>
      </c>
      <c r="B380" s="101" t="s">
        <v>365</v>
      </c>
      <c r="C380" s="101" t="s">
        <v>169</v>
      </c>
      <c r="D380" s="101" t="s">
        <v>366</v>
      </c>
      <c r="E380" s="305" t="s">
        <v>1566</v>
      </c>
      <c r="F380" s="302" t="s">
        <v>1598</v>
      </c>
      <c r="G380" s="306">
        <f t="shared" si="60"/>
        <v>10000</v>
      </c>
      <c r="H380" s="302">
        <f>'d3'!E427</f>
        <v>0</v>
      </c>
      <c r="I380" s="302">
        <f>'d3'!J427</f>
        <v>10000</v>
      </c>
      <c r="J380" s="302">
        <f>'d3'!K427</f>
        <v>10000</v>
      </c>
      <c r="K380" s="526" t="b">
        <f>G387=G386+G385+G380+G379+G378+G372+G366+G361+G359+G358+G357+G356+G355+G354+G350+G345+G343+G341+G338+G327+G320+G318+G317+G309+G308+G305+G295+G294+G286+G285+G280+G279+G278+G276+G273+G271+G270+G268+G264+G260+G259+G256+G255+G251+G250+G246+G244+G240+G236+G226+G225+G224+G222+G220+G219+G218+G217+G216+G214+G207+G206+G205+G204+G203+G202+G199+G197+G194+G192+G185+G184+G183+G182+G181+G180+G179+G178+G176+G175+G174+G172+G171+G170+G169+G168+G167+G166+G164+G161+G159+G158+G157+G156+G155+G154+G153+G152+G151+G150+G137+G133+G132+G131+G129+G125+G124+G123+G121+G112+G109+G106+G98+G89+G87+G85+G84+G83+G80+G77+G75+G74+G73+G71+G67+G64+G50+G49+G48+G47+G46+G45+G41+G40+G38+G37+G33+G31+G27+G24+G22+G17+G173+G108+G107+G94+G93+G92+G88+G373+G30+G44+G105+G104+G111+G135+G139+G163+G239+G241+G248+G257+G254+G272+G296+G321+G319+G337+G344+G349+G53+G52+G51+G223+G25+G55+G334+G370+G377+G136+G102+G238+G277+G275+G311+G302+G227+G281+G221+G195+G177+G165+G160+G126+G68+G65+G32+G54+G103+G282+G284+G283+G297+G383+G35+G113+G143+G231+G365+G59</f>
        <v>1</v>
      </c>
      <c r="L380" s="526" t="b">
        <f>H387=H386+H385+H380+H379+H378+H372+H366+H361+H359+H358+H357+H356+H355+H354+H350+H345+H343+H341+H338+H327+H320+H318+H317+H309+H308+H305+H295+H294+H286+H285+H280+H279+H278+H276+H273+H271+H270+H268+H264+H260+H259+H256+H255+H251+H250+H246+H244+H240+H236+H226+H225+H224+H222+H220+H219+H218+H217+H216+H214+H207+H206+H205+H204+H203+H202+H199+H197+H194+H192+H185+H184+H183+H182+H181+H180+H179+H178+H176+H175+H174+H172+H171+H170+H169+H168+H167+H166+H164+H161+H159+H158+H157+H156+H155+H154+H153+H152+H151+H150+H137+H133+H132+H131+H129+H125+H124+H123+H121+H112+H109+H106+H98+H89+H87+H85+H84+H83+H80+H77+H75+H74+H73+H71+H67+H64+H50+H49+H48+H47+H46+H45+H41+H40+H38+H37+H33+H31+H27+H24+H22+H17+H173+H108+H107+H94+H93+H92+H88+H373+H30+H44+H105+H104+H111+H135+H139+H163+H239+H241+H248+H257+H254+H272+H296+H321+H319+H337+H344+H349+H53+H52+H51+H223+H25+H55+H334+H370+H377+H136+H102+H238+H277+H275+H311+H302+H227+H281+H221+H195+H177+H165+H160+H126+H68+H65+H32+H54+H103+H282+H284+H283+H297+H383+H35+H113+H143+H231+H365+H59</f>
        <v>1</v>
      </c>
      <c r="M380" s="526" t="b">
        <f>I387=I386+I385+I380+I379+I378+I372+I366+I361+I359+I358+I357+I356+I355+I354+I350+I345+I343+I341+I338+I327+I320+I318+I317+I309+I308+I305+I295+I294+I286+I285+I280+I279+I278+I276+I273+I271+I270+I268+I264+I260+I259+I256+I255+I251+I250+I246+I244+I240+I236+I226+I225+I224+I222+I220+I219+I218+I217+I216+I214+I207+I206+I205+I204+I203+I202+I199+I197+I194+I192+I185+I184+I183+I182+I181+I180+I179+I178+I176+I175+I174+I172+I171+I170+I169+I168+I167+I166+I164+I161+I159+I158+I157+I156+I155+I154+I153+I152+I151+I150+I137+I133+I132+I131+I129+I125+I124+I123+I121+I112+I109+I106+I98+I89+I87+I85+I84+I83+I80+I77+I75+I74+I73+I71+I67+I64+I50+I49+I48+I47+I46+I45+I41+I40+I38+I37+I33+I31+I27+I24+I22+I17+I173+I108+I107+I94+I93+I92+I88+I373+I30+I44+I105+I104+I111+I135+I139+I163+I239+I241+I248+I257+I254+I272+I296+I321+I319+I337+I344+I349+I53+I52+I51+I223+I25+I55+I334+I370+I377+I136+I102+I238+I277+I275+I311+I302+I227+I281+I221+I195+I177+I165+I160+I126+I68+I65+I32+I54+I103+I282+I284+I283+I297+I383+I35+I113+I143+I231+I365+I59</f>
        <v>1</v>
      </c>
      <c r="N380" s="526" t="b">
        <f>J387=J386+J385+J380+J379+J378+J372+J366+J361+J359+J358+J357+J356+J355+J354+J350+J345+J343+J341+J338+J327+J320+J318+J317+J309+J308+J305+J295+J294+J286+J285+J280+J279+J278+J276+J273+J271+J270+J268+J264+J260+J259+J256+J255+J251+J250+J246+J244+J240+J236+J226+J225+J224+J222+J220+J219+J218+J217+J216+J214+J207+J206+J205+J204+J203+J202+J199+J197+J194+J192+J185+J184+J183+J182+J181+J180+J179+J178+J176+J175+J174+J172+J171+J170+J169+J168+J167+J166+J164+J161+J159+J158+J157+J156+J155+J154+J153+J152+J151+J150+J137+J133+J132+J131+J129+J125+J124+J123+J121+J112+J109+J106+J98+J89+J87+J85+J84+J83+J80+J77+J75+J74+J73+J71+J67+J64+J50+J49+J48+J47+J46+J45+J41+J40+J38+J37+J33+J31+J27+J24+J22+J17+J173+J108+J107+J94+J93+J92+J88+J373+J30+J44+J105+J104+J111+J135+J139+J163+J239+J241+J248+J257+J254+J272+J296+J321+J319+J337+J344+J349+J53+J52+J51+J223+J25+J55+J334+J370+J377+J136+J102+J238+J277+J275+J311+J302+J227+J281+J221+J195+J177+J165+J160+J126+J68+J65+J32+J54+J103+J282+J284+J283+J297+J383+J35+J113+J143+J231+J365+J59</f>
        <v>1</v>
      </c>
    </row>
    <row r="381" spans="1:15" ht="170.45" customHeight="1" thickTop="1" thickBot="1" x14ac:dyDescent="0.25">
      <c r="A381" s="585" t="s">
        <v>167</v>
      </c>
      <c r="B381" s="585"/>
      <c r="C381" s="585"/>
      <c r="D381" s="586" t="s">
        <v>27</v>
      </c>
      <c r="E381" s="585"/>
      <c r="F381" s="585"/>
      <c r="G381" s="587">
        <f>G382</f>
        <v>28744583.5</v>
      </c>
      <c r="H381" s="587">
        <f t="shared" ref="H381:J381" si="61">H382</f>
        <v>773346</v>
      </c>
      <c r="I381" s="587">
        <f t="shared" si="61"/>
        <v>27971237.5</v>
      </c>
      <c r="J381" s="587">
        <f t="shared" si="61"/>
        <v>27971237.5</v>
      </c>
      <c r="K381" s="137"/>
      <c r="L381" s="137"/>
      <c r="M381" s="137"/>
    </row>
    <row r="382" spans="1:15" ht="170.45" customHeight="1" thickTop="1" thickBot="1" x14ac:dyDescent="0.25">
      <c r="A382" s="588" t="s">
        <v>168</v>
      </c>
      <c r="B382" s="588"/>
      <c r="C382" s="588"/>
      <c r="D382" s="589" t="s">
        <v>40</v>
      </c>
      <c r="E382" s="590"/>
      <c r="F382" s="590"/>
      <c r="G382" s="590">
        <f>SUM(G383:G386)</f>
        <v>28744583.5</v>
      </c>
      <c r="H382" s="590">
        <f t="shared" ref="H382:J382" si="62">SUM(H383:H386)</f>
        <v>773346</v>
      </c>
      <c r="I382" s="590">
        <f>SUM(I383:I386)</f>
        <v>27971237.5</v>
      </c>
      <c r="J382" s="590">
        <f t="shared" si="62"/>
        <v>27971237.5</v>
      </c>
      <c r="K382" s="137"/>
      <c r="L382" s="137"/>
      <c r="M382" s="137"/>
    </row>
    <row r="383" spans="1:15" ht="138.75" thickTop="1" thickBot="1" x14ac:dyDescent="0.25">
      <c r="A383" s="101" t="s">
        <v>415</v>
      </c>
      <c r="B383" s="101" t="s">
        <v>235</v>
      </c>
      <c r="C383" s="101" t="s">
        <v>233</v>
      </c>
      <c r="D383" s="101" t="s">
        <v>234</v>
      </c>
      <c r="E383" s="305" t="s">
        <v>1005</v>
      </c>
      <c r="F383" s="302" t="s">
        <v>841</v>
      </c>
      <c r="G383" s="302">
        <f t="shared" ref="G383:G386" si="63">H383+I383</f>
        <v>95000</v>
      </c>
      <c r="H383" s="306">
        <f>0</f>
        <v>0</v>
      </c>
      <c r="I383" s="423">
        <v>95000</v>
      </c>
      <c r="J383" s="423">
        <v>95000</v>
      </c>
      <c r="K383" s="137"/>
      <c r="L383" s="137"/>
      <c r="M383" s="137"/>
    </row>
    <row r="384" spans="1:15" ht="276" hidden="1" thickTop="1" thickBot="1" x14ac:dyDescent="1.2">
      <c r="A384" s="126" t="s">
        <v>625</v>
      </c>
      <c r="B384" s="126" t="s">
        <v>358</v>
      </c>
      <c r="C384" s="126" t="s">
        <v>616</v>
      </c>
      <c r="D384" s="126" t="s">
        <v>617</v>
      </c>
      <c r="E384" s="243" t="s">
        <v>1136</v>
      </c>
      <c r="F384" s="187" t="s">
        <v>1137</v>
      </c>
      <c r="G384" s="187">
        <f t="shared" si="63"/>
        <v>0</v>
      </c>
      <c r="H384" s="244">
        <f>'d3'!E432</f>
        <v>0</v>
      </c>
      <c r="I384" s="261">
        <v>0</v>
      </c>
      <c r="J384" s="261">
        <v>0</v>
      </c>
      <c r="O384" s="266"/>
    </row>
    <row r="385" spans="1:17" ht="138.75" thickTop="1" thickBot="1" x14ac:dyDescent="1.2">
      <c r="A385" s="101">
        <v>3718600</v>
      </c>
      <c r="B385" s="101">
        <v>8600</v>
      </c>
      <c r="C385" s="101" t="s">
        <v>358</v>
      </c>
      <c r="D385" s="101" t="s">
        <v>447</v>
      </c>
      <c r="E385" s="305" t="s">
        <v>1566</v>
      </c>
      <c r="F385" s="302" t="s">
        <v>1598</v>
      </c>
      <c r="G385" s="302">
        <f t="shared" si="63"/>
        <v>773346</v>
      </c>
      <c r="H385" s="306">
        <f>'d3'!E437</f>
        <v>773346</v>
      </c>
      <c r="I385" s="423">
        <f>'d3'!J437</f>
        <v>0</v>
      </c>
      <c r="J385" s="423">
        <f>'d3'!K437</f>
        <v>0</v>
      </c>
      <c r="O385" s="266"/>
    </row>
    <row r="386" spans="1:17" ht="138.75" thickTop="1" thickBot="1" x14ac:dyDescent="1.2">
      <c r="A386" s="101" t="s">
        <v>1309</v>
      </c>
      <c r="B386" s="101" t="s">
        <v>1310</v>
      </c>
      <c r="C386" s="101" t="s">
        <v>169</v>
      </c>
      <c r="D386" s="101" t="s">
        <v>1116</v>
      </c>
      <c r="E386" s="305" t="s">
        <v>1566</v>
      </c>
      <c r="F386" s="302" t="s">
        <v>1598</v>
      </c>
      <c r="G386" s="302">
        <f t="shared" si="63"/>
        <v>27876237.5</v>
      </c>
      <c r="H386" s="306">
        <f>'d4'!F25</f>
        <v>0</v>
      </c>
      <c r="I386" s="423">
        <f>'d4'!G26</f>
        <v>27876237.5</v>
      </c>
      <c r="J386" s="423">
        <f>'d4'!H26</f>
        <v>27876237.5</v>
      </c>
      <c r="O386" s="266"/>
    </row>
    <row r="387" spans="1:17" ht="91.5" thickTop="1" thickBot="1" x14ac:dyDescent="1.2">
      <c r="A387" s="684" t="s">
        <v>377</v>
      </c>
      <c r="B387" s="684" t="s">
        <v>377</v>
      </c>
      <c r="C387" s="684" t="s">
        <v>377</v>
      </c>
      <c r="D387" s="683" t="s">
        <v>387</v>
      </c>
      <c r="E387" s="684" t="s">
        <v>377</v>
      </c>
      <c r="F387" s="684" t="s">
        <v>377</v>
      </c>
      <c r="G387" s="685">
        <f>G16+G63+G212+G117+G145+G191+G313+G353+G369+G376+G340+G333+G267+G235+G382</f>
        <v>5066850757.0800009</v>
      </c>
      <c r="H387" s="685">
        <f>H16+H63+H212+H117+H145+H191+H313+H353+H369+H376+H340+H333+H267+H235+H382</f>
        <v>3992471085.5900006</v>
      </c>
      <c r="I387" s="685">
        <f>I16+I63+I212+I117+I145+I191+I313+I353+I369+I376+I340+I333+I267+I235+I382</f>
        <v>1074379671.49</v>
      </c>
      <c r="J387" s="685">
        <f>J16+J63+J212+J117+J145+J191+J313+J353+J369+J376+J340+J333+J267+J235+J382</f>
        <v>735154587.98000002</v>
      </c>
      <c r="K387" s="524" t="b">
        <f>G387=H387+I387</f>
        <v>1</v>
      </c>
      <c r="L387" s="525" t="b">
        <f>'d3'!K446-'d3'!K180-'d3'!J184-'d3'!J186+'d4'!P25=J387+50000+23400+44763277.1+17000+15857130</f>
        <v>1</v>
      </c>
      <c r="M387" s="137"/>
    </row>
    <row r="388" spans="1:17" ht="31.7" customHeight="1" thickTop="1" x14ac:dyDescent="0.2">
      <c r="A388" s="786" t="s">
        <v>1430</v>
      </c>
      <c r="B388" s="787"/>
      <c r="C388" s="787"/>
      <c r="D388" s="787"/>
      <c r="E388" s="787"/>
      <c r="F388" s="787"/>
      <c r="G388" s="787"/>
      <c r="H388" s="787"/>
      <c r="I388" s="787"/>
      <c r="J388" s="787"/>
      <c r="L388" s="897" t="s">
        <v>1734</v>
      </c>
      <c r="M388" s="897"/>
      <c r="N388" s="897"/>
      <c r="O388" s="897"/>
      <c r="P388" s="897"/>
    </row>
    <row r="389" spans="1:17" ht="4.7" customHeight="1" x14ac:dyDescent="0.2">
      <c r="A389" s="15"/>
      <c r="B389" s="16"/>
      <c r="C389" s="16"/>
      <c r="D389" s="16"/>
      <c r="E389" s="16"/>
      <c r="F389" s="16"/>
      <c r="G389" s="16"/>
      <c r="H389" s="16"/>
      <c r="I389" s="16"/>
      <c r="J389" s="16"/>
      <c r="L389" s="897"/>
      <c r="M389" s="897"/>
      <c r="N389" s="897"/>
      <c r="O389" s="897"/>
      <c r="P389" s="897"/>
    </row>
    <row r="390" spans="1:17" ht="45.75" customHeight="1" x14ac:dyDescent="0.55000000000000004">
      <c r="A390" s="15"/>
      <c r="B390" s="16"/>
      <c r="C390" s="16"/>
      <c r="D390" s="904"/>
      <c r="E390" s="785"/>
      <c r="F390" s="333"/>
      <c r="G390" s="333"/>
      <c r="H390" s="17"/>
      <c r="I390" s="17"/>
      <c r="J390" s="17"/>
      <c r="K390" s="267"/>
      <c r="L390" s="897"/>
      <c r="M390" s="897"/>
      <c r="N390" s="897"/>
      <c r="O390" s="897"/>
      <c r="P390" s="897"/>
      <c r="Q390" s="269"/>
    </row>
    <row r="391" spans="1:17" ht="45.75" hidden="1" x14ac:dyDescent="0.55000000000000004">
      <c r="A391" s="76"/>
      <c r="B391" s="76"/>
      <c r="C391" s="76"/>
      <c r="D391" s="904" t="s">
        <v>1649</v>
      </c>
      <c r="E391" s="785"/>
      <c r="F391" s="333"/>
      <c r="G391" s="333" t="s">
        <v>1650</v>
      </c>
      <c r="H391" s="2"/>
      <c r="I391" s="2"/>
      <c r="J391" s="2"/>
      <c r="K391" s="193"/>
      <c r="L391" s="897"/>
      <c r="M391" s="897"/>
      <c r="N391" s="897"/>
      <c r="O391" s="897"/>
      <c r="P391" s="897"/>
      <c r="Q391" s="269"/>
    </row>
    <row r="392" spans="1:17" ht="45.75" hidden="1" x14ac:dyDescent="0.65">
      <c r="A392" s="76"/>
      <c r="B392" s="76"/>
      <c r="C392" s="76"/>
      <c r="D392" s="3" t="s">
        <v>1409</v>
      </c>
      <c r="E392" s="303"/>
      <c r="F392" s="3"/>
      <c r="G392" s="3" t="s">
        <v>1377</v>
      </c>
      <c r="H392" s="2"/>
      <c r="I392" s="2"/>
      <c r="J392" s="2"/>
      <c r="K392" s="193"/>
      <c r="L392" s="897"/>
      <c r="M392" s="897"/>
      <c r="N392" s="897"/>
      <c r="O392" s="897"/>
      <c r="P392" s="897"/>
      <c r="Q392" s="269"/>
    </row>
    <row r="393" spans="1:17" ht="93.75" customHeight="1" x14ac:dyDescent="0.65">
      <c r="A393" s="76"/>
      <c r="B393" s="76"/>
      <c r="C393" s="76"/>
      <c r="D393" s="959" t="s">
        <v>1751</v>
      </c>
      <c r="E393" s="960"/>
      <c r="F393" s="3"/>
      <c r="G393" s="957" t="s">
        <v>1750</v>
      </c>
      <c r="H393" s="2"/>
      <c r="I393" s="2"/>
      <c r="J393" s="2"/>
      <c r="K393" s="193"/>
      <c r="L393" s="897"/>
      <c r="M393" s="897"/>
      <c r="N393" s="897"/>
      <c r="O393" s="897"/>
      <c r="P393" s="897"/>
      <c r="Q393" s="269"/>
    </row>
    <row r="394" spans="1:17" ht="120.75" customHeight="1" x14ac:dyDescent="0.65">
      <c r="A394" s="75"/>
      <c r="B394" s="75"/>
      <c r="C394" s="75"/>
      <c r="D394" s="903" t="s">
        <v>516</v>
      </c>
      <c r="E394" s="785"/>
      <c r="F394" s="3"/>
      <c r="G394" s="3" t="s">
        <v>1290</v>
      </c>
      <c r="H394" s="327"/>
      <c r="I394" s="328"/>
      <c r="J394" s="329"/>
      <c r="K394" s="122"/>
      <c r="L394" s="897"/>
      <c r="M394" s="897"/>
      <c r="N394" s="897"/>
      <c r="O394" s="897"/>
      <c r="P394" s="897"/>
      <c r="Q394" s="6"/>
    </row>
    <row r="395" spans="1:17" ht="45.75" customHeight="1" x14ac:dyDescent="0.65">
      <c r="D395" s="873"/>
      <c r="E395" s="873"/>
      <c r="F395" s="873"/>
      <c r="G395" s="873"/>
      <c r="H395" s="873"/>
      <c r="I395" s="873"/>
      <c r="J395" s="873"/>
      <c r="K395" s="122"/>
      <c r="L395" s="897"/>
      <c r="M395" s="897"/>
      <c r="N395" s="897"/>
      <c r="O395" s="897"/>
      <c r="P395" s="897"/>
      <c r="Q395" s="6"/>
    </row>
    <row r="396" spans="1:17" ht="12.75" customHeight="1" x14ac:dyDescent="0.2">
      <c r="E396" s="271"/>
      <c r="F396" s="272"/>
      <c r="L396" s="897"/>
      <c r="M396" s="897"/>
      <c r="N396" s="897"/>
      <c r="O396" s="897"/>
      <c r="P396" s="897"/>
    </row>
    <row r="397" spans="1:17" ht="12.75" customHeight="1" x14ac:dyDescent="0.2">
      <c r="E397" s="271"/>
      <c r="F397" s="272"/>
      <c r="L397" s="897"/>
      <c r="M397" s="897"/>
      <c r="N397" s="897"/>
      <c r="O397" s="897"/>
      <c r="P397" s="897"/>
    </row>
    <row r="398" spans="1:17" ht="62.45" customHeight="1" x14ac:dyDescent="0.8">
      <c r="A398" s="13"/>
      <c r="B398" s="13"/>
      <c r="C398" s="13"/>
      <c r="D398" s="13"/>
      <c r="E398" s="269"/>
      <c r="F398" s="268"/>
      <c r="I398" s="13"/>
      <c r="J398" s="274"/>
      <c r="L398" s="897"/>
      <c r="M398" s="897"/>
      <c r="N398" s="897"/>
      <c r="O398" s="897"/>
      <c r="P398" s="897"/>
    </row>
    <row r="399" spans="1:17" ht="45.75" customHeight="1" x14ac:dyDescent="0.2">
      <c r="E399" s="275"/>
      <c r="F399" s="270"/>
      <c r="L399" s="897"/>
      <c r="M399" s="897"/>
      <c r="N399" s="897"/>
      <c r="O399" s="897"/>
      <c r="P399" s="897"/>
    </row>
    <row r="400" spans="1:17" ht="45.75" customHeight="1" x14ac:dyDescent="0.2">
      <c r="A400" s="13"/>
      <c r="B400" s="13"/>
      <c r="C400" s="13"/>
      <c r="D400" s="13"/>
      <c r="E400" s="269"/>
      <c r="F400" s="268"/>
      <c r="I400" s="13"/>
      <c r="J400" s="13"/>
      <c r="L400" s="897"/>
      <c r="M400" s="897"/>
      <c r="N400" s="897"/>
      <c r="O400" s="897"/>
      <c r="P400" s="897"/>
    </row>
    <row r="401" spans="1:16" ht="45.75" customHeight="1" x14ac:dyDescent="0.2">
      <c r="E401" s="275"/>
      <c r="F401" s="270"/>
      <c r="L401" s="897"/>
      <c r="M401" s="897"/>
      <c r="N401" s="897"/>
      <c r="O401" s="897"/>
      <c r="P401" s="897"/>
    </row>
    <row r="402" spans="1:16" ht="45.75" customHeight="1" x14ac:dyDescent="0.2">
      <c r="E402" s="275"/>
      <c r="F402" s="270"/>
      <c r="L402" s="897"/>
      <c r="M402" s="897"/>
      <c r="N402" s="897"/>
      <c r="O402" s="897"/>
      <c r="P402" s="897"/>
    </row>
    <row r="403" spans="1:16" ht="45.75" customHeight="1" x14ac:dyDescent="0.2">
      <c r="E403" s="275"/>
      <c r="F403" s="270"/>
      <c r="L403" s="897"/>
      <c r="M403" s="897"/>
      <c r="N403" s="897"/>
      <c r="O403" s="897"/>
      <c r="P403" s="897"/>
    </row>
    <row r="404" spans="1:16" ht="45.75" customHeight="1" x14ac:dyDescent="0.2">
      <c r="A404" s="13"/>
      <c r="B404" s="13"/>
      <c r="C404" s="13"/>
      <c r="D404" s="13"/>
      <c r="E404" s="275"/>
      <c r="F404" s="270"/>
      <c r="G404" s="13"/>
      <c r="H404" s="13"/>
      <c r="I404" s="13"/>
      <c r="J404" s="13"/>
      <c r="L404" s="897"/>
      <c r="M404" s="897"/>
      <c r="N404" s="897"/>
      <c r="O404" s="897"/>
      <c r="P404" s="897"/>
    </row>
    <row r="405" spans="1:16" ht="45.75" customHeight="1" x14ac:dyDescent="0.2">
      <c r="A405" s="13"/>
      <c r="B405" s="13"/>
      <c r="C405" s="13"/>
      <c r="D405" s="13"/>
      <c r="E405" s="275"/>
      <c r="F405" s="270"/>
      <c r="G405" s="13"/>
      <c r="H405" s="13"/>
      <c r="I405" s="13"/>
      <c r="J405" s="13"/>
      <c r="L405" s="897"/>
      <c r="M405" s="897"/>
      <c r="N405" s="897"/>
      <c r="O405" s="897"/>
      <c r="P405" s="897"/>
    </row>
    <row r="406" spans="1:16" ht="45.75" customHeight="1" x14ac:dyDescent="0.2">
      <c r="A406" s="13"/>
      <c r="B406" s="13"/>
      <c r="C406" s="13"/>
      <c r="D406" s="13"/>
      <c r="E406" s="275"/>
      <c r="F406" s="270"/>
      <c r="G406" s="13"/>
      <c r="H406" s="13"/>
      <c r="I406" s="13"/>
      <c r="J406" s="13"/>
      <c r="L406" s="897"/>
      <c r="M406" s="897"/>
      <c r="N406" s="897"/>
      <c r="O406" s="897"/>
      <c r="P406" s="897"/>
    </row>
    <row r="407" spans="1:16" ht="45.75" customHeight="1" x14ac:dyDescent="0.2">
      <c r="A407" s="13"/>
      <c r="B407" s="13"/>
      <c r="C407" s="13"/>
      <c r="D407" s="13"/>
      <c r="E407" s="275"/>
      <c r="F407" s="270"/>
      <c r="G407" s="13"/>
      <c r="H407" s="13"/>
      <c r="I407" s="13"/>
      <c r="J407" s="13"/>
      <c r="L407" s="897"/>
      <c r="M407" s="897"/>
      <c r="N407" s="897"/>
      <c r="O407" s="897"/>
      <c r="P407" s="897"/>
    </row>
    <row r="408" spans="1:16" ht="12.75" customHeight="1" x14ac:dyDescent="0.2">
      <c r="L408" s="897"/>
      <c r="M408" s="897"/>
      <c r="N408" s="897"/>
      <c r="O408" s="897"/>
      <c r="P408" s="897"/>
    </row>
    <row r="409" spans="1:16" ht="12.75" customHeight="1" x14ac:dyDescent="0.2">
      <c r="L409" s="897"/>
      <c r="M409" s="897"/>
      <c r="N409" s="897"/>
      <c r="O409" s="897"/>
      <c r="P409" s="897"/>
    </row>
    <row r="410" spans="1:16" ht="12.75" customHeight="1" x14ac:dyDescent="0.2">
      <c r="L410" s="897"/>
      <c r="M410" s="897"/>
      <c r="N410" s="897"/>
      <c r="O410" s="897"/>
      <c r="P410" s="897"/>
    </row>
    <row r="411" spans="1:16" ht="12.75" customHeight="1" x14ac:dyDescent="0.2">
      <c r="L411" s="897"/>
      <c r="M411" s="897"/>
      <c r="N411" s="897"/>
      <c r="O411" s="897"/>
      <c r="P411" s="897"/>
    </row>
    <row r="412" spans="1:16" ht="12.75" customHeight="1" x14ac:dyDescent="0.2">
      <c r="L412" s="897"/>
      <c r="M412" s="897"/>
      <c r="N412" s="897"/>
      <c r="O412" s="897"/>
      <c r="P412" s="897"/>
    </row>
    <row r="413" spans="1:16" ht="12.75" customHeight="1" x14ac:dyDescent="0.2">
      <c r="L413" s="897"/>
      <c r="M413" s="897"/>
      <c r="N413" s="897"/>
      <c r="O413" s="897"/>
      <c r="P413" s="897"/>
    </row>
    <row r="414" spans="1:16" ht="12.75" customHeight="1" x14ac:dyDescent="0.2">
      <c r="L414" s="897"/>
      <c r="M414" s="897"/>
      <c r="N414" s="897"/>
      <c r="O414" s="897"/>
      <c r="P414" s="897"/>
    </row>
    <row r="415" spans="1:16" ht="12.75" customHeight="1" x14ac:dyDescent="0.2">
      <c r="L415" s="897"/>
      <c r="M415" s="897"/>
      <c r="N415" s="897"/>
      <c r="O415" s="897"/>
      <c r="P415" s="897"/>
    </row>
    <row r="416" spans="1:16" ht="12.75" customHeight="1" x14ac:dyDescent="0.2">
      <c r="L416" s="897"/>
      <c r="M416" s="897"/>
      <c r="N416" s="897"/>
      <c r="O416" s="897"/>
      <c r="P416" s="897"/>
    </row>
    <row r="417" spans="12:16" ht="12.75" customHeight="1" x14ac:dyDescent="0.2">
      <c r="L417" s="897"/>
      <c r="M417" s="897"/>
      <c r="N417" s="897"/>
      <c r="O417" s="897"/>
      <c r="P417" s="897"/>
    </row>
    <row r="418" spans="12:16" ht="12.75" customHeight="1" x14ac:dyDescent="0.2">
      <c r="L418" s="897"/>
      <c r="M418" s="897"/>
      <c r="N418" s="897"/>
      <c r="O418" s="897"/>
      <c r="P418" s="897"/>
    </row>
    <row r="419" spans="12:16" ht="12.75" customHeight="1" x14ac:dyDescent="0.2">
      <c r="L419" s="897"/>
      <c r="M419" s="897"/>
      <c r="N419" s="897"/>
      <c r="O419" s="897"/>
      <c r="P419" s="897"/>
    </row>
    <row r="420" spans="12:16" ht="12.75" customHeight="1" x14ac:dyDescent="0.2">
      <c r="L420" s="897"/>
      <c r="M420" s="897"/>
      <c r="N420" s="897"/>
      <c r="O420" s="897"/>
      <c r="P420" s="897"/>
    </row>
    <row r="421" spans="12:16" ht="12.75" customHeight="1" x14ac:dyDescent="0.2">
      <c r="L421" s="897"/>
      <c r="M421" s="897"/>
      <c r="N421" s="897"/>
      <c r="O421" s="897"/>
      <c r="P421" s="897"/>
    </row>
    <row r="422" spans="12:16" ht="12.75" customHeight="1" x14ac:dyDescent="0.2">
      <c r="L422" s="897"/>
      <c r="M422" s="897"/>
      <c r="N422" s="897"/>
      <c r="O422" s="897"/>
      <c r="P422" s="897"/>
    </row>
    <row r="423" spans="12:16" ht="12.75" customHeight="1" x14ac:dyDescent="0.2">
      <c r="L423" s="897"/>
      <c r="M423" s="897"/>
      <c r="N423" s="897"/>
      <c r="O423" s="897"/>
      <c r="P423" s="897"/>
    </row>
    <row r="424" spans="12:16" ht="12.75" customHeight="1" x14ac:dyDescent="0.2">
      <c r="L424" s="897"/>
      <c r="M424" s="897"/>
      <c r="N424" s="897"/>
      <c r="O424" s="897"/>
      <c r="P424" s="897"/>
    </row>
    <row r="425" spans="12:16" ht="12.75" customHeight="1" x14ac:dyDescent="0.2">
      <c r="L425" s="897"/>
      <c r="M425" s="897"/>
      <c r="N425" s="897"/>
      <c r="O425" s="897"/>
      <c r="P425" s="897"/>
    </row>
    <row r="426" spans="12:16" ht="12.75" customHeight="1" x14ac:dyDescent="0.2">
      <c r="L426" s="897"/>
      <c r="M426" s="897"/>
      <c r="N426" s="897"/>
      <c r="O426" s="897"/>
      <c r="P426" s="897"/>
    </row>
    <row r="427" spans="12:16" ht="12.75" customHeight="1" x14ac:dyDescent="0.2">
      <c r="L427" s="897"/>
      <c r="M427" s="897"/>
      <c r="N427" s="897"/>
      <c r="O427" s="897"/>
      <c r="P427" s="897"/>
    </row>
    <row r="428" spans="12:16" ht="12.75" customHeight="1" x14ac:dyDescent="0.2">
      <c r="L428" s="897"/>
      <c r="M428" s="897"/>
      <c r="N428" s="897"/>
      <c r="O428" s="897"/>
      <c r="P428" s="897"/>
    </row>
    <row r="429" spans="12:16" ht="12.75" customHeight="1" x14ac:dyDescent="0.2">
      <c r="L429" s="897"/>
      <c r="M429" s="897"/>
      <c r="N429" s="897"/>
      <c r="O429" s="897"/>
      <c r="P429" s="897"/>
    </row>
    <row r="430" spans="12:16" ht="12.75" customHeight="1" x14ac:dyDescent="0.2">
      <c r="L430" s="897"/>
      <c r="M430" s="897"/>
      <c r="N430" s="897"/>
      <c r="O430" s="897"/>
      <c r="P430" s="897"/>
    </row>
    <row r="431" spans="12:16" ht="12.75" customHeight="1" x14ac:dyDescent="0.2">
      <c r="L431" s="897"/>
      <c r="M431" s="897"/>
      <c r="N431" s="897"/>
      <c r="O431" s="897"/>
      <c r="P431" s="897"/>
    </row>
    <row r="432" spans="12:16" ht="12.75" customHeight="1" x14ac:dyDescent="0.2">
      <c r="L432" s="897"/>
      <c r="M432" s="897"/>
      <c r="N432" s="897"/>
      <c r="O432" s="897"/>
      <c r="P432" s="897"/>
    </row>
    <row r="433" spans="12:16" ht="12.75" customHeight="1" x14ac:dyDescent="0.2">
      <c r="L433" s="897"/>
      <c r="M433" s="897"/>
      <c r="N433" s="897"/>
      <c r="O433" s="897"/>
      <c r="P433" s="897"/>
    </row>
    <row r="434" spans="12:16" ht="12.75" customHeight="1" x14ac:dyDescent="0.2">
      <c r="L434" s="897"/>
      <c r="M434" s="897"/>
      <c r="N434" s="897"/>
      <c r="O434" s="897"/>
      <c r="P434" s="897"/>
    </row>
    <row r="435" spans="12:16" ht="12.75" customHeight="1" x14ac:dyDescent="0.2">
      <c r="L435" s="897"/>
      <c r="M435" s="897"/>
      <c r="N435" s="897"/>
      <c r="O435" s="897"/>
      <c r="P435" s="897"/>
    </row>
    <row r="436" spans="12:16" ht="12.75" customHeight="1" x14ac:dyDescent="0.2">
      <c r="L436" s="897"/>
      <c r="M436" s="897"/>
      <c r="N436" s="897"/>
      <c r="O436" s="897"/>
      <c r="P436" s="897"/>
    </row>
    <row r="437" spans="12:16" ht="12.75" customHeight="1" x14ac:dyDescent="0.2">
      <c r="L437" s="897"/>
      <c r="M437" s="897"/>
      <c r="N437" s="897"/>
      <c r="O437" s="897"/>
      <c r="P437" s="897"/>
    </row>
    <row r="438" spans="12:16" ht="12.75" customHeight="1" x14ac:dyDescent="0.2">
      <c r="L438" s="897"/>
      <c r="M438" s="897"/>
      <c r="N438" s="897"/>
      <c r="O438" s="897"/>
      <c r="P438" s="897"/>
    </row>
    <row r="439" spans="12:16" ht="12.75" customHeight="1" x14ac:dyDescent="0.2">
      <c r="L439" s="897"/>
      <c r="M439" s="897"/>
      <c r="N439" s="897"/>
      <c r="O439" s="897"/>
      <c r="P439" s="897"/>
    </row>
    <row r="440" spans="12:16" ht="12.75" customHeight="1" x14ac:dyDescent="0.2">
      <c r="L440" s="897"/>
      <c r="M440" s="897"/>
      <c r="N440" s="897"/>
      <c r="O440" s="897"/>
      <c r="P440" s="897"/>
    </row>
    <row r="441" spans="12:16" ht="12.75" customHeight="1" x14ac:dyDescent="0.2">
      <c r="L441" s="897"/>
      <c r="M441" s="897"/>
      <c r="N441" s="897"/>
      <c r="O441" s="897"/>
      <c r="P441" s="897"/>
    </row>
  </sheetData>
  <mergeCells count="93">
    <mergeCell ref="K348:K349"/>
    <mergeCell ref="L348:L349"/>
    <mergeCell ref="M348:M349"/>
    <mergeCell ref="G305:G306"/>
    <mergeCell ref="H305:H306"/>
    <mergeCell ref="I305:I306"/>
    <mergeCell ref="J305:J306"/>
    <mergeCell ref="M178:M181"/>
    <mergeCell ref="I329:I330"/>
    <mergeCell ref="J329:J330"/>
    <mergeCell ref="H329:H330"/>
    <mergeCell ref="J38:J39"/>
    <mergeCell ref="K178:K181"/>
    <mergeCell ref="I262:I263"/>
    <mergeCell ref="J262:J263"/>
    <mergeCell ref="K290:K302"/>
    <mergeCell ref="L290:L302"/>
    <mergeCell ref="M290:M302"/>
    <mergeCell ref="G38:G39"/>
    <mergeCell ref="L178:L181"/>
    <mergeCell ref="I188:I189"/>
    <mergeCell ref="J188:J189"/>
    <mergeCell ref="H38:H39"/>
    <mergeCell ref="I38:I39"/>
    <mergeCell ref="A305:A306"/>
    <mergeCell ref="B305:B306"/>
    <mergeCell ref="C305:C306"/>
    <mergeCell ref="E305:E306"/>
    <mergeCell ref="F305:F306"/>
    <mergeCell ref="A329:A330"/>
    <mergeCell ref="B329:B330"/>
    <mergeCell ref="C329:C330"/>
    <mergeCell ref="E329:E330"/>
    <mergeCell ref="F329:F330"/>
    <mergeCell ref="L24:L27"/>
    <mergeCell ref="M24:M27"/>
    <mergeCell ref="A6:J6"/>
    <mergeCell ref="A9:J9"/>
    <mergeCell ref="A10:J10"/>
    <mergeCell ref="F12:F13"/>
    <mergeCell ref="G12:G13"/>
    <mergeCell ref="A12:A13"/>
    <mergeCell ref="B12:B13"/>
    <mergeCell ref="C12:C13"/>
    <mergeCell ref="D12:D13"/>
    <mergeCell ref="E12:E13"/>
    <mergeCell ref="H12:H13"/>
    <mergeCell ref="I12:J12"/>
    <mergeCell ref="A7:J7"/>
    <mergeCell ref="K24:K27"/>
    <mergeCell ref="I1:J1"/>
    <mergeCell ref="I2:J2"/>
    <mergeCell ref="I3:J3"/>
    <mergeCell ref="A5:J5"/>
    <mergeCell ref="A8:J8"/>
    <mergeCell ref="A38:A39"/>
    <mergeCell ref="B38:B39"/>
    <mergeCell ref="C38:C39"/>
    <mergeCell ref="E38:E39"/>
    <mergeCell ref="F38:F39"/>
    <mergeCell ref="F262:F263"/>
    <mergeCell ref="G262:G263"/>
    <mergeCell ref="H262:H263"/>
    <mergeCell ref="A188:A189"/>
    <mergeCell ref="B188:B189"/>
    <mergeCell ref="C188:C189"/>
    <mergeCell ref="E188:E189"/>
    <mergeCell ref="F188:F189"/>
    <mergeCell ref="H188:H189"/>
    <mergeCell ref="C262:C263"/>
    <mergeCell ref="E262:E263"/>
    <mergeCell ref="C346:C347"/>
    <mergeCell ref="G346:G347"/>
    <mergeCell ref="D394:E394"/>
    <mergeCell ref="D390:E390"/>
    <mergeCell ref="D391:E391"/>
    <mergeCell ref="D393:E393"/>
    <mergeCell ref="L388:P441"/>
    <mergeCell ref="A262:A263"/>
    <mergeCell ref="B262:B263"/>
    <mergeCell ref="G140:G141"/>
    <mergeCell ref="H140:H141"/>
    <mergeCell ref="I140:I141"/>
    <mergeCell ref="J140:J141"/>
    <mergeCell ref="G188:G189"/>
    <mergeCell ref="D395:J395"/>
    <mergeCell ref="A388:J388"/>
    <mergeCell ref="H346:H347"/>
    <mergeCell ref="I346:I347"/>
    <mergeCell ref="J346:J347"/>
    <mergeCell ref="D346:D347"/>
    <mergeCell ref="A346:A347"/>
    <mergeCell ref="B346:B347"/>
  </mergeCells>
  <pageMargins left="0.23622047244094491" right="0.27559055118110237" top="0.27559055118110237" bottom="0.15748031496062992" header="0.23622047244094491" footer="0.27559055118110237"/>
  <pageSetup paperSize="9" scale="16" orientation="landscape" r:id="rId1"/>
  <headerFooter alignWithMargins="0">
    <oddFooter>&amp;C&amp;"Times New Roman Cyr,курсив"Сторінка &amp;P з &amp;N</oddFooter>
  </headerFooter>
  <rowBreaks count="2" manualBreakCount="2">
    <brk id="265" max="9" man="1"/>
    <brk id="394"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Аркуш6"/>
  <dimension ref="A1:J169"/>
  <sheetViews>
    <sheetView view="pageBreakPreview" topLeftCell="A32" zoomScale="85" zoomScaleNormal="85" zoomScaleSheetLayoutView="85" workbookViewId="0">
      <selection activeCell="D40" sqref="D40"/>
    </sheetView>
  </sheetViews>
  <sheetFormatPr defaultColWidth="9.140625" defaultRowHeight="12.75" x14ac:dyDescent="0.2"/>
  <cols>
    <col min="1" max="1" width="18.140625" style="97" customWidth="1"/>
    <col min="2" max="2" width="108.42578125" style="97" customWidth="1"/>
    <col min="3" max="3" width="4" style="97" hidden="1" customWidth="1"/>
    <col min="4" max="4" width="22.85546875" style="97" customWidth="1"/>
    <col min="5" max="5" width="14.7109375" style="97" customWidth="1"/>
    <col min="6" max="6" width="21.85546875" style="97" bestFit="1" customWidth="1"/>
    <col min="7" max="7" width="18.85546875" style="97" bestFit="1" customWidth="1"/>
    <col min="8" max="9" width="9.140625" style="97"/>
    <col min="10" max="10" width="52.5703125" style="97" customWidth="1"/>
    <col min="11" max="16384" width="9.140625" style="97"/>
  </cols>
  <sheetData>
    <row r="1" spans="1:9" ht="16.5" customHeight="1" x14ac:dyDescent="0.2">
      <c r="A1" s="293"/>
      <c r="B1" s="293"/>
      <c r="C1" s="730" t="s">
        <v>583</v>
      </c>
      <c r="D1" s="730"/>
      <c r="E1" s="294"/>
      <c r="F1" s="294"/>
      <c r="G1" s="293"/>
      <c r="H1" s="293"/>
      <c r="I1" s="293"/>
    </row>
    <row r="2" spans="1:9" ht="16.5" customHeight="1" x14ac:dyDescent="0.2">
      <c r="A2" s="293"/>
      <c r="B2" s="293"/>
      <c r="C2" s="754" t="s">
        <v>1533</v>
      </c>
      <c r="D2" s="940"/>
      <c r="E2" s="940"/>
      <c r="F2" s="940"/>
      <c r="G2" s="293"/>
      <c r="H2" s="293"/>
      <c r="I2" s="293"/>
    </row>
    <row r="3" spans="1:9" ht="17.45" customHeight="1" x14ac:dyDescent="0.2">
      <c r="A3" s="293"/>
      <c r="B3" s="293"/>
      <c r="C3" s="730" t="s">
        <v>1611</v>
      </c>
      <c r="D3" s="937"/>
      <c r="E3" s="293"/>
      <c r="F3" s="293"/>
      <c r="G3" s="293"/>
      <c r="H3" s="293"/>
      <c r="I3" s="293"/>
    </row>
    <row r="4" spans="1:9" ht="12.75" customHeight="1" x14ac:dyDescent="0.2">
      <c r="A4" s="293"/>
      <c r="B4" s="293"/>
      <c r="C4" s="730"/>
      <c r="D4" s="733"/>
      <c r="E4" s="293"/>
      <c r="F4" s="293"/>
      <c r="G4" s="293"/>
      <c r="H4" s="293"/>
      <c r="I4" s="293"/>
    </row>
    <row r="5" spans="1:9" ht="16.5" x14ac:dyDescent="0.25">
      <c r="A5" s="926" t="s">
        <v>561</v>
      </c>
      <c r="B5" s="926"/>
      <c r="C5" s="926"/>
      <c r="D5" s="733"/>
      <c r="E5" s="941"/>
      <c r="F5" s="942"/>
      <c r="G5" s="942"/>
      <c r="H5" s="942"/>
      <c r="I5" s="735"/>
    </row>
    <row r="6" spans="1:9" ht="16.5" x14ac:dyDescent="0.25">
      <c r="A6" s="926" t="s">
        <v>560</v>
      </c>
      <c r="B6" s="926"/>
      <c r="C6" s="926"/>
      <c r="D6" s="733"/>
      <c r="E6" s="98"/>
      <c r="F6" s="99"/>
      <c r="G6" s="99"/>
      <c r="H6" s="99"/>
      <c r="I6" s="295"/>
    </row>
    <row r="7" spans="1:9" ht="16.5" x14ac:dyDescent="0.25">
      <c r="A7" s="927" t="s">
        <v>126</v>
      </c>
      <c r="B7" s="927"/>
      <c r="C7" s="927"/>
      <c r="D7" s="928"/>
      <c r="E7" s="941"/>
      <c r="F7" s="941"/>
      <c r="G7" s="941"/>
      <c r="H7" s="941"/>
      <c r="I7" s="731"/>
    </row>
    <row r="8" spans="1:9" ht="16.5" x14ac:dyDescent="0.2">
      <c r="A8" s="927" t="s">
        <v>1538</v>
      </c>
      <c r="B8" s="927"/>
      <c r="C8" s="927"/>
      <c r="D8" s="928"/>
      <c r="E8" s="943"/>
      <c r="F8" s="943"/>
      <c r="G8" s="943"/>
      <c r="H8" s="943"/>
      <c r="I8" s="944"/>
    </row>
    <row r="9" spans="1:9" ht="16.5" x14ac:dyDescent="0.2">
      <c r="A9" s="96"/>
      <c r="B9" s="96"/>
      <c r="C9" s="96"/>
      <c r="D9" s="296"/>
      <c r="E9" s="100"/>
      <c r="F9" s="100"/>
      <c r="G9" s="100"/>
      <c r="H9" s="100"/>
      <c r="I9" s="297"/>
    </row>
    <row r="10" spans="1:9" ht="16.5" x14ac:dyDescent="0.2">
      <c r="A10" s="432">
        <v>2256400000</v>
      </c>
      <c r="B10" s="477"/>
      <c r="C10" s="478"/>
      <c r="D10" s="296"/>
      <c r="E10" s="479"/>
      <c r="F10" s="479"/>
      <c r="G10" s="479"/>
      <c r="H10" s="100"/>
      <c r="I10" s="297"/>
    </row>
    <row r="11" spans="1:9" ht="16.5" x14ac:dyDescent="0.2">
      <c r="A11" s="427" t="s">
        <v>485</v>
      </c>
      <c r="B11" s="428"/>
      <c r="C11" s="478"/>
      <c r="D11" s="296"/>
      <c r="E11" s="479"/>
      <c r="F11" s="479"/>
      <c r="G11" s="479"/>
      <c r="H11" s="100"/>
      <c r="I11" s="297"/>
    </row>
    <row r="12" spans="1:9" ht="17.25" thickBot="1" x14ac:dyDescent="0.25">
      <c r="A12" s="480"/>
      <c r="B12" s="480"/>
      <c r="C12" s="481"/>
      <c r="D12" s="481" t="s">
        <v>400</v>
      </c>
      <c r="E12" s="479"/>
      <c r="F12" s="479"/>
      <c r="G12" s="482"/>
      <c r="H12" s="293"/>
      <c r="I12" s="293"/>
    </row>
    <row r="13" spans="1:9" s="276" customFormat="1" ht="50.25" customHeight="1" thickTop="1" thickBot="1" x14ac:dyDescent="0.25">
      <c r="A13" s="694" t="s">
        <v>127</v>
      </c>
      <c r="B13" s="938" t="s">
        <v>128</v>
      </c>
      <c r="C13" s="939"/>
      <c r="D13" s="939"/>
      <c r="E13" s="483"/>
      <c r="F13" s="483"/>
      <c r="G13" s="483"/>
      <c r="H13" s="484"/>
      <c r="I13" s="484"/>
    </row>
    <row r="14" spans="1:9" s="276" customFormat="1" ht="39.75" customHeight="1" thickTop="1" thickBot="1" x14ac:dyDescent="0.25">
      <c r="A14" s="686" t="s">
        <v>129</v>
      </c>
      <c r="B14" s="922" t="s">
        <v>130</v>
      </c>
      <c r="C14" s="923"/>
      <c r="D14" s="689">
        <v>100</v>
      </c>
      <c r="E14" s="74"/>
      <c r="F14" s="74"/>
      <c r="G14" s="74"/>
    </row>
    <row r="15" spans="1:9" s="276" customFormat="1" ht="40.700000000000003" customHeight="1" thickTop="1" thickBot="1" x14ac:dyDescent="0.25">
      <c r="A15" s="686" t="s">
        <v>131</v>
      </c>
      <c r="B15" s="922" t="s">
        <v>132</v>
      </c>
      <c r="C15" s="923"/>
      <c r="D15" s="689">
        <f>(3000000)+297000</f>
        <v>3297000</v>
      </c>
      <c r="E15" s="74"/>
      <c r="F15" s="74"/>
      <c r="G15" s="74"/>
    </row>
    <row r="16" spans="1:9" s="276" customFormat="1" ht="66" customHeight="1" thickTop="1" thickBot="1" x14ac:dyDescent="0.25">
      <c r="A16" s="686" t="s">
        <v>133</v>
      </c>
      <c r="B16" s="922" t="s">
        <v>1200</v>
      </c>
      <c r="C16" s="923"/>
      <c r="D16" s="689">
        <f>((368000)+400000)+800000</f>
        <v>1568000</v>
      </c>
      <c r="E16" s="74"/>
      <c r="F16" s="74"/>
      <c r="G16" s="74"/>
    </row>
    <row r="17" spans="1:7" s="276" customFormat="1" ht="41.25" customHeight="1" thickTop="1" thickBot="1" x14ac:dyDescent="0.25">
      <c r="A17" s="686" t="s">
        <v>981</v>
      </c>
      <c r="B17" s="922" t="s">
        <v>982</v>
      </c>
      <c r="C17" s="923"/>
      <c r="D17" s="689">
        <v>981300</v>
      </c>
      <c r="E17" s="74"/>
      <c r="F17" s="74"/>
      <c r="G17" s="74"/>
    </row>
    <row r="18" spans="1:7" s="276" customFormat="1" ht="41.25" customHeight="1" thickTop="1" thickBot="1" x14ac:dyDescent="0.25">
      <c r="A18" s="686" t="s">
        <v>134</v>
      </c>
      <c r="B18" s="922" t="s">
        <v>135</v>
      </c>
      <c r="C18" s="923"/>
      <c r="D18" s="689">
        <v>600</v>
      </c>
      <c r="E18" s="74"/>
      <c r="F18" s="74"/>
      <c r="G18" s="74"/>
    </row>
    <row r="19" spans="1:7" s="276" customFormat="1" ht="41.25" customHeight="1" thickTop="1" thickBot="1" x14ac:dyDescent="0.25">
      <c r="A19" s="686" t="s">
        <v>1201</v>
      </c>
      <c r="B19" s="922" t="s">
        <v>1202</v>
      </c>
      <c r="C19" s="923"/>
      <c r="D19" s="689">
        <v>700000</v>
      </c>
      <c r="E19" s="74"/>
      <c r="F19" s="74"/>
      <c r="G19" s="74"/>
    </row>
    <row r="20" spans="1:7" s="276" customFormat="1" ht="41.25" customHeight="1" thickTop="1" thickBot="1" x14ac:dyDescent="0.25">
      <c r="A20" s="686" t="s">
        <v>1203</v>
      </c>
      <c r="B20" s="922" t="s">
        <v>1204</v>
      </c>
      <c r="C20" s="923"/>
      <c r="D20" s="689">
        <v>450000</v>
      </c>
      <c r="E20" s="920" t="s">
        <v>1241</v>
      </c>
      <c r="F20" s="921"/>
      <c r="G20" s="74"/>
    </row>
    <row r="21" spans="1:7" s="276" customFormat="1" ht="18.75" thickTop="1" thickBot="1" x14ac:dyDescent="0.25">
      <c r="A21" s="686"/>
      <c r="B21" s="933" t="s">
        <v>136</v>
      </c>
      <c r="C21" s="923"/>
      <c r="D21" s="693">
        <f>SUM(D14:D20)</f>
        <v>6997000</v>
      </c>
      <c r="E21" s="74"/>
      <c r="F21" s="74"/>
      <c r="G21" s="74"/>
    </row>
    <row r="22" spans="1:7" s="276" customFormat="1" ht="18.75" hidden="1" thickTop="1" thickBot="1" x14ac:dyDescent="0.25">
      <c r="A22" s="277"/>
      <c r="B22" s="932" t="s">
        <v>434</v>
      </c>
      <c r="C22" s="925"/>
      <c r="D22" s="420"/>
      <c r="E22" s="74"/>
      <c r="F22" s="74"/>
      <c r="G22" s="74"/>
    </row>
    <row r="23" spans="1:7" s="276" customFormat="1" ht="18.75" thickTop="1" thickBot="1" x14ac:dyDescent="0.25">
      <c r="A23" s="277"/>
      <c r="B23" s="933" t="s">
        <v>1656</v>
      </c>
      <c r="C23" s="923"/>
      <c r="D23" s="693">
        <v>8817522.9700000007</v>
      </c>
      <c r="E23" s="74"/>
      <c r="F23" s="74"/>
      <c r="G23" s="74"/>
    </row>
    <row r="24" spans="1:7" s="276" customFormat="1" ht="26.45" customHeight="1" thickTop="1" thickBot="1" x14ac:dyDescent="0.25">
      <c r="A24" s="690" t="s">
        <v>377</v>
      </c>
      <c r="B24" s="934" t="s">
        <v>489</v>
      </c>
      <c r="C24" s="935"/>
      <c r="D24" s="691">
        <f>D21+D23</f>
        <v>15814522.970000001</v>
      </c>
      <c r="E24" s="523" t="b">
        <f>D24='d1'!E111+D23</f>
        <v>1</v>
      </c>
      <c r="G24" s="74"/>
    </row>
    <row r="25" spans="1:7" s="276" customFormat="1" ht="47.25" customHeight="1" thickTop="1" thickBot="1" x14ac:dyDescent="0.25">
      <c r="A25" s="694" t="s">
        <v>127</v>
      </c>
      <c r="B25" s="938" t="s">
        <v>137</v>
      </c>
      <c r="C25" s="939"/>
      <c r="D25" s="939"/>
      <c r="E25" s="74"/>
      <c r="F25" s="74"/>
      <c r="G25" s="74"/>
    </row>
    <row r="26" spans="1:7" s="276" customFormat="1" ht="43.5" customHeight="1" thickTop="1" thickBot="1" x14ac:dyDescent="0.25">
      <c r="A26" s="686" t="s">
        <v>138</v>
      </c>
      <c r="B26" s="922" t="s">
        <v>139</v>
      </c>
      <c r="C26" s="923"/>
      <c r="D26" s="689">
        <f>(120600)-5600-70000</f>
        <v>45000</v>
      </c>
      <c r="E26" s="74"/>
      <c r="F26" s="74"/>
      <c r="G26" s="74"/>
    </row>
    <row r="27" spans="1:7" s="276" customFormat="1" ht="44.45" customHeight="1" thickTop="1" thickBot="1" x14ac:dyDescent="0.25">
      <c r="A27" s="686" t="s">
        <v>140</v>
      </c>
      <c r="B27" s="922" t="s">
        <v>141</v>
      </c>
      <c r="C27" s="923"/>
      <c r="D27" s="689">
        <f>(((45000)+3000)+5600+70000)+20000</f>
        <v>143600</v>
      </c>
      <c r="E27" s="74"/>
      <c r="F27" s="74"/>
      <c r="G27" s="74"/>
    </row>
    <row r="28" spans="1:7" s="276" customFormat="1" ht="44.45" hidden="1" customHeight="1" thickTop="1" thickBot="1" x14ac:dyDescent="0.25">
      <c r="A28" s="277" t="s">
        <v>465</v>
      </c>
      <c r="B28" s="924" t="s">
        <v>404</v>
      </c>
      <c r="C28" s="925"/>
      <c r="D28" s="534">
        <v>0</v>
      </c>
      <c r="E28" s="74"/>
      <c r="F28" s="74"/>
      <c r="G28" s="74"/>
    </row>
    <row r="29" spans="1:7" s="276" customFormat="1" ht="32.25" customHeight="1" thickTop="1" thickBot="1" x14ac:dyDescent="0.25">
      <c r="A29" s="686" t="s">
        <v>142</v>
      </c>
      <c r="B29" s="922" t="s">
        <v>144</v>
      </c>
      <c r="C29" s="923"/>
      <c r="D29" s="689">
        <v>280000</v>
      </c>
      <c r="E29" s="74"/>
      <c r="F29" s="74"/>
      <c r="G29" s="74"/>
    </row>
    <row r="30" spans="1:7" s="276" customFormat="1" ht="39" customHeight="1" thickTop="1" thickBot="1" x14ac:dyDescent="0.25">
      <c r="A30" s="686" t="s">
        <v>143</v>
      </c>
      <c r="B30" s="922" t="s">
        <v>1414</v>
      </c>
      <c r="C30" s="923"/>
      <c r="D30" s="689">
        <f>((1410800)+36756.97+5000)+100000+10000</f>
        <v>1562556.97</v>
      </c>
      <c r="E30" s="74"/>
      <c r="F30" s="74"/>
      <c r="G30" s="74"/>
    </row>
    <row r="31" spans="1:7" s="276" customFormat="1" ht="17.25" hidden="1" thickTop="1" thickBot="1" x14ac:dyDescent="0.25">
      <c r="A31" s="277" t="s">
        <v>145</v>
      </c>
      <c r="B31" s="924" t="s">
        <v>1169</v>
      </c>
      <c r="C31" s="925"/>
      <c r="D31" s="534">
        <v>0</v>
      </c>
      <c r="E31" s="74"/>
      <c r="F31" s="74"/>
      <c r="G31" s="74"/>
    </row>
    <row r="32" spans="1:7" s="276" customFormat="1" ht="51" thickTop="1" thickBot="1" x14ac:dyDescent="0.25">
      <c r="A32" s="686" t="s">
        <v>969</v>
      </c>
      <c r="B32" s="687" t="s">
        <v>970</v>
      </c>
      <c r="C32" s="688"/>
      <c r="D32" s="689">
        <f>((1000000)+1573366)+104138</f>
        <v>2677504</v>
      </c>
      <c r="E32" s="74"/>
      <c r="F32" s="74"/>
      <c r="G32" s="74"/>
    </row>
    <row r="33" spans="1:7" s="276" customFormat="1" ht="17.25" hidden="1" thickTop="1" thickBot="1" x14ac:dyDescent="0.25">
      <c r="A33" s="277" t="s">
        <v>466</v>
      </c>
      <c r="B33" s="924" t="s">
        <v>146</v>
      </c>
      <c r="C33" s="925"/>
      <c r="D33" s="534">
        <f>(20000)-20000</f>
        <v>0</v>
      </c>
      <c r="E33" s="74"/>
      <c r="F33" s="74"/>
      <c r="G33" s="74"/>
    </row>
    <row r="34" spans="1:7" s="276" customFormat="1" ht="17.25" hidden="1" thickTop="1" thickBot="1" x14ac:dyDescent="0.25">
      <c r="A34" s="277" t="s">
        <v>466</v>
      </c>
      <c r="B34" s="924" t="s">
        <v>146</v>
      </c>
      <c r="C34" s="925"/>
      <c r="D34" s="534"/>
      <c r="E34" s="74"/>
      <c r="F34" s="74"/>
      <c r="G34" s="74"/>
    </row>
    <row r="35" spans="1:7" s="276" customFormat="1" ht="138" customHeight="1" thickTop="1" thickBot="1" x14ac:dyDescent="0.25">
      <c r="A35" s="686" t="s">
        <v>467</v>
      </c>
      <c r="B35" s="936" t="s">
        <v>1205</v>
      </c>
      <c r="C35" s="733"/>
      <c r="D35" s="695">
        <f>((2643600)+7896400)+565862</f>
        <v>11105862</v>
      </c>
      <c r="E35" s="74"/>
      <c r="F35" s="74"/>
      <c r="G35" s="74"/>
    </row>
    <row r="36" spans="1:7" s="276" customFormat="1" ht="27.75" customHeight="1" thickTop="1" thickBot="1" x14ac:dyDescent="0.25">
      <c r="A36" s="690" t="s">
        <v>377</v>
      </c>
      <c r="B36" s="934" t="s">
        <v>489</v>
      </c>
      <c r="C36" s="935"/>
      <c r="D36" s="691">
        <f>SUM(D26:D35)</f>
        <v>15814522.969999999</v>
      </c>
      <c r="E36" s="523" t="b">
        <f>D24=D36</f>
        <v>1</v>
      </c>
      <c r="F36" s="523" t="b">
        <f>D36='d3'!J36+'d3'!J208+'d3'!J293+'d3'!J323+'d3'!J357</f>
        <v>1</v>
      </c>
      <c r="G36" s="523" t="b">
        <f>D36='d7'!G305+'d7'!G262+'d7'!G188+'d7'!G38+'d7'!G329</f>
        <v>1</v>
      </c>
    </row>
    <row r="37" spans="1:7" s="282" customFormat="1" ht="27.75" customHeight="1" thickTop="1" x14ac:dyDescent="0.2">
      <c r="A37" s="278"/>
      <c r="B37" s="279"/>
      <c r="C37" s="280"/>
      <c r="D37" s="281"/>
      <c r="E37" s="10"/>
      <c r="F37" s="10"/>
    </row>
    <row r="38" spans="1:7" ht="15.75" hidden="1" x14ac:dyDescent="0.25">
      <c r="B38" s="889" t="s">
        <v>1649</v>
      </c>
      <c r="C38" s="887"/>
      <c r="D38" s="340" t="s">
        <v>1650</v>
      </c>
      <c r="E38" s="1"/>
      <c r="F38" s="340"/>
    </row>
    <row r="39" spans="1:7" ht="15.75" hidden="1" x14ac:dyDescent="0.25">
      <c r="B39" s="319" t="s">
        <v>1376</v>
      </c>
      <c r="C39" s="320"/>
      <c r="D39" s="319" t="s">
        <v>1377</v>
      </c>
      <c r="E39" s="1"/>
      <c r="F39" s="340"/>
    </row>
    <row r="40" spans="1:7" ht="39.75" customHeight="1" x14ac:dyDescent="0.25">
      <c r="B40" s="961" t="s">
        <v>1751</v>
      </c>
      <c r="C40" s="320"/>
      <c r="D40" s="954" t="s">
        <v>1750</v>
      </c>
      <c r="E40" s="1"/>
      <c r="F40" s="340"/>
    </row>
    <row r="41" spans="1:7" ht="15" x14ac:dyDescent="0.25">
      <c r="B41" s="319"/>
      <c r="C41" s="319"/>
      <c r="D41" s="319"/>
      <c r="E41" s="11"/>
    </row>
    <row r="42" spans="1:7" ht="22.7" customHeight="1" x14ac:dyDescent="0.65">
      <c r="A42" s="283" t="s">
        <v>518</v>
      </c>
      <c r="B42" s="889" t="s">
        <v>516</v>
      </c>
      <c r="C42" s="887"/>
      <c r="D42" s="319" t="s">
        <v>1290</v>
      </c>
      <c r="E42" s="3"/>
    </row>
    <row r="43" spans="1:7" ht="18.75" x14ac:dyDescent="0.2">
      <c r="A43" s="283"/>
      <c r="B43" s="283"/>
      <c r="C43" s="283"/>
    </row>
    <row r="44" spans="1:7" ht="18.75" x14ac:dyDescent="0.2">
      <c r="A44" s="931"/>
      <c r="B44" s="931"/>
      <c r="C44" s="284"/>
    </row>
    <row r="50" spans="1:4" ht="16.5" x14ac:dyDescent="0.2">
      <c r="A50" s="930"/>
      <c r="B50" s="285"/>
      <c r="C50" s="286"/>
      <c r="D50" s="287"/>
    </row>
    <row r="51" spans="1:4" ht="16.5" x14ac:dyDescent="0.2">
      <c r="A51" s="930"/>
      <c r="B51" s="288"/>
      <c r="C51" s="286"/>
      <c r="D51" s="287"/>
    </row>
    <row r="52" spans="1:4" ht="16.5" x14ac:dyDescent="0.2">
      <c r="A52" s="930"/>
      <c r="B52" s="289"/>
      <c r="C52" s="286"/>
      <c r="D52" s="287"/>
    </row>
    <row r="53" spans="1:4" ht="16.5" x14ac:dyDescent="0.2">
      <c r="A53" s="930"/>
      <c r="B53" s="285"/>
      <c r="C53" s="286"/>
      <c r="D53" s="287"/>
    </row>
    <row r="54" spans="1:4" ht="16.5" x14ac:dyDescent="0.2">
      <c r="A54" s="930"/>
      <c r="B54" s="285" t="s">
        <v>1504</v>
      </c>
      <c r="C54" s="286"/>
      <c r="D54" s="287"/>
    </row>
    <row r="85" spans="6:6" x14ac:dyDescent="0.2">
      <c r="F85" s="929"/>
    </row>
    <row r="86" spans="6:6" x14ac:dyDescent="0.2">
      <c r="F86" s="823"/>
    </row>
    <row r="122" spans="4:6" x14ac:dyDescent="0.2">
      <c r="D122" s="97">
        <f>SUM(D123:D135)+D142</f>
        <v>88281</v>
      </c>
      <c r="F122" s="97">
        <f>G122+H122</f>
        <v>0</v>
      </c>
    </row>
    <row r="124" spans="4:6" x14ac:dyDescent="0.2">
      <c r="F124" s="97">
        <f t="shared" ref="F124:F134" si="0">G124+H124</f>
        <v>0</v>
      </c>
    </row>
    <row r="125" spans="4:6" x14ac:dyDescent="0.2">
      <c r="F125" s="97">
        <f t="shared" si="0"/>
        <v>0</v>
      </c>
    </row>
    <row r="126" spans="4:6" x14ac:dyDescent="0.2">
      <c r="F126" s="97">
        <f t="shared" si="0"/>
        <v>0</v>
      </c>
    </row>
    <row r="127" spans="4:6" x14ac:dyDescent="0.2">
      <c r="F127" s="97">
        <f t="shared" si="0"/>
        <v>0</v>
      </c>
    </row>
    <row r="128" spans="4:6" x14ac:dyDescent="0.2">
      <c r="F128" s="97">
        <f t="shared" si="0"/>
        <v>0</v>
      </c>
    </row>
    <row r="129" spans="1:10" x14ac:dyDescent="0.2">
      <c r="F129" s="97">
        <f t="shared" si="0"/>
        <v>0</v>
      </c>
    </row>
    <row r="130" spans="1:10" x14ac:dyDescent="0.2">
      <c r="F130" s="97">
        <f t="shared" si="0"/>
        <v>0</v>
      </c>
    </row>
    <row r="131" spans="1:10" x14ac:dyDescent="0.2">
      <c r="F131" s="97">
        <f t="shared" si="0"/>
        <v>0</v>
      </c>
    </row>
    <row r="132" spans="1:10" x14ac:dyDescent="0.2">
      <c r="F132" s="97">
        <f t="shared" si="0"/>
        <v>0</v>
      </c>
    </row>
    <row r="133" spans="1:10" x14ac:dyDescent="0.2">
      <c r="F133" s="97">
        <f t="shared" si="0"/>
        <v>0</v>
      </c>
    </row>
    <row r="134" spans="1:10" x14ac:dyDescent="0.2">
      <c r="F134" s="97">
        <f t="shared" si="0"/>
        <v>0</v>
      </c>
    </row>
    <row r="136" spans="1:10" x14ac:dyDescent="0.2">
      <c r="F136" s="97">
        <f>G137+H137</f>
        <v>0</v>
      </c>
    </row>
    <row r="137" spans="1:10" x14ac:dyDescent="0.2">
      <c r="F137" s="97">
        <f t="shared" ref="F137" si="1">G137+H137</f>
        <v>0</v>
      </c>
    </row>
    <row r="138" spans="1:10" x14ac:dyDescent="0.2">
      <c r="F138" s="97">
        <f>G138+H138</f>
        <v>0</v>
      </c>
    </row>
    <row r="139" spans="1:10" x14ac:dyDescent="0.2">
      <c r="F139" s="97">
        <f>G139+H139</f>
        <v>0</v>
      </c>
    </row>
    <row r="140" spans="1:10" x14ac:dyDescent="0.2">
      <c r="F140" s="97">
        <f>G140+H140</f>
        <v>0</v>
      </c>
    </row>
    <row r="141" spans="1:10" x14ac:dyDescent="0.2">
      <c r="F141" s="97">
        <f>G141+H141</f>
        <v>0</v>
      </c>
    </row>
    <row r="142" spans="1:10" x14ac:dyDescent="0.2">
      <c r="A142" s="97">
        <v>41057700</v>
      </c>
      <c r="B142" s="97" t="s">
        <v>1316</v>
      </c>
      <c r="D142" s="97">
        <v>88281</v>
      </c>
    </row>
    <row r="143" spans="1:10" x14ac:dyDescent="0.2">
      <c r="G143" s="97" t="b">
        <f>C143=C139+C138+C137+C117+C111+C105+C99+C98+C94+C93+C92+C91+C88+C87+C86+C85+C83+C82+C80+C78+C77+C76+C73+C72+C71+C69+C68+C64+C63+C62+C59+C58+C57+C55+C54+C50+C49+C48+C47+C46+C45+C44+C43+C42+C41+C35+C33+C30+C28+C26+C23+C21+C20+C19+C18+C103+C102+C36+C52+C128+C127+C109+C142</f>
        <v>1</v>
      </c>
      <c r="H143" s="97" t="e">
        <f>D143=D139+D138+D137+D117+D111+D105+D99+D98+D94+D93+D92+D91+D88+D87+D86+D85+D83+D82+D80+D78+D77+D76+D73+D72+D71+D69+D68+D64+D63+D62+D59+D58+D57+D55+D54+D50+D49+D48+D47+D46+D45+D44+D43+D42+D41+D35+D33+D30+D28+D26+D23+D21+D20+D19+D18+D103+D102+D36+D52+D128+D127+D109+D142</f>
        <v>#VALUE!</v>
      </c>
      <c r="I143" s="97" t="e">
        <f>E143=E139+E138+E137+E117+E111+E105+E99+E98+E94+E93+E92+E91+E88+E87+E86+E85+E83+E82+E80+E78+E77+E76+E73+E72+E71+E69+E68+E64+E63+E62+E59+E58+E57+E55+E54+E50+E49+E48+E47+E46+E45+E44+E43+E42+E41+E35+E33+E30+E28+E26+E23+E21+E20+E19+E18+E103+E102+E36+E52+E128+E127+E109+E142</f>
        <v>#VALUE!</v>
      </c>
      <c r="J143" s="97" t="b">
        <f>F143=F139+F138+F137+F117+F111+F105+F99+F98+F94+F93+F92+F91+F88+F87+F86+F85+F83+F82+F80+F78+F77+F76+F73+F72+F71+F69+F68+F64+F63+F62+F59+F58+F57+F55+F54+F50+F49+F48+F47+F46+F45+F44+F43+F42+F41+F35+F33+F30+F28+F26+F23+F21+F20+F19+F18+F103+F102+F36+F52+F128+F127+F109+F142</f>
        <v>0</v>
      </c>
    </row>
    <row r="144" spans="1:10" x14ac:dyDescent="0.2">
      <c r="G144" s="97" t="b">
        <f>(3453807039-'d2'!C38+7423154+961639+622418100+3715400+4544686)+16400+4309689+6350319+16579700+88281=C143</f>
        <v>0</v>
      </c>
    </row>
    <row r="147" spans="6:9" ht="46.5" x14ac:dyDescent="0.2">
      <c r="I147" s="12"/>
    </row>
    <row r="150" spans="6:9" ht="46.5" x14ac:dyDescent="0.2">
      <c r="F150" s="12">
        <f>G150+H150</f>
        <v>0</v>
      </c>
      <c r="I150" s="12"/>
    </row>
    <row r="169" spans="10:10" ht="90" x14ac:dyDescent="0.2">
      <c r="J169" s="290" t="b">
        <f>F169=G169+H169</f>
        <v>1</v>
      </c>
    </row>
  </sheetData>
  <mergeCells count="40">
    <mergeCell ref="C1:D1"/>
    <mergeCell ref="C3:D3"/>
    <mergeCell ref="C4:D4"/>
    <mergeCell ref="B29:C29"/>
    <mergeCell ref="B28:C28"/>
    <mergeCell ref="B27:C27"/>
    <mergeCell ref="B26:C26"/>
    <mergeCell ref="B25:D25"/>
    <mergeCell ref="B13:D13"/>
    <mergeCell ref="B24:C24"/>
    <mergeCell ref="C2:F2"/>
    <mergeCell ref="E5:I5"/>
    <mergeCell ref="E7:I7"/>
    <mergeCell ref="E8:I8"/>
    <mergeCell ref="B18:C18"/>
    <mergeCell ref="A8:D8"/>
    <mergeCell ref="F85:F86"/>
    <mergeCell ref="A50:A54"/>
    <mergeCell ref="A44:B44"/>
    <mergeCell ref="B22:C22"/>
    <mergeCell ref="B21:C21"/>
    <mergeCell ref="B36:C36"/>
    <mergeCell ref="B35:C35"/>
    <mergeCell ref="B33:C33"/>
    <mergeCell ref="B31:C31"/>
    <mergeCell ref="B30:C30"/>
    <mergeCell ref="B23:C23"/>
    <mergeCell ref="B42:C42"/>
    <mergeCell ref="B38:C38"/>
    <mergeCell ref="B16:C16"/>
    <mergeCell ref="B15:C15"/>
    <mergeCell ref="B14:C14"/>
    <mergeCell ref="A5:D5"/>
    <mergeCell ref="A7:D7"/>
    <mergeCell ref="A6:D6"/>
    <mergeCell ref="E20:F20"/>
    <mergeCell ref="B17:C17"/>
    <mergeCell ref="B19:C19"/>
    <mergeCell ref="B20:C20"/>
    <mergeCell ref="B34:C34"/>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9"/>
  <sheetViews>
    <sheetView view="pageBreakPreview" topLeftCell="A25" zoomScaleNormal="85" zoomScaleSheetLayoutView="100" workbookViewId="0">
      <selection activeCell="A32" sqref="A32:XFD32"/>
    </sheetView>
  </sheetViews>
  <sheetFormatPr defaultColWidth="9.140625" defaultRowHeight="12.75" x14ac:dyDescent="0.2"/>
  <cols>
    <col min="1" max="1" width="6.85546875" style="13" customWidth="1"/>
    <col min="2" max="2" width="15.140625" style="13" customWidth="1"/>
    <col min="3" max="3" width="15.28515625" style="13" customWidth="1"/>
    <col min="4" max="4" width="10.85546875" style="13" customWidth="1"/>
    <col min="5" max="5" width="57.28515625" style="13" customWidth="1"/>
    <col min="6" max="6" width="21.42578125" style="13" customWidth="1"/>
    <col min="7" max="10" width="15.7109375" style="13" bestFit="1" customWidth="1"/>
    <col min="11" max="11" width="52.5703125" style="13" customWidth="1"/>
    <col min="12" max="16384" width="9.140625" style="13"/>
  </cols>
  <sheetData>
    <row r="1" spans="1:10" x14ac:dyDescent="0.2">
      <c r="A1" s="435"/>
      <c r="B1" s="435"/>
      <c r="C1" s="435"/>
      <c r="D1" s="435"/>
      <c r="E1" s="435"/>
      <c r="F1" s="435" t="s">
        <v>584</v>
      </c>
      <c r="G1"/>
      <c r="H1"/>
      <c r="I1"/>
    </row>
    <row r="2" spans="1:10" x14ac:dyDescent="0.2">
      <c r="A2" s="435"/>
      <c r="B2" s="435"/>
      <c r="C2" s="435"/>
      <c r="D2" s="435"/>
      <c r="E2" s="435"/>
      <c r="F2" s="435" t="s">
        <v>941</v>
      </c>
      <c r="G2"/>
      <c r="H2"/>
      <c r="I2"/>
    </row>
    <row r="3" spans="1:10" x14ac:dyDescent="0.2">
      <c r="A3" s="435"/>
      <c r="B3" s="435"/>
      <c r="C3" s="435"/>
      <c r="D3" s="435"/>
      <c r="E3" s="435"/>
      <c r="F3" s="947" t="s">
        <v>1612</v>
      </c>
      <c r="G3" s="858"/>
      <c r="H3" s="858"/>
      <c r="I3" s="858"/>
    </row>
    <row r="4" spans="1:10" ht="15.75" x14ac:dyDescent="0.25">
      <c r="A4" s="948" t="s">
        <v>563</v>
      </c>
      <c r="B4" s="747"/>
      <c r="C4" s="747"/>
      <c r="D4" s="747"/>
      <c r="E4" s="747"/>
      <c r="F4" s="747"/>
      <c r="G4"/>
      <c r="H4"/>
      <c r="I4"/>
    </row>
    <row r="5" spans="1:10" ht="15.75" x14ac:dyDescent="0.25">
      <c r="A5" s="948" t="s">
        <v>562</v>
      </c>
      <c r="B5" s="747"/>
      <c r="C5" s="747"/>
      <c r="D5" s="747"/>
      <c r="E5" s="747"/>
      <c r="F5" s="747"/>
      <c r="G5"/>
      <c r="H5"/>
      <c r="I5"/>
    </row>
    <row r="6" spans="1:10" ht="15.75" x14ac:dyDescent="0.25">
      <c r="A6" s="948" t="s">
        <v>879</v>
      </c>
      <c r="B6" s="747"/>
      <c r="C6" s="747"/>
      <c r="D6" s="747"/>
      <c r="E6" s="747"/>
      <c r="F6" s="747"/>
      <c r="G6"/>
      <c r="H6"/>
      <c r="I6"/>
    </row>
    <row r="7" spans="1:10" ht="15.75" x14ac:dyDescent="0.25">
      <c r="A7"/>
      <c r="B7"/>
      <c r="C7" s="948" t="s">
        <v>1537</v>
      </c>
      <c r="D7" s="747"/>
      <c r="E7" s="747"/>
      <c r="F7"/>
      <c r="G7"/>
      <c r="H7"/>
      <c r="I7"/>
    </row>
    <row r="8" spans="1:10" ht="12.75" customHeight="1" x14ac:dyDescent="0.25">
      <c r="A8" s="436"/>
      <c r="B8" s="436"/>
      <c r="C8" s="436"/>
      <c r="D8" s="436"/>
      <c r="E8" s="436"/>
      <c r="F8" s="436"/>
      <c r="G8" s="436"/>
      <c r="H8" s="436"/>
      <c r="I8" s="436"/>
      <c r="J8" s="291"/>
    </row>
    <row r="9" spans="1:10" x14ac:dyDescent="0.2">
      <c r="A9" s="818">
        <v>2256400000</v>
      </c>
      <c r="B9" s="747"/>
      <c r="C9" s="433"/>
      <c r="D9" s="433"/>
      <c r="E9" s="433"/>
      <c r="F9" s="433"/>
      <c r="G9"/>
      <c r="H9"/>
      <c r="I9"/>
    </row>
    <row r="10" spans="1:10" x14ac:dyDescent="0.2">
      <c r="A10" s="820" t="s">
        <v>485</v>
      </c>
      <c r="B10" s="945"/>
      <c r="C10" s="433"/>
      <c r="D10" s="433"/>
      <c r="E10" s="433"/>
      <c r="F10" s="433"/>
      <c r="G10"/>
      <c r="H10"/>
      <c r="I10"/>
    </row>
    <row r="11" spans="1:10" ht="13.5" thickBot="1" x14ac:dyDescent="0.25">
      <c r="A11" s="427"/>
      <c r="B11" s="427"/>
      <c r="C11" s="433"/>
      <c r="D11" s="433"/>
      <c r="E11" s="433"/>
      <c r="F11" s="433"/>
      <c r="G11"/>
      <c r="H11"/>
      <c r="I11"/>
    </row>
    <row r="12" spans="1:10" ht="48" customHeight="1" thickTop="1" thickBot="1" x14ac:dyDescent="0.25">
      <c r="A12" s="439" t="s">
        <v>314</v>
      </c>
      <c r="B12" s="440" t="s">
        <v>315</v>
      </c>
      <c r="C12" s="440" t="s">
        <v>20</v>
      </c>
      <c r="D12" s="440" t="s">
        <v>16</v>
      </c>
      <c r="E12" s="439" t="s">
        <v>316</v>
      </c>
      <c r="F12" s="441" t="s">
        <v>401</v>
      </c>
      <c r="G12" s="20"/>
    </row>
    <row r="13" spans="1:10" ht="17.25" thickTop="1" thickBot="1" x14ac:dyDescent="0.25">
      <c r="A13" s="442">
        <v>1</v>
      </c>
      <c r="B13" s="443" t="s">
        <v>1089</v>
      </c>
      <c r="C13" s="443" t="s">
        <v>1090</v>
      </c>
      <c r="D13" s="443" t="s">
        <v>51</v>
      </c>
      <c r="E13" s="444" t="s">
        <v>1427</v>
      </c>
      <c r="F13" s="437">
        <v>95000</v>
      </c>
      <c r="G13" s="20"/>
    </row>
    <row r="14" spans="1:10" ht="17.25" thickTop="1" thickBot="1" x14ac:dyDescent="0.25">
      <c r="A14" s="442">
        <v>2</v>
      </c>
      <c r="B14" s="443" t="s">
        <v>1089</v>
      </c>
      <c r="C14" s="443" t="s">
        <v>1090</v>
      </c>
      <c r="D14" s="443" t="s">
        <v>51</v>
      </c>
      <c r="E14" s="444" t="s">
        <v>1550</v>
      </c>
      <c r="F14" s="437">
        <f>(450000)-72460</f>
        <v>377540</v>
      </c>
      <c r="G14" s="20"/>
    </row>
    <row r="15" spans="1:10" ht="53.45" customHeight="1" thickTop="1" thickBot="1" x14ac:dyDescent="0.25">
      <c r="A15" s="442">
        <v>3</v>
      </c>
      <c r="B15" s="443" t="s">
        <v>1089</v>
      </c>
      <c r="C15" s="443" t="s">
        <v>1090</v>
      </c>
      <c r="D15" s="443" t="s">
        <v>51</v>
      </c>
      <c r="E15" s="444" t="s">
        <v>1729</v>
      </c>
      <c r="F15" s="438">
        <v>140000</v>
      </c>
      <c r="G15" s="20"/>
    </row>
    <row r="16" spans="1:10" ht="48.75" thickTop="1" thickBot="1" x14ac:dyDescent="0.25">
      <c r="A16" s="442">
        <v>4</v>
      </c>
      <c r="B16" s="443" t="s">
        <v>1089</v>
      </c>
      <c r="C16" s="443" t="s">
        <v>1090</v>
      </c>
      <c r="D16" s="443" t="s">
        <v>51</v>
      </c>
      <c r="E16" s="444" t="s">
        <v>1551</v>
      </c>
      <c r="F16" s="438">
        <f>(100000)</f>
        <v>100000</v>
      </c>
      <c r="G16" s="20"/>
    </row>
    <row r="17" spans="1:7" ht="48.75" thickTop="1" thickBot="1" x14ac:dyDescent="0.25">
      <c r="A17" s="442">
        <v>5</v>
      </c>
      <c r="B17" s="443" t="s">
        <v>1089</v>
      </c>
      <c r="C17" s="443" t="s">
        <v>1090</v>
      </c>
      <c r="D17" s="443" t="s">
        <v>51</v>
      </c>
      <c r="E17" s="444" t="s">
        <v>1552</v>
      </c>
      <c r="F17" s="438">
        <v>170000</v>
      </c>
      <c r="G17" s="20"/>
    </row>
    <row r="18" spans="1:7" ht="17.25" hidden="1" thickTop="1" thickBot="1" x14ac:dyDescent="0.25">
      <c r="A18" s="442">
        <v>6</v>
      </c>
      <c r="B18" s="443" t="s">
        <v>1089</v>
      </c>
      <c r="C18" s="443" t="s">
        <v>1090</v>
      </c>
      <c r="D18" s="443" t="s">
        <v>51</v>
      </c>
      <c r="E18" s="444" t="s">
        <v>1553</v>
      </c>
      <c r="F18" s="438">
        <f>(625000)-625000</f>
        <v>0</v>
      </c>
      <c r="G18" s="20"/>
    </row>
    <row r="19" spans="1:7" ht="33" thickTop="1" thickBot="1" x14ac:dyDescent="0.25">
      <c r="A19" s="442">
        <v>6</v>
      </c>
      <c r="B19" s="443" t="s">
        <v>1089</v>
      </c>
      <c r="C19" s="443" t="s">
        <v>1090</v>
      </c>
      <c r="D19" s="443" t="s">
        <v>51</v>
      </c>
      <c r="E19" s="444" t="s">
        <v>1554</v>
      </c>
      <c r="F19" s="438">
        <v>90000</v>
      </c>
      <c r="G19" s="20"/>
    </row>
    <row r="20" spans="1:7" ht="48.75" thickTop="1" thickBot="1" x14ac:dyDescent="0.25">
      <c r="A20" s="442">
        <v>7</v>
      </c>
      <c r="B20" s="443" t="s">
        <v>1089</v>
      </c>
      <c r="C20" s="443" t="s">
        <v>1090</v>
      </c>
      <c r="D20" s="443" t="s">
        <v>51</v>
      </c>
      <c r="E20" s="444" t="s">
        <v>1555</v>
      </c>
      <c r="F20" s="438">
        <v>60000</v>
      </c>
      <c r="G20" s="20"/>
    </row>
    <row r="21" spans="1:7" ht="48.75" thickTop="1" thickBot="1" x14ac:dyDescent="0.25">
      <c r="A21" s="442">
        <v>8</v>
      </c>
      <c r="B21" s="443" t="s">
        <v>1089</v>
      </c>
      <c r="C21" s="443" t="s">
        <v>1090</v>
      </c>
      <c r="D21" s="443" t="s">
        <v>51</v>
      </c>
      <c r="E21" s="444" t="s">
        <v>1558</v>
      </c>
      <c r="F21" s="438">
        <v>140000</v>
      </c>
      <c r="G21" s="20"/>
    </row>
    <row r="22" spans="1:7" ht="33" thickTop="1" thickBot="1" x14ac:dyDescent="0.25">
      <c r="A22" s="442">
        <v>9</v>
      </c>
      <c r="B22" s="443" t="s">
        <v>1089</v>
      </c>
      <c r="C22" s="443" t="s">
        <v>1090</v>
      </c>
      <c r="D22" s="443" t="s">
        <v>51</v>
      </c>
      <c r="E22" s="444" t="s">
        <v>1556</v>
      </c>
      <c r="F22" s="438">
        <f>(30000)+20000</f>
        <v>50000</v>
      </c>
      <c r="G22" s="20"/>
    </row>
    <row r="23" spans="1:7" ht="80.25" thickTop="1" thickBot="1" x14ac:dyDescent="0.25">
      <c r="A23" s="442">
        <v>10</v>
      </c>
      <c r="B23" s="443" t="s">
        <v>1089</v>
      </c>
      <c r="C23" s="443" t="s">
        <v>1090</v>
      </c>
      <c r="D23" s="443" t="s">
        <v>51</v>
      </c>
      <c r="E23" s="444" t="s">
        <v>1557</v>
      </c>
      <c r="F23" s="438">
        <v>100000</v>
      </c>
      <c r="G23" s="20"/>
    </row>
    <row r="24" spans="1:7" ht="80.25" thickTop="1" thickBot="1" x14ac:dyDescent="0.25">
      <c r="A24" s="442">
        <v>11</v>
      </c>
      <c r="B24" s="443" t="s">
        <v>1089</v>
      </c>
      <c r="C24" s="443" t="s">
        <v>1090</v>
      </c>
      <c r="D24" s="443" t="s">
        <v>51</v>
      </c>
      <c r="E24" s="444" t="s">
        <v>1681</v>
      </c>
      <c r="F24" s="438">
        <f>(128677.63)-28750</f>
        <v>99927.63</v>
      </c>
      <c r="G24" s="20"/>
    </row>
    <row r="25" spans="1:7" ht="127.5" thickTop="1" thickBot="1" x14ac:dyDescent="0.25">
      <c r="A25" s="442">
        <v>12</v>
      </c>
      <c r="B25" s="443" t="s">
        <v>1089</v>
      </c>
      <c r="C25" s="443" t="s">
        <v>1090</v>
      </c>
      <c r="D25" s="443" t="s">
        <v>51</v>
      </c>
      <c r="E25" s="444" t="s">
        <v>1682</v>
      </c>
      <c r="F25" s="438">
        <v>2900000</v>
      </c>
      <c r="G25" s="20"/>
    </row>
    <row r="26" spans="1:7" ht="33" thickTop="1" thickBot="1" x14ac:dyDescent="0.25">
      <c r="A26" s="442">
        <v>13</v>
      </c>
      <c r="B26" s="443" t="s">
        <v>1089</v>
      </c>
      <c r="C26" s="443" t="s">
        <v>1090</v>
      </c>
      <c r="D26" s="443" t="s">
        <v>51</v>
      </c>
      <c r="E26" s="444" t="s">
        <v>1683</v>
      </c>
      <c r="F26" s="438">
        <f>(400000)+726210</f>
        <v>1126210</v>
      </c>
      <c r="G26" s="20"/>
    </row>
    <row r="27" spans="1:7" ht="32.25" customHeight="1" thickTop="1" thickBot="1" x14ac:dyDescent="0.25">
      <c r="A27" s="583" t="s">
        <v>377</v>
      </c>
      <c r="B27" s="583" t="s">
        <v>377</v>
      </c>
      <c r="C27" s="583" t="s">
        <v>377</v>
      </c>
      <c r="D27" s="583" t="s">
        <v>377</v>
      </c>
      <c r="E27" s="583" t="s">
        <v>387</v>
      </c>
      <c r="F27" s="584">
        <f>SUM(F13:F26)</f>
        <v>5448677.6299999999</v>
      </c>
      <c r="G27" s="522" t="b">
        <f>F27='d3'!P416</f>
        <v>1</v>
      </c>
    </row>
    <row r="28" spans="1:7" ht="16.5" thickTop="1" x14ac:dyDescent="0.2">
      <c r="A28" s="445"/>
      <c r="B28" s="445"/>
      <c r="C28" s="445"/>
      <c r="D28" s="445"/>
      <c r="E28" s="445"/>
      <c r="F28" s="446"/>
    </row>
    <row r="29" spans="1:7" ht="15.75" hidden="1" customHeight="1" x14ac:dyDescent="0.25">
      <c r="A29" s="429"/>
      <c r="B29" s="1"/>
      <c r="C29" s="447"/>
      <c r="D29" s="1"/>
      <c r="E29" s="1"/>
      <c r="F29" s="1"/>
    </row>
    <row r="30" spans="1:7" ht="27" hidden="1" customHeight="1" x14ac:dyDescent="0.2">
      <c r="A30" s="946" t="s">
        <v>516</v>
      </c>
      <c r="B30" s="946"/>
      <c r="C30" s="946"/>
      <c r="D30" s="946"/>
      <c r="E30" s="429"/>
      <c r="F30" s="449" t="s">
        <v>517</v>
      </c>
    </row>
    <row r="31" spans="1:7" ht="15.75" hidden="1" x14ac:dyDescent="0.2">
      <c r="A31" s="448"/>
      <c r="B31" s="448"/>
      <c r="C31" s="448"/>
      <c r="D31" s="448"/>
      <c r="E31" s="429"/>
      <c r="F31" s="450"/>
    </row>
    <row r="32" spans="1:7" ht="15.75" hidden="1" x14ac:dyDescent="0.25">
      <c r="A32" s="429"/>
      <c r="B32" s="830" t="s">
        <v>1649</v>
      </c>
      <c r="C32" s="887"/>
      <c r="D32" s="321"/>
      <c r="E32" s="1"/>
      <c r="F32" s="321" t="s">
        <v>1650</v>
      </c>
    </row>
    <row r="33" spans="1:6" ht="15.75" hidden="1" x14ac:dyDescent="0.25">
      <c r="A33" s="429"/>
      <c r="B33" s="319" t="s">
        <v>1409</v>
      </c>
      <c r="C33" s="325"/>
      <c r="D33" s="319"/>
      <c r="E33" s="319"/>
      <c r="F33" s="319" t="s">
        <v>1377</v>
      </c>
    </row>
    <row r="34" spans="1:6" ht="39" customHeight="1" x14ac:dyDescent="0.2">
      <c r="A34" s="429"/>
      <c r="B34" s="953" t="s">
        <v>1751</v>
      </c>
      <c r="C34" s="953"/>
      <c r="D34" s="953"/>
      <c r="E34" s="953"/>
      <c r="F34" s="954" t="s">
        <v>1750</v>
      </c>
    </row>
    <row r="35" spans="1:6" ht="15.75" x14ac:dyDescent="0.25">
      <c r="A35" s="448"/>
      <c r="B35" s="319"/>
      <c r="C35" s="319"/>
      <c r="D35" s="319"/>
      <c r="E35" s="319"/>
      <c r="F35" s="319"/>
    </row>
    <row r="36" spans="1:6" ht="15.75" x14ac:dyDescent="0.25">
      <c r="A36" s="448"/>
      <c r="B36" s="830" t="s">
        <v>516</v>
      </c>
      <c r="C36" s="887"/>
      <c r="D36" s="319"/>
      <c r="E36" s="319"/>
      <c r="F36" s="319" t="s">
        <v>1290</v>
      </c>
    </row>
    <row r="85" spans="7:7" x14ac:dyDescent="0.2">
      <c r="G85" s="823"/>
    </row>
    <row r="86" spans="7:7" x14ac:dyDescent="0.2">
      <c r="G86" s="823"/>
    </row>
    <row r="120" spans="4:4" x14ac:dyDescent="0.2">
      <c r="D120" s="13">
        <f>SUM(D121:D133)+D140</f>
        <v>88281</v>
      </c>
    </row>
    <row r="140" spans="1:10" x14ac:dyDescent="0.2">
      <c r="A140" s="13">
        <v>41057700</v>
      </c>
      <c r="B140" s="13" t="s">
        <v>1316</v>
      </c>
      <c r="D140" s="13">
        <v>88281</v>
      </c>
    </row>
    <row r="141" spans="1:10" x14ac:dyDescent="0.2">
      <c r="G141" s="13" t="e">
        <f>C141=C137+C136+C135+C115+C109+C103+C97+C96+C92+C91+C90+C89+C86+C85+C84+C83+C81+C80+C78+C76+C75+C74+C71+C70+C69+C67+C66+C62+C61+C60+C57+C56+C55+C53+C52+C48+C47+C46+C45+C44+C43+C42+C41+C40+C39+C35+C31+C28+#REF!+#REF!+#REF!+#REF!+#REF!+#REF!+#REF!+C101+C100+C36+C50+C126+C125+C107+C140</f>
        <v>#REF!</v>
      </c>
      <c r="H141" s="13" t="e">
        <f>D141=D137+D136+D135+D115+D109+D103+D97+D96+D92+D91+D90+D89+D86+D85+D84+D83+D81+D80+D78+D76+D75+D74+D71+D70+D69+D67+D66+D62+D61+D60+D57+D56+D55+D53+D52+D48+D47+D46+D45+D44+D43+D42+D41+D40+D39+D35+D31+D28+#REF!+#REF!+#REF!+#REF!+#REF!+#REF!+#REF!+D101+D100+D36+D50+D126+D125+D107+D140</f>
        <v>#REF!</v>
      </c>
      <c r="I141" s="13" t="e">
        <f>E141=E137+E136+E135+E115+E109+E103+E97+E96+E92+E91+E90+E89+E86+E85+E84+E83+E81+E80+E78+E76+E75+E74+E71+E70+E69+E67+E66+E62+E61+E60+E57+E56+E55+E53+E52+E48+E47+E46+E45+E44+E43+E42+E41+E40+E39+E35+E31+E28+#REF!+#REF!+#REF!+#REF!+#REF!+#REF!+#REF!+E101+E100+E36+E50+E126+E125+E107+E140</f>
        <v>#REF!</v>
      </c>
      <c r="J141" s="13" t="e">
        <f>F141=F137+F136+F135+F115+F109+F103+F97+F96+F92+F91+F90+F89+F86+F85+F84+F83+F81+F80+F78+F76+F75+F74+F71+F70+F69+F67+F66+F62+F61+F60+F57+F56+F55+F53+F52+F48+F47+F46+F45+F44+F43+F42+F41+F40+F39+F35+F31+F28+#REF!+#REF!+#REF!+#REF!+#REF!+#REF!+#REF!+F101+F100+F36+F50+F126+F125+F107+F140</f>
        <v>#REF!</v>
      </c>
    </row>
    <row r="142" spans="1:10" x14ac:dyDescent="0.2">
      <c r="G142" s="13" t="b">
        <f>(3453807039-'d2'!C38+7423154+961639+622418100+3715400+4544686)+16400+4309689+6350319+16579700+88281=C141</f>
        <v>0</v>
      </c>
    </row>
    <row r="147" spans="7:10" ht="46.5" x14ac:dyDescent="0.65">
      <c r="J147" s="9"/>
    </row>
    <row r="150" spans="7:10" ht="46.5" x14ac:dyDescent="0.65">
      <c r="G150" s="9"/>
      <c r="J150" s="9"/>
    </row>
    <row r="169" spans="11:11" ht="90" x14ac:dyDescent="1.1499999999999999">
      <c r="K169" s="292" t="b">
        <f>G169=H169+I169</f>
        <v>1</v>
      </c>
    </row>
  </sheetData>
  <mergeCells count="12">
    <mergeCell ref="A10:B10"/>
    <mergeCell ref="A30:D30"/>
    <mergeCell ref="G85:G86"/>
    <mergeCell ref="F3:I3"/>
    <mergeCell ref="A4:F4"/>
    <mergeCell ref="A5:F5"/>
    <mergeCell ref="A6:F6"/>
    <mergeCell ref="C7:E7"/>
    <mergeCell ref="A9:B9"/>
    <mergeCell ref="B36:C36"/>
    <mergeCell ref="B32:C32"/>
    <mergeCell ref="B34:E34"/>
  </mergeCells>
  <pageMargins left="0.74803149606299213" right="0.74803149606299213" top="0.98425196850393704" bottom="0.98425196850393704"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18</vt:i4>
      </vt:variant>
    </vt:vector>
  </HeadingPairs>
  <TitlesOfParts>
    <vt:vector size="31" baseType="lpstr">
      <vt:lpstr>d1</vt:lpstr>
      <vt:lpstr>d2</vt:lpstr>
      <vt:lpstr>d3</vt:lpstr>
      <vt:lpstr>d4</vt:lpstr>
      <vt:lpstr>d5</vt:lpstr>
      <vt:lpstr>d6</vt:lpstr>
      <vt:lpstr>d7</vt:lpstr>
      <vt:lpstr>d8</vt:lpstr>
      <vt:lpstr>d9</vt:lpstr>
      <vt:lpstr>d1П</vt:lpstr>
      <vt:lpstr>d1РП</vt:lpstr>
      <vt:lpstr>d3П</vt:lpstr>
      <vt:lpstr>d3РП</vt:lpstr>
      <vt:lpstr>'d3'!Заголовки_для_друку</vt:lpstr>
      <vt:lpstr>d3П!Заголовки_для_друку</vt:lpstr>
      <vt:lpstr>d3РП!Заголовки_для_друку</vt:lpstr>
      <vt:lpstr>'d6'!Заголовки_для_друку</vt:lpstr>
      <vt:lpstr>'d7'!Заголовки_для_друку</vt:lpstr>
      <vt:lpstr>'d1'!Область_друку</vt:lpstr>
      <vt:lpstr>d1П!Область_друку</vt:lpstr>
      <vt:lpstr>d1РП!Область_друку</vt:lpstr>
      <vt:lpstr>'d2'!Область_друку</vt:lpstr>
      <vt:lpstr>'d3'!Область_друку</vt:lpstr>
      <vt:lpstr>d3П!Область_друку</vt:lpstr>
      <vt:lpstr>d3РП!Область_друку</vt:lpstr>
      <vt:lpstr>'d4'!Область_друку</vt:lpstr>
      <vt:lpstr>'d5'!Область_друку</vt:lpstr>
      <vt:lpstr>'d6'!Область_друку</vt:lpstr>
      <vt:lpstr>'d7'!Область_друку</vt:lpstr>
      <vt:lpstr>'d8'!Область_друку</vt:lpstr>
      <vt:lpstr>'d9'!Область_друку</vt:lpstr>
    </vt:vector>
  </TitlesOfParts>
  <Company>Міське фінуправління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Ковтун Денис Леонідович</cp:lastModifiedBy>
  <cp:lastPrinted>2025-09-09T08:24:05Z</cp:lastPrinted>
  <dcterms:created xsi:type="dcterms:W3CDTF">2001-12-03T09:30:42Z</dcterms:created>
  <dcterms:modified xsi:type="dcterms:W3CDTF">2025-09-09T08:28:07Z</dcterms:modified>
</cp:coreProperties>
</file>