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ЦяКнига"/>
  <mc:AlternateContent xmlns:mc="http://schemas.openxmlformats.org/markup-compatibility/2006">
    <mc:Choice Requires="x15">
      <x15ac:absPath xmlns:x15ac="http://schemas.microsoft.com/office/spreadsheetml/2010/11/ac" url="O:\BUDJET\2026\Рішення від .06.2026 №\Рішення МВК від 11.06.2026 №\"/>
    </mc:Choice>
  </mc:AlternateContent>
  <xr:revisionPtr revIDLastSave="0" documentId="13_ncr:1_{E770A381-19AA-4741-9498-8A8389521D89}" xr6:coauthVersionLast="47" xr6:coauthVersionMax="47" xr10:uidLastSave="{00000000-0000-0000-0000-000000000000}"/>
  <bookViews>
    <workbookView xWindow="-120" yWindow="-120" windowWidth="29040" windowHeight="15720" tabRatio="583" activeTab="1"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1" r:id="rId10"/>
    <sheet name="d1-РП" sheetId="202" r:id="rId11"/>
    <sheet name="d3-П" sheetId="200" r:id="rId12"/>
    <sheet name="d3-РП" sheetId="203" r:id="rId13"/>
  </sheet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'd6'!$9:$11</definedName>
    <definedName name="_xlnm.Print_Titles" localSheetId="6">'d7'!$12:$14</definedName>
    <definedName name="_xlnm.Print_Area" localSheetId="0">'d1'!$A$1:$F$167</definedName>
    <definedName name="_xlnm.Print_Area" localSheetId="9">'d1-П'!$A$1:$F$166</definedName>
    <definedName name="_xlnm.Print_Area" localSheetId="10">'d1-РП'!$A$1:$F$166</definedName>
    <definedName name="_xlnm.Print_Area" localSheetId="1">'d2'!$A$1:$F$73</definedName>
    <definedName name="_xlnm.Print_Area" localSheetId="2">'d3'!$A$1:$P$475</definedName>
    <definedName name="_xlnm.Print_Area" localSheetId="11">'d3-П'!$A$1:$P$468</definedName>
    <definedName name="_xlnm.Print_Area" localSheetId="12">'d3-РП'!$A$1:$P$469</definedName>
    <definedName name="_xlnm.Print_Area" localSheetId="3">'d4'!$B$1:$Q$35</definedName>
    <definedName name="_xlnm.Print_Area" localSheetId="4">'d5'!$A$1:$D$133</definedName>
    <definedName name="_xlnm.Print_Area" localSheetId="5">'d6'!$B$1:$O$103</definedName>
    <definedName name="_xlnm.Print_Area" localSheetId="6">'d7'!$A$1:$J$416</definedName>
    <definedName name="_xlnm.Print_Area" localSheetId="7">'d8'!$A$1:$D$42</definedName>
    <definedName name="_xlnm.Print_Area" localSheetId="8">'d9'!$A$1:$F$43</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72" l="1"/>
  <c r="J31" i="172"/>
  <c r="G35" i="172"/>
  <c r="H35" i="172"/>
  <c r="H34" i="172" l="1"/>
  <c r="H33" i="172"/>
  <c r="F125" i="170"/>
  <c r="O471" i="165"/>
  <c r="K471" i="165"/>
  <c r="J471" i="165"/>
  <c r="F471" i="165"/>
  <c r="E471" i="165"/>
  <c r="J308" i="167"/>
  <c r="I308" i="167"/>
  <c r="H289" i="167"/>
  <c r="K326" i="165"/>
  <c r="F316" i="165"/>
  <c r="J276" i="167"/>
  <c r="I276" i="167"/>
  <c r="H276" i="167"/>
  <c r="G323" i="167"/>
  <c r="J323" i="167"/>
  <c r="I323" i="167"/>
  <c r="H323" i="167"/>
  <c r="E126" i="170"/>
  <c r="D96" i="170"/>
  <c r="D101" i="170"/>
  <c r="D125" i="170"/>
  <c r="E125" i="170"/>
  <c r="D126" i="170"/>
  <c r="E98" i="170"/>
  <c r="O336" i="165"/>
  <c r="N336" i="165"/>
  <c r="M336" i="165"/>
  <c r="L336" i="165"/>
  <c r="K336" i="165"/>
  <c r="J336" i="165"/>
  <c r="I336" i="165"/>
  <c r="H336" i="165"/>
  <c r="G336" i="165"/>
  <c r="F336" i="165"/>
  <c r="O338" i="165"/>
  <c r="J338" i="165"/>
  <c r="E338" i="165"/>
  <c r="F462" i="165"/>
  <c r="I471" i="165"/>
  <c r="H50" i="167"/>
  <c r="D97" i="170"/>
  <c r="I48" i="165"/>
  <c r="F48" i="165"/>
  <c r="P338" i="165" l="1"/>
  <c r="L328" i="165"/>
  <c r="L471" i="165"/>
  <c r="P471" i="165"/>
  <c r="H53" i="167"/>
  <c r="H51" i="167"/>
  <c r="H55" i="167"/>
  <c r="H52" i="167"/>
  <c r="H56" i="167"/>
  <c r="H54" i="167"/>
  <c r="I316" i="165" l="1"/>
  <c r="H41" i="167"/>
  <c r="I40" i="165"/>
  <c r="I54" i="165"/>
  <c r="F54" i="165"/>
  <c r="H191" i="167" l="1"/>
  <c r="H189" i="167"/>
  <c r="H190" i="167"/>
  <c r="H186" i="167"/>
  <c r="H180" i="167"/>
  <c r="H181" i="167"/>
  <c r="H254" i="167" l="1"/>
  <c r="I285" i="165"/>
  <c r="F454" i="165"/>
  <c r="N467" i="203"/>
  <c r="M467" i="203"/>
  <c r="L467" i="203"/>
  <c r="K467" i="203"/>
  <c r="I467" i="203"/>
  <c r="H467" i="203"/>
  <c r="G467" i="203"/>
  <c r="F467" i="203"/>
  <c r="N464" i="203"/>
  <c r="M464" i="203"/>
  <c r="L464" i="203"/>
  <c r="K464" i="203"/>
  <c r="I464" i="203"/>
  <c r="H464" i="203"/>
  <c r="G464" i="203"/>
  <c r="N461" i="203"/>
  <c r="M461" i="203"/>
  <c r="L461" i="203"/>
  <c r="K461" i="203"/>
  <c r="I461" i="203"/>
  <c r="H461" i="203"/>
  <c r="G461" i="203"/>
  <c r="F461" i="203"/>
  <c r="N459" i="203"/>
  <c r="M459" i="203"/>
  <c r="L459" i="203"/>
  <c r="K459" i="203"/>
  <c r="I459" i="203"/>
  <c r="H459" i="203"/>
  <c r="G459" i="203"/>
  <c r="F459" i="203"/>
  <c r="N457" i="203"/>
  <c r="M457" i="203"/>
  <c r="L457" i="203"/>
  <c r="K457" i="203"/>
  <c r="I457" i="203"/>
  <c r="H457" i="203"/>
  <c r="G457" i="203"/>
  <c r="F457" i="203"/>
  <c r="N454" i="203"/>
  <c r="M454" i="203"/>
  <c r="L454" i="203"/>
  <c r="K454" i="203"/>
  <c r="I454" i="203"/>
  <c r="H454" i="203"/>
  <c r="G454" i="203"/>
  <c r="F454" i="203"/>
  <c r="N453" i="203"/>
  <c r="M453" i="203"/>
  <c r="L453" i="203"/>
  <c r="K453" i="203"/>
  <c r="I453" i="203"/>
  <c r="H453" i="203"/>
  <c r="G453" i="203"/>
  <c r="F453" i="203"/>
  <c r="N449" i="203"/>
  <c r="M449" i="203"/>
  <c r="L449" i="203"/>
  <c r="K449" i="203"/>
  <c r="I449" i="203"/>
  <c r="H449" i="203"/>
  <c r="G449" i="203"/>
  <c r="F449" i="203"/>
  <c r="N447" i="203"/>
  <c r="M447" i="203"/>
  <c r="L447" i="203"/>
  <c r="K447" i="203"/>
  <c r="I447" i="203"/>
  <c r="H447" i="203"/>
  <c r="G447" i="203"/>
  <c r="N444" i="203"/>
  <c r="M444" i="203"/>
  <c r="L444" i="203"/>
  <c r="K444" i="203"/>
  <c r="I444" i="203"/>
  <c r="H444" i="203"/>
  <c r="G444" i="203"/>
  <c r="N440" i="203"/>
  <c r="M440" i="203"/>
  <c r="L440" i="203"/>
  <c r="K440" i="203"/>
  <c r="I440" i="203"/>
  <c r="H440" i="203"/>
  <c r="G440" i="203"/>
  <c r="F440" i="203"/>
  <c r="N438" i="203"/>
  <c r="M438" i="203"/>
  <c r="L438" i="203"/>
  <c r="K438" i="203"/>
  <c r="I438" i="203"/>
  <c r="H438" i="203"/>
  <c r="G438" i="203"/>
  <c r="F438" i="203"/>
  <c r="N435" i="203"/>
  <c r="M435" i="203"/>
  <c r="L435" i="203"/>
  <c r="K435" i="203"/>
  <c r="I435" i="203"/>
  <c r="H435" i="203"/>
  <c r="G435" i="203"/>
  <c r="F435" i="203"/>
  <c r="N433" i="203"/>
  <c r="M433" i="203"/>
  <c r="L433" i="203"/>
  <c r="K433" i="203"/>
  <c r="I433" i="203"/>
  <c r="H433" i="203"/>
  <c r="G433" i="203"/>
  <c r="F433" i="203"/>
  <c r="N432" i="203"/>
  <c r="M432" i="203"/>
  <c r="L432" i="203"/>
  <c r="K432" i="203"/>
  <c r="I432" i="203"/>
  <c r="H432" i="203"/>
  <c r="G432" i="203"/>
  <c r="N418" i="203"/>
  <c r="M418" i="203"/>
  <c r="L418" i="203"/>
  <c r="K418" i="203"/>
  <c r="H418" i="203"/>
  <c r="G418" i="203"/>
  <c r="N416" i="203"/>
  <c r="M416" i="203"/>
  <c r="L416" i="203"/>
  <c r="I416" i="203"/>
  <c r="H416" i="203"/>
  <c r="G416" i="203"/>
  <c r="N413" i="203"/>
  <c r="M413" i="203"/>
  <c r="L413" i="203"/>
  <c r="K413" i="203"/>
  <c r="H413" i="203"/>
  <c r="G413" i="203"/>
  <c r="N412" i="203"/>
  <c r="M412" i="203"/>
  <c r="L412" i="203"/>
  <c r="I412" i="203"/>
  <c r="H412" i="203"/>
  <c r="G412" i="203"/>
  <c r="N408" i="203"/>
  <c r="M408" i="203"/>
  <c r="L408" i="203"/>
  <c r="K408" i="203"/>
  <c r="I408" i="203"/>
  <c r="H408" i="203"/>
  <c r="G408" i="203"/>
  <c r="F408" i="203"/>
  <c r="N406" i="203"/>
  <c r="M406" i="203"/>
  <c r="L406" i="203"/>
  <c r="K406" i="203"/>
  <c r="I406" i="203"/>
  <c r="H406" i="203"/>
  <c r="G406" i="203"/>
  <c r="N403" i="203"/>
  <c r="M403" i="203"/>
  <c r="L403" i="203"/>
  <c r="K403" i="203"/>
  <c r="I403" i="203"/>
  <c r="H403" i="203"/>
  <c r="G403" i="203"/>
  <c r="F403" i="203"/>
  <c r="N401" i="203"/>
  <c r="M401" i="203"/>
  <c r="L401" i="203"/>
  <c r="K401" i="203"/>
  <c r="I401" i="203"/>
  <c r="H401" i="203"/>
  <c r="G401" i="203"/>
  <c r="N400" i="203"/>
  <c r="M400" i="203"/>
  <c r="L400" i="203"/>
  <c r="I400" i="203"/>
  <c r="H400" i="203"/>
  <c r="G400" i="203"/>
  <c r="F400" i="203"/>
  <c r="N399" i="203"/>
  <c r="M399" i="203"/>
  <c r="L399" i="203"/>
  <c r="K399" i="203"/>
  <c r="I399" i="203"/>
  <c r="H399" i="203"/>
  <c r="G399" i="203"/>
  <c r="F399" i="203"/>
  <c r="N397" i="203"/>
  <c r="M397" i="203"/>
  <c r="L397" i="203"/>
  <c r="K397" i="203"/>
  <c r="I397" i="203"/>
  <c r="H397" i="203"/>
  <c r="G397" i="203"/>
  <c r="N394" i="203"/>
  <c r="M394" i="203"/>
  <c r="L394" i="203"/>
  <c r="I394" i="203"/>
  <c r="H394" i="203"/>
  <c r="G394" i="203"/>
  <c r="F394" i="203"/>
  <c r="E394" i="203"/>
  <c r="N391" i="203"/>
  <c r="M391" i="203"/>
  <c r="L391" i="203"/>
  <c r="K391" i="203"/>
  <c r="I391" i="203"/>
  <c r="H391" i="203"/>
  <c r="G391" i="203"/>
  <c r="F391" i="203"/>
  <c r="N390" i="203"/>
  <c r="M390" i="203"/>
  <c r="L390" i="203"/>
  <c r="K390" i="203"/>
  <c r="I390" i="203"/>
  <c r="H390" i="203"/>
  <c r="G390" i="203"/>
  <c r="N385" i="203"/>
  <c r="M385" i="203"/>
  <c r="L385" i="203"/>
  <c r="I385" i="203"/>
  <c r="H385" i="203"/>
  <c r="G385" i="203"/>
  <c r="F385" i="203"/>
  <c r="N384" i="203"/>
  <c r="M384" i="203"/>
  <c r="L384" i="203"/>
  <c r="I384" i="203"/>
  <c r="H384" i="203"/>
  <c r="G384" i="203"/>
  <c r="F384" i="203"/>
  <c r="N381" i="203"/>
  <c r="M381" i="203"/>
  <c r="L381" i="203"/>
  <c r="K381" i="203"/>
  <c r="I381" i="203"/>
  <c r="H381" i="203"/>
  <c r="G381" i="203"/>
  <c r="F381" i="203"/>
  <c r="N380" i="203"/>
  <c r="M380" i="203"/>
  <c r="L380" i="203"/>
  <c r="K380" i="203"/>
  <c r="I380" i="203"/>
  <c r="H380" i="203"/>
  <c r="G380" i="203"/>
  <c r="F380" i="203"/>
  <c r="N379" i="203"/>
  <c r="M379" i="203"/>
  <c r="L379" i="203"/>
  <c r="K379" i="203"/>
  <c r="I379" i="203"/>
  <c r="H379" i="203"/>
  <c r="G379" i="203"/>
  <c r="N375" i="203"/>
  <c r="M375" i="203"/>
  <c r="L375" i="203"/>
  <c r="K375" i="203"/>
  <c r="I375" i="203"/>
  <c r="H375" i="203"/>
  <c r="G375" i="203"/>
  <c r="F375" i="203"/>
  <c r="P374" i="203"/>
  <c r="O374" i="203"/>
  <c r="N374" i="203"/>
  <c r="M374" i="203"/>
  <c r="L374" i="203"/>
  <c r="K374" i="203"/>
  <c r="J374" i="203"/>
  <c r="I374" i="203"/>
  <c r="H374" i="203"/>
  <c r="G374" i="203"/>
  <c r="F374" i="203"/>
  <c r="E374" i="203"/>
  <c r="N373" i="203"/>
  <c r="M373" i="203"/>
  <c r="L373" i="203"/>
  <c r="K373" i="203"/>
  <c r="I373" i="203"/>
  <c r="H373" i="203"/>
  <c r="G373" i="203"/>
  <c r="F373" i="203"/>
  <c r="N370" i="203"/>
  <c r="M370" i="203"/>
  <c r="L370" i="203"/>
  <c r="K370" i="203"/>
  <c r="I370" i="203"/>
  <c r="H370" i="203"/>
  <c r="G370" i="203"/>
  <c r="F370" i="203"/>
  <c r="N369" i="203"/>
  <c r="M369" i="203"/>
  <c r="L369" i="203"/>
  <c r="K369" i="203"/>
  <c r="I369" i="203"/>
  <c r="H369" i="203"/>
  <c r="G369" i="203"/>
  <c r="F369" i="203"/>
  <c r="N366" i="203"/>
  <c r="M366" i="203"/>
  <c r="L366" i="203"/>
  <c r="K366" i="203"/>
  <c r="I366" i="203"/>
  <c r="H366" i="203"/>
  <c r="G366" i="203"/>
  <c r="F366" i="203"/>
  <c r="N365" i="203"/>
  <c r="M365" i="203"/>
  <c r="L365" i="203"/>
  <c r="I365" i="203"/>
  <c r="H365" i="203"/>
  <c r="G365" i="203"/>
  <c r="F365" i="203"/>
  <c r="N358" i="203"/>
  <c r="M358" i="203"/>
  <c r="L358" i="203"/>
  <c r="I358" i="203"/>
  <c r="H358" i="203"/>
  <c r="G358" i="203"/>
  <c r="F358" i="203"/>
  <c r="N357" i="203"/>
  <c r="M357" i="203"/>
  <c r="L357" i="203"/>
  <c r="K357" i="203"/>
  <c r="I357" i="203"/>
  <c r="H357" i="203"/>
  <c r="G357" i="203"/>
  <c r="F357" i="203"/>
  <c r="E357" i="203"/>
  <c r="P354" i="203"/>
  <c r="O354" i="203"/>
  <c r="N354" i="203"/>
  <c r="M354" i="203"/>
  <c r="L354" i="203"/>
  <c r="K354" i="203"/>
  <c r="J354" i="203"/>
  <c r="I354" i="203"/>
  <c r="H354" i="203"/>
  <c r="G354" i="203"/>
  <c r="F354" i="203"/>
  <c r="E354" i="203"/>
  <c r="N353" i="203"/>
  <c r="M353" i="203"/>
  <c r="L353" i="203"/>
  <c r="K353" i="203"/>
  <c r="I353" i="203"/>
  <c r="H353" i="203"/>
  <c r="G353" i="203"/>
  <c r="F353" i="203"/>
  <c r="E353" i="203"/>
  <c r="N352" i="203"/>
  <c r="M352" i="203"/>
  <c r="L352" i="203"/>
  <c r="I352" i="203"/>
  <c r="H352" i="203"/>
  <c r="G352" i="203"/>
  <c r="F352" i="203"/>
  <c r="N349" i="203"/>
  <c r="M349" i="203"/>
  <c r="L349" i="203"/>
  <c r="I349" i="203"/>
  <c r="H349" i="203"/>
  <c r="G349" i="203"/>
  <c r="F349" i="203"/>
  <c r="N348" i="203"/>
  <c r="M348" i="203"/>
  <c r="L348" i="203"/>
  <c r="K348" i="203"/>
  <c r="I348" i="203"/>
  <c r="H348" i="203"/>
  <c r="G348" i="203"/>
  <c r="F348" i="203"/>
  <c r="N345" i="203"/>
  <c r="M345" i="203"/>
  <c r="L345" i="203"/>
  <c r="I345" i="203"/>
  <c r="H345" i="203"/>
  <c r="G345" i="203"/>
  <c r="F345" i="203"/>
  <c r="N343" i="203"/>
  <c r="M343" i="203"/>
  <c r="L343" i="203"/>
  <c r="K343" i="203"/>
  <c r="I343" i="203"/>
  <c r="H343" i="203"/>
  <c r="G343" i="203"/>
  <c r="F343" i="203"/>
  <c r="N342" i="203"/>
  <c r="M342" i="203"/>
  <c r="L342" i="203"/>
  <c r="K342" i="203"/>
  <c r="I342" i="203"/>
  <c r="H342" i="203"/>
  <c r="G342" i="203"/>
  <c r="F342" i="203"/>
  <c r="N341" i="203"/>
  <c r="M341" i="203"/>
  <c r="L341" i="203"/>
  <c r="K341" i="203"/>
  <c r="I341" i="203"/>
  <c r="H341" i="203"/>
  <c r="G341" i="203"/>
  <c r="F341" i="203"/>
  <c r="N337" i="203"/>
  <c r="M337" i="203"/>
  <c r="L337" i="203"/>
  <c r="K337" i="203"/>
  <c r="I337" i="203"/>
  <c r="H337" i="203"/>
  <c r="G337" i="203"/>
  <c r="N334" i="203"/>
  <c r="M334" i="203"/>
  <c r="L334" i="203"/>
  <c r="K334" i="203"/>
  <c r="I334" i="203"/>
  <c r="N333" i="203"/>
  <c r="M333" i="203"/>
  <c r="L333" i="203"/>
  <c r="K333" i="203"/>
  <c r="G333" i="203"/>
  <c r="F333" i="203"/>
  <c r="N332" i="203"/>
  <c r="M332" i="203"/>
  <c r="L332" i="203"/>
  <c r="K332" i="203"/>
  <c r="I332" i="203"/>
  <c r="H332" i="203"/>
  <c r="G332" i="203"/>
  <c r="F328" i="203"/>
  <c r="G328" i="203"/>
  <c r="H328" i="203"/>
  <c r="I328" i="203"/>
  <c r="K328" i="203"/>
  <c r="L328" i="203"/>
  <c r="M328" i="203"/>
  <c r="N328" i="203"/>
  <c r="O328" i="203"/>
  <c r="N326" i="203"/>
  <c r="M326" i="203"/>
  <c r="L326" i="203"/>
  <c r="I326" i="203"/>
  <c r="H326" i="203"/>
  <c r="G326" i="203"/>
  <c r="F326" i="203"/>
  <c r="E326" i="203"/>
  <c r="N325" i="203"/>
  <c r="M325" i="203"/>
  <c r="L325" i="203"/>
  <c r="K325" i="203"/>
  <c r="I325" i="203"/>
  <c r="H325" i="203"/>
  <c r="G325" i="203"/>
  <c r="F325" i="203"/>
  <c r="N323" i="203"/>
  <c r="M323" i="203"/>
  <c r="L323" i="203"/>
  <c r="I323" i="203"/>
  <c r="H323" i="203"/>
  <c r="G323" i="203"/>
  <c r="F323" i="203"/>
  <c r="N322" i="203"/>
  <c r="M322" i="203"/>
  <c r="L322" i="203"/>
  <c r="K322" i="203"/>
  <c r="I322" i="203"/>
  <c r="H322" i="203"/>
  <c r="G322" i="203"/>
  <c r="E322" i="203"/>
  <c r="N318" i="203"/>
  <c r="M318" i="203"/>
  <c r="L318" i="203"/>
  <c r="I318" i="203"/>
  <c r="H318" i="203"/>
  <c r="G318" i="203"/>
  <c r="F318" i="203"/>
  <c r="N317" i="203"/>
  <c r="M317" i="203"/>
  <c r="L317" i="203"/>
  <c r="K317" i="203"/>
  <c r="I317" i="203"/>
  <c r="H317" i="203"/>
  <c r="G317" i="203"/>
  <c r="F317" i="203"/>
  <c r="N316" i="203"/>
  <c r="M316" i="203"/>
  <c r="L316" i="203"/>
  <c r="K316" i="203"/>
  <c r="I316" i="203"/>
  <c r="H316" i="203"/>
  <c r="G316" i="203"/>
  <c r="N315" i="203"/>
  <c r="M315" i="203"/>
  <c r="L315" i="203"/>
  <c r="K315" i="203"/>
  <c r="I315" i="203"/>
  <c r="H315" i="203"/>
  <c r="G315" i="203"/>
  <c r="N313" i="203"/>
  <c r="M313" i="203"/>
  <c r="L313" i="203"/>
  <c r="K313" i="203"/>
  <c r="H313" i="203"/>
  <c r="G313" i="203"/>
  <c r="N312" i="203"/>
  <c r="M312" i="203"/>
  <c r="L312" i="203"/>
  <c r="K312" i="203"/>
  <c r="I312" i="203"/>
  <c r="H312" i="203"/>
  <c r="G312" i="203"/>
  <c r="N309" i="203"/>
  <c r="M309" i="203"/>
  <c r="L309" i="203"/>
  <c r="K309" i="203"/>
  <c r="I309" i="203"/>
  <c r="H309" i="203"/>
  <c r="G309" i="203"/>
  <c r="F309" i="203"/>
  <c r="N308" i="203"/>
  <c r="M308" i="203"/>
  <c r="L308" i="203"/>
  <c r="K308" i="203"/>
  <c r="I308" i="203"/>
  <c r="H308" i="203"/>
  <c r="G308" i="203"/>
  <c r="F308" i="203"/>
  <c r="N307" i="203"/>
  <c r="M307" i="203"/>
  <c r="L307" i="203"/>
  <c r="K307" i="203"/>
  <c r="G307" i="203"/>
  <c r="N301" i="203"/>
  <c r="M301" i="203"/>
  <c r="L301" i="203"/>
  <c r="K301" i="203"/>
  <c r="H301" i="203"/>
  <c r="G301" i="203"/>
  <c r="F301" i="203"/>
  <c r="N298" i="203"/>
  <c r="M298" i="203"/>
  <c r="L298" i="203"/>
  <c r="K298" i="203"/>
  <c r="I298" i="203"/>
  <c r="H298" i="203"/>
  <c r="G298" i="203"/>
  <c r="F298" i="203"/>
  <c r="N295" i="203"/>
  <c r="M295" i="203"/>
  <c r="L295" i="203"/>
  <c r="K295" i="203"/>
  <c r="I295" i="203"/>
  <c r="H295" i="203"/>
  <c r="G295" i="203"/>
  <c r="N293" i="203"/>
  <c r="M293" i="203"/>
  <c r="L293" i="203"/>
  <c r="K293" i="203"/>
  <c r="I293" i="203"/>
  <c r="H293" i="203"/>
  <c r="G293" i="203"/>
  <c r="F293" i="203"/>
  <c r="E293" i="203"/>
  <c r="N290" i="203"/>
  <c r="M290" i="203"/>
  <c r="L290" i="203"/>
  <c r="K290" i="203"/>
  <c r="I290" i="203"/>
  <c r="H290" i="203"/>
  <c r="G290" i="203"/>
  <c r="F290" i="203"/>
  <c r="E290" i="203"/>
  <c r="N289" i="203"/>
  <c r="M289" i="203"/>
  <c r="L289" i="203"/>
  <c r="K289" i="203"/>
  <c r="I289" i="203"/>
  <c r="H289" i="203"/>
  <c r="G289" i="203"/>
  <c r="N288" i="203"/>
  <c r="M288" i="203"/>
  <c r="L288" i="203"/>
  <c r="K288" i="203"/>
  <c r="I288" i="203"/>
  <c r="H288" i="203"/>
  <c r="G288" i="203"/>
  <c r="N287" i="203"/>
  <c r="M287" i="203"/>
  <c r="L287" i="203"/>
  <c r="K287" i="203"/>
  <c r="I287" i="203"/>
  <c r="H287" i="203"/>
  <c r="G287" i="203"/>
  <c r="F287" i="203"/>
  <c r="N286" i="203"/>
  <c r="M286" i="203"/>
  <c r="L286" i="203"/>
  <c r="K286" i="203"/>
  <c r="I286" i="203"/>
  <c r="H286" i="203"/>
  <c r="G286" i="203"/>
  <c r="N285" i="203"/>
  <c r="M285" i="203"/>
  <c r="L285" i="203"/>
  <c r="K285" i="203"/>
  <c r="I285" i="203"/>
  <c r="H285" i="203"/>
  <c r="G285" i="203"/>
  <c r="F285" i="203"/>
  <c r="N284" i="203"/>
  <c r="M284" i="203"/>
  <c r="L284" i="203"/>
  <c r="K284" i="203"/>
  <c r="I284" i="203"/>
  <c r="H284" i="203"/>
  <c r="G284" i="203"/>
  <c r="F284" i="203"/>
  <c r="N283" i="203"/>
  <c r="M283" i="203"/>
  <c r="L283" i="203"/>
  <c r="K283" i="203"/>
  <c r="H283" i="203"/>
  <c r="G283" i="203"/>
  <c r="N280" i="203"/>
  <c r="M280" i="203"/>
  <c r="L280" i="203"/>
  <c r="K280" i="203"/>
  <c r="I280" i="203"/>
  <c r="H280" i="203"/>
  <c r="G280" i="203"/>
  <c r="F280" i="203"/>
  <c r="N279" i="203"/>
  <c r="M279" i="203"/>
  <c r="L279" i="203"/>
  <c r="K279" i="203"/>
  <c r="I279" i="203"/>
  <c r="H279" i="203"/>
  <c r="G279" i="203"/>
  <c r="F279" i="203"/>
  <c r="E279" i="203"/>
  <c r="O277" i="203"/>
  <c r="N277" i="203"/>
  <c r="M277" i="203"/>
  <c r="L277" i="203"/>
  <c r="K277" i="203"/>
  <c r="I277" i="203"/>
  <c r="H277" i="203"/>
  <c r="G277" i="203"/>
  <c r="F277" i="203"/>
  <c r="N276" i="203"/>
  <c r="M276" i="203"/>
  <c r="L276" i="203"/>
  <c r="K276" i="203"/>
  <c r="I276" i="203"/>
  <c r="H276" i="203"/>
  <c r="G276" i="203"/>
  <c r="F276" i="203"/>
  <c r="N275" i="203"/>
  <c r="M275" i="203"/>
  <c r="L275" i="203"/>
  <c r="K275" i="203"/>
  <c r="H275" i="203"/>
  <c r="G275" i="203"/>
  <c r="F275" i="203"/>
  <c r="N271" i="203"/>
  <c r="M271" i="203"/>
  <c r="L271" i="203"/>
  <c r="K271" i="203"/>
  <c r="I271" i="203"/>
  <c r="H271" i="203"/>
  <c r="G271" i="203"/>
  <c r="F271" i="203"/>
  <c r="N268" i="203"/>
  <c r="M268" i="203"/>
  <c r="L268" i="203"/>
  <c r="K268" i="203"/>
  <c r="I268" i="203"/>
  <c r="H268" i="203"/>
  <c r="G268" i="203"/>
  <c r="F268" i="203"/>
  <c r="E268" i="203"/>
  <c r="N267" i="203"/>
  <c r="M267" i="203"/>
  <c r="L267" i="203"/>
  <c r="K267" i="203"/>
  <c r="I267" i="203"/>
  <c r="H267" i="203"/>
  <c r="G267" i="203"/>
  <c r="F267" i="203"/>
  <c r="N265" i="203"/>
  <c r="M265" i="203"/>
  <c r="L265" i="203"/>
  <c r="I265" i="203"/>
  <c r="H265" i="203"/>
  <c r="G265" i="203"/>
  <c r="F265" i="203"/>
  <c r="N261" i="203"/>
  <c r="M261" i="203"/>
  <c r="L261" i="203"/>
  <c r="K261" i="203"/>
  <c r="I261" i="203"/>
  <c r="H261" i="203"/>
  <c r="G261" i="203"/>
  <c r="F261" i="203"/>
  <c r="N258" i="203"/>
  <c r="M258" i="203"/>
  <c r="L258" i="203"/>
  <c r="K258" i="203"/>
  <c r="I258" i="203"/>
  <c r="H258" i="203"/>
  <c r="G258" i="203"/>
  <c r="F258" i="203"/>
  <c r="E258" i="203"/>
  <c r="N257" i="203"/>
  <c r="M257" i="203"/>
  <c r="L257" i="203"/>
  <c r="K257" i="203"/>
  <c r="I257" i="203"/>
  <c r="H257" i="203"/>
  <c r="G257" i="203"/>
  <c r="N256" i="203"/>
  <c r="M256" i="203"/>
  <c r="L256" i="203"/>
  <c r="K256" i="203"/>
  <c r="I256" i="203"/>
  <c r="H256" i="203"/>
  <c r="G256" i="203"/>
  <c r="F256" i="203"/>
  <c r="N255" i="203"/>
  <c r="M255" i="203"/>
  <c r="L255" i="203"/>
  <c r="K255" i="203"/>
  <c r="I255" i="203"/>
  <c r="H255" i="203"/>
  <c r="G255" i="203"/>
  <c r="N251" i="203"/>
  <c r="M251" i="203"/>
  <c r="L251" i="203"/>
  <c r="K251" i="203"/>
  <c r="I251" i="203"/>
  <c r="H251" i="203"/>
  <c r="G251" i="203"/>
  <c r="F251" i="203"/>
  <c r="N250" i="203"/>
  <c r="M250" i="203"/>
  <c r="L250" i="203"/>
  <c r="K250" i="203"/>
  <c r="N248" i="203"/>
  <c r="M248" i="203"/>
  <c r="L248" i="203"/>
  <c r="K248" i="203"/>
  <c r="I248" i="203"/>
  <c r="H248" i="203"/>
  <c r="G248" i="203"/>
  <c r="N246" i="203"/>
  <c r="M246" i="203"/>
  <c r="L246" i="203"/>
  <c r="K246" i="203"/>
  <c r="I246" i="203"/>
  <c r="H246" i="203"/>
  <c r="G246" i="203"/>
  <c r="F246" i="203"/>
  <c r="N245" i="203"/>
  <c r="M245" i="203"/>
  <c r="L245" i="203"/>
  <c r="K245" i="203"/>
  <c r="I245" i="203"/>
  <c r="H245" i="203"/>
  <c r="G245" i="203"/>
  <c r="F245" i="203"/>
  <c r="N242" i="203"/>
  <c r="M242" i="203"/>
  <c r="L242" i="203"/>
  <c r="K242" i="203"/>
  <c r="G242" i="203"/>
  <c r="N241" i="203"/>
  <c r="M241" i="203"/>
  <c r="L241" i="203"/>
  <c r="K241" i="203"/>
  <c r="N239" i="203"/>
  <c r="M239" i="203"/>
  <c r="L239" i="203"/>
  <c r="K239" i="203"/>
  <c r="I239" i="203"/>
  <c r="N229" i="203"/>
  <c r="M229" i="203"/>
  <c r="L229" i="203"/>
  <c r="K229" i="203"/>
  <c r="I229" i="203"/>
  <c r="H229" i="203"/>
  <c r="G229" i="203"/>
  <c r="N225" i="203"/>
  <c r="M225" i="203"/>
  <c r="L225" i="203"/>
  <c r="K225" i="203"/>
  <c r="I225" i="203"/>
  <c r="H225" i="203"/>
  <c r="G225" i="203"/>
  <c r="N224" i="203"/>
  <c r="M224" i="203"/>
  <c r="L224" i="203"/>
  <c r="K224" i="203"/>
  <c r="I224" i="203"/>
  <c r="G224" i="203"/>
  <c r="G162" i="188"/>
  <c r="D18" i="188"/>
  <c r="N222" i="203"/>
  <c r="M222" i="203"/>
  <c r="L222" i="203"/>
  <c r="K222" i="203"/>
  <c r="I222" i="203"/>
  <c r="H222" i="203"/>
  <c r="G222" i="203"/>
  <c r="F222" i="203"/>
  <c r="N221" i="203"/>
  <c r="M221" i="203"/>
  <c r="L221" i="203"/>
  <c r="K221" i="203"/>
  <c r="G221" i="203"/>
  <c r="N220" i="203"/>
  <c r="M220" i="203"/>
  <c r="L220" i="203"/>
  <c r="K220" i="203"/>
  <c r="I220" i="203"/>
  <c r="G220" i="203"/>
  <c r="N219" i="203"/>
  <c r="M219" i="203"/>
  <c r="L219" i="203"/>
  <c r="K219" i="203"/>
  <c r="G219" i="203"/>
  <c r="N217" i="203"/>
  <c r="K217" i="203"/>
  <c r="N210" i="203"/>
  <c r="M210" i="203"/>
  <c r="L210" i="203"/>
  <c r="K210" i="203"/>
  <c r="H210" i="203"/>
  <c r="G210" i="203"/>
  <c r="F210" i="203"/>
  <c r="N207" i="203"/>
  <c r="M207" i="203"/>
  <c r="L207" i="203"/>
  <c r="K207" i="203"/>
  <c r="I207" i="203"/>
  <c r="H207" i="203"/>
  <c r="G207" i="203"/>
  <c r="F207" i="203"/>
  <c r="N206" i="203"/>
  <c r="M206" i="203"/>
  <c r="L206" i="203"/>
  <c r="K206" i="203"/>
  <c r="I206" i="203"/>
  <c r="H206" i="203"/>
  <c r="G206" i="203"/>
  <c r="F206" i="203"/>
  <c r="E206" i="203"/>
  <c r="N203" i="203"/>
  <c r="M203" i="203"/>
  <c r="L203" i="203"/>
  <c r="I203" i="203"/>
  <c r="H203" i="203"/>
  <c r="G203" i="203"/>
  <c r="F203" i="203"/>
  <c r="N202" i="203"/>
  <c r="M202" i="203"/>
  <c r="L202" i="203"/>
  <c r="K202" i="203"/>
  <c r="I202" i="203"/>
  <c r="H202" i="203"/>
  <c r="G202" i="203"/>
  <c r="F202" i="203"/>
  <c r="N201" i="203"/>
  <c r="M201" i="203"/>
  <c r="L201" i="203"/>
  <c r="K201" i="203"/>
  <c r="I201" i="203"/>
  <c r="H201" i="203"/>
  <c r="G201" i="203"/>
  <c r="K200" i="203"/>
  <c r="N198" i="203"/>
  <c r="M198" i="203"/>
  <c r="L198" i="203"/>
  <c r="K198" i="203"/>
  <c r="I198" i="203"/>
  <c r="H198" i="203"/>
  <c r="G198" i="203"/>
  <c r="F198" i="203"/>
  <c r="N182" i="203"/>
  <c r="M182" i="203"/>
  <c r="L182" i="203"/>
  <c r="K182" i="203"/>
  <c r="I182" i="203"/>
  <c r="H182" i="203"/>
  <c r="G182" i="203"/>
  <c r="F182" i="203"/>
  <c r="N181" i="203"/>
  <c r="M181" i="203"/>
  <c r="L181" i="203"/>
  <c r="K181" i="203"/>
  <c r="I181" i="203"/>
  <c r="H181" i="203"/>
  <c r="G181" i="203"/>
  <c r="F181" i="203"/>
  <c r="N180" i="203"/>
  <c r="M180" i="203"/>
  <c r="L180" i="203"/>
  <c r="K180" i="203"/>
  <c r="I180" i="203"/>
  <c r="H180" i="203"/>
  <c r="G180" i="203"/>
  <c r="N178" i="203"/>
  <c r="M178" i="203"/>
  <c r="L178" i="203"/>
  <c r="K178" i="203"/>
  <c r="I178" i="203"/>
  <c r="H178" i="203"/>
  <c r="G178" i="203"/>
  <c r="F178" i="203"/>
  <c r="N177" i="203"/>
  <c r="M177" i="203"/>
  <c r="L177" i="203"/>
  <c r="K177" i="203"/>
  <c r="I177" i="203"/>
  <c r="H177" i="203"/>
  <c r="G177" i="203"/>
  <c r="F177" i="203"/>
  <c r="N175" i="203"/>
  <c r="M175" i="203"/>
  <c r="L175" i="203"/>
  <c r="K175" i="203"/>
  <c r="I175" i="203"/>
  <c r="H175" i="203"/>
  <c r="G175" i="203"/>
  <c r="F175" i="203"/>
  <c r="N174" i="203"/>
  <c r="M174" i="203"/>
  <c r="L174" i="203"/>
  <c r="K174" i="203"/>
  <c r="N173" i="203"/>
  <c r="M173" i="203"/>
  <c r="L173" i="203"/>
  <c r="K173" i="203"/>
  <c r="I173" i="203"/>
  <c r="N171" i="203"/>
  <c r="M171" i="203"/>
  <c r="L171" i="203"/>
  <c r="K171" i="203"/>
  <c r="I171" i="203"/>
  <c r="H171" i="203"/>
  <c r="G171" i="203"/>
  <c r="N169" i="203"/>
  <c r="M169" i="203"/>
  <c r="L169" i="203"/>
  <c r="K169" i="203"/>
  <c r="I169" i="203"/>
  <c r="M168" i="203"/>
  <c r="L168" i="203"/>
  <c r="K168" i="203"/>
  <c r="N166" i="203"/>
  <c r="M166" i="203"/>
  <c r="L166" i="203"/>
  <c r="K166" i="203"/>
  <c r="I166" i="203"/>
  <c r="H166" i="203"/>
  <c r="G166" i="203"/>
  <c r="F166" i="203"/>
  <c r="N165" i="203"/>
  <c r="M165" i="203"/>
  <c r="L165" i="203"/>
  <c r="K165" i="203"/>
  <c r="I165" i="203"/>
  <c r="H165" i="203"/>
  <c r="G165" i="203"/>
  <c r="F165" i="203"/>
  <c r="N164" i="203"/>
  <c r="M164" i="203"/>
  <c r="L164" i="203"/>
  <c r="K164" i="203"/>
  <c r="I164" i="203"/>
  <c r="H164" i="203"/>
  <c r="G164" i="203"/>
  <c r="F164" i="203"/>
  <c r="N163" i="203"/>
  <c r="M163" i="203"/>
  <c r="L163" i="203"/>
  <c r="K163" i="203"/>
  <c r="I163" i="203"/>
  <c r="H163" i="203"/>
  <c r="G163" i="203"/>
  <c r="F163" i="203"/>
  <c r="N162" i="203"/>
  <c r="M162" i="203"/>
  <c r="L162" i="203"/>
  <c r="K162" i="203"/>
  <c r="I162" i="203"/>
  <c r="H162" i="203"/>
  <c r="G162" i="203"/>
  <c r="F162" i="203"/>
  <c r="N161" i="203"/>
  <c r="M161" i="203"/>
  <c r="L161" i="203"/>
  <c r="K161" i="203"/>
  <c r="I161" i="203"/>
  <c r="H161" i="203"/>
  <c r="G161" i="203"/>
  <c r="F161" i="203"/>
  <c r="N160" i="203"/>
  <c r="M160" i="203"/>
  <c r="L160" i="203"/>
  <c r="K160" i="203"/>
  <c r="I160" i="203"/>
  <c r="H160" i="203"/>
  <c r="G160" i="203"/>
  <c r="F160" i="203"/>
  <c r="N159" i="203"/>
  <c r="M159" i="203"/>
  <c r="L159" i="203"/>
  <c r="K159" i="203"/>
  <c r="I159" i="203"/>
  <c r="H159" i="203"/>
  <c r="G159" i="203"/>
  <c r="O156" i="203"/>
  <c r="N156" i="203"/>
  <c r="M156" i="203"/>
  <c r="L156" i="203"/>
  <c r="K156" i="203"/>
  <c r="I156" i="203"/>
  <c r="H156" i="203"/>
  <c r="G156" i="203"/>
  <c r="F156" i="203"/>
  <c r="N155" i="203"/>
  <c r="M155" i="203"/>
  <c r="L155" i="203"/>
  <c r="K155" i="203"/>
  <c r="I155" i="203"/>
  <c r="H155" i="203"/>
  <c r="G155" i="203"/>
  <c r="F155" i="203"/>
  <c r="N154" i="203"/>
  <c r="M154" i="203"/>
  <c r="L154" i="203"/>
  <c r="K154" i="203"/>
  <c r="G154" i="203"/>
  <c r="N150" i="203"/>
  <c r="M150" i="203"/>
  <c r="L150" i="203"/>
  <c r="K150" i="203"/>
  <c r="I150" i="203"/>
  <c r="H150" i="203"/>
  <c r="G150" i="203"/>
  <c r="F150" i="203"/>
  <c r="N147" i="203"/>
  <c r="M147" i="203"/>
  <c r="L147" i="203"/>
  <c r="K147" i="203"/>
  <c r="I147" i="203"/>
  <c r="H147" i="203"/>
  <c r="G147" i="203"/>
  <c r="F147" i="203"/>
  <c r="N146" i="203"/>
  <c r="M146" i="203"/>
  <c r="L146" i="203"/>
  <c r="K146" i="203"/>
  <c r="I146" i="203"/>
  <c r="H146" i="203"/>
  <c r="G146" i="203"/>
  <c r="F146" i="203"/>
  <c r="E146" i="203"/>
  <c r="N144" i="203"/>
  <c r="M144" i="203"/>
  <c r="L144" i="203"/>
  <c r="K144" i="203"/>
  <c r="I144" i="203"/>
  <c r="H144" i="203"/>
  <c r="G144" i="203"/>
  <c r="F144" i="203"/>
  <c r="N141" i="203"/>
  <c r="M141" i="203"/>
  <c r="L141" i="203"/>
  <c r="K141" i="203"/>
  <c r="I141" i="203"/>
  <c r="H141" i="203"/>
  <c r="G141" i="203"/>
  <c r="F141" i="203"/>
  <c r="O140" i="203"/>
  <c r="N140" i="203"/>
  <c r="M140" i="203"/>
  <c r="L140" i="203"/>
  <c r="K140" i="203"/>
  <c r="I140" i="203"/>
  <c r="H140" i="203"/>
  <c r="G140" i="203"/>
  <c r="F140" i="203"/>
  <c r="N137" i="203"/>
  <c r="M137" i="203"/>
  <c r="L137" i="203"/>
  <c r="I137" i="203"/>
  <c r="H137" i="203"/>
  <c r="G137" i="203"/>
  <c r="F137" i="203"/>
  <c r="N136" i="203"/>
  <c r="M136" i="203"/>
  <c r="L136" i="203"/>
  <c r="I136" i="203"/>
  <c r="H136" i="203"/>
  <c r="G136" i="203"/>
  <c r="F136" i="203"/>
  <c r="N134" i="203"/>
  <c r="M134" i="203"/>
  <c r="L134" i="203"/>
  <c r="K134" i="203"/>
  <c r="I134" i="203"/>
  <c r="H134" i="203"/>
  <c r="G134" i="203"/>
  <c r="N133" i="203"/>
  <c r="M133" i="203"/>
  <c r="L133" i="203"/>
  <c r="K133" i="203"/>
  <c r="H133" i="203"/>
  <c r="G133" i="203"/>
  <c r="F133" i="203"/>
  <c r="N131" i="203"/>
  <c r="M131" i="203"/>
  <c r="L131" i="203"/>
  <c r="K131" i="203"/>
  <c r="I131" i="203"/>
  <c r="H131" i="203"/>
  <c r="G131" i="203"/>
  <c r="F131" i="203"/>
  <c r="N129" i="203"/>
  <c r="M129" i="203"/>
  <c r="L129" i="203"/>
  <c r="K129" i="203"/>
  <c r="I129" i="203"/>
  <c r="H129" i="203"/>
  <c r="G129" i="203"/>
  <c r="F129" i="203"/>
  <c r="N127" i="203"/>
  <c r="M127" i="203"/>
  <c r="L127" i="203"/>
  <c r="I127" i="203"/>
  <c r="H127" i="203"/>
  <c r="G127" i="203"/>
  <c r="N126" i="203"/>
  <c r="M126" i="203"/>
  <c r="L126" i="203"/>
  <c r="K126" i="203"/>
  <c r="H126" i="203"/>
  <c r="G126" i="203"/>
  <c r="N125" i="203"/>
  <c r="M125" i="203"/>
  <c r="L125" i="203"/>
  <c r="K125" i="203"/>
  <c r="H125" i="203"/>
  <c r="G125" i="203"/>
  <c r="N124" i="203"/>
  <c r="M124" i="203"/>
  <c r="L124" i="203"/>
  <c r="K124" i="203"/>
  <c r="I124" i="203"/>
  <c r="H124" i="203"/>
  <c r="G124" i="203"/>
  <c r="N123" i="203"/>
  <c r="M123" i="203"/>
  <c r="L123" i="203"/>
  <c r="K123" i="203"/>
  <c r="H123" i="203"/>
  <c r="G123" i="203"/>
  <c r="N121" i="203"/>
  <c r="M121" i="203"/>
  <c r="L121" i="203"/>
  <c r="K121" i="203"/>
  <c r="I121" i="203"/>
  <c r="H121" i="203"/>
  <c r="G121" i="203"/>
  <c r="F121" i="203"/>
  <c r="N120" i="203"/>
  <c r="M120" i="203"/>
  <c r="L120" i="203"/>
  <c r="K120" i="203"/>
  <c r="I120" i="203"/>
  <c r="H120" i="203"/>
  <c r="G120" i="203"/>
  <c r="F120" i="203"/>
  <c r="N108" i="203"/>
  <c r="M108" i="203"/>
  <c r="L108" i="203"/>
  <c r="K108" i="203"/>
  <c r="H108" i="203"/>
  <c r="G108" i="203"/>
  <c r="F108" i="203"/>
  <c r="N106" i="203"/>
  <c r="M106" i="203"/>
  <c r="L106" i="203"/>
  <c r="I106" i="203"/>
  <c r="H106" i="203"/>
  <c r="G106" i="203"/>
  <c r="F106" i="203"/>
  <c r="N103" i="203"/>
  <c r="M103" i="203"/>
  <c r="L103" i="203"/>
  <c r="K103" i="203"/>
  <c r="H103" i="203"/>
  <c r="G103" i="203"/>
  <c r="F103" i="203"/>
  <c r="N101" i="203"/>
  <c r="M101" i="203"/>
  <c r="L101" i="203"/>
  <c r="K101" i="203"/>
  <c r="I101" i="203"/>
  <c r="H101" i="203"/>
  <c r="G101" i="203"/>
  <c r="O99" i="203"/>
  <c r="N99" i="203"/>
  <c r="M99" i="203"/>
  <c r="L99" i="203"/>
  <c r="K99" i="203"/>
  <c r="I99" i="203"/>
  <c r="H99" i="203"/>
  <c r="G99" i="203"/>
  <c r="F99" i="203"/>
  <c r="N98" i="203"/>
  <c r="M98" i="203"/>
  <c r="L98" i="203"/>
  <c r="K98" i="203"/>
  <c r="I98" i="203"/>
  <c r="H98" i="203"/>
  <c r="G98" i="203"/>
  <c r="F98" i="203"/>
  <c r="N97" i="203"/>
  <c r="M97" i="203"/>
  <c r="L97" i="203"/>
  <c r="K97" i="203"/>
  <c r="I97" i="203"/>
  <c r="H97" i="203"/>
  <c r="G97" i="203"/>
  <c r="F97" i="203"/>
  <c r="E97" i="203"/>
  <c r="N95" i="203"/>
  <c r="M95" i="203"/>
  <c r="L95" i="203"/>
  <c r="I95" i="203"/>
  <c r="H95" i="203"/>
  <c r="G95" i="203"/>
  <c r="F95" i="203"/>
  <c r="O90" i="203"/>
  <c r="N90" i="203"/>
  <c r="M90" i="203"/>
  <c r="L90" i="203"/>
  <c r="K90" i="203"/>
  <c r="I90" i="203"/>
  <c r="H90" i="203"/>
  <c r="G90" i="203"/>
  <c r="F90" i="203"/>
  <c r="N89" i="203"/>
  <c r="M89" i="203"/>
  <c r="L89" i="203"/>
  <c r="I89" i="203"/>
  <c r="H89" i="203"/>
  <c r="G89" i="203"/>
  <c r="F89" i="203"/>
  <c r="N88" i="203"/>
  <c r="M88" i="203"/>
  <c r="L88" i="203"/>
  <c r="K88" i="203"/>
  <c r="I88" i="203"/>
  <c r="H88" i="203"/>
  <c r="G88" i="203"/>
  <c r="F88" i="203"/>
  <c r="N87" i="203"/>
  <c r="M87" i="203"/>
  <c r="L87" i="203"/>
  <c r="K87" i="203"/>
  <c r="I87" i="203"/>
  <c r="H87" i="203"/>
  <c r="G87" i="203"/>
  <c r="F87" i="203"/>
  <c r="N85" i="203"/>
  <c r="M85" i="203"/>
  <c r="L85" i="203"/>
  <c r="K85" i="203"/>
  <c r="I85" i="203"/>
  <c r="H85" i="203"/>
  <c r="G85" i="203"/>
  <c r="F85" i="203"/>
  <c r="N84" i="203"/>
  <c r="M84" i="203"/>
  <c r="L84" i="203"/>
  <c r="K84" i="203"/>
  <c r="I84" i="203"/>
  <c r="H84" i="203"/>
  <c r="G84" i="203"/>
  <c r="F84" i="203"/>
  <c r="E84" i="203"/>
  <c r="N82" i="203"/>
  <c r="M82" i="203"/>
  <c r="L82" i="203"/>
  <c r="K82" i="203"/>
  <c r="I82" i="203"/>
  <c r="H82" i="203"/>
  <c r="G82" i="203"/>
  <c r="N81" i="203"/>
  <c r="M81" i="203"/>
  <c r="L81" i="203"/>
  <c r="K81" i="203"/>
  <c r="I81" i="203"/>
  <c r="H81" i="203"/>
  <c r="G81" i="203"/>
  <c r="F81" i="203"/>
  <c r="N79" i="203"/>
  <c r="M79" i="203"/>
  <c r="L79" i="203"/>
  <c r="K79" i="203"/>
  <c r="I79" i="203"/>
  <c r="H79" i="203"/>
  <c r="G79" i="203"/>
  <c r="F79" i="203"/>
  <c r="N78" i="203"/>
  <c r="M78" i="203"/>
  <c r="L78" i="203"/>
  <c r="K78" i="203"/>
  <c r="I78" i="203"/>
  <c r="H78" i="203"/>
  <c r="G78" i="203"/>
  <c r="F78" i="203"/>
  <c r="N77" i="203"/>
  <c r="M77" i="203"/>
  <c r="L77" i="203"/>
  <c r="I77" i="203"/>
  <c r="H77" i="203"/>
  <c r="G77" i="203"/>
  <c r="F77" i="203"/>
  <c r="N76" i="203"/>
  <c r="M76" i="203"/>
  <c r="L76" i="203"/>
  <c r="I76" i="203"/>
  <c r="H76" i="203"/>
  <c r="G76" i="203"/>
  <c r="N75" i="203"/>
  <c r="M75" i="203"/>
  <c r="L75" i="203"/>
  <c r="K75" i="203"/>
  <c r="I75" i="203"/>
  <c r="H75" i="203"/>
  <c r="G75" i="203"/>
  <c r="F75" i="203"/>
  <c r="N74" i="203"/>
  <c r="M74" i="203"/>
  <c r="L74" i="203"/>
  <c r="K74" i="203"/>
  <c r="I74" i="203"/>
  <c r="H74" i="203"/>
  <c r="G74" i="203"/>
  <c r="F74" i="203"/>
  <c r="N72" i="203"/>
  <c r="M72" i="203"/>
  <c r="L72" i="203"/>
  <c r="K72" i="203"/>
  <c r="I72" i="203"/>
  <c r="N71" i="203"/>
  <c r="M71" i="203"/>
  <c r="L71" i="203"/>
  <c r="K71" i="203"/>
  <c r="I71" i="203"/>
  <c r="H71" i="203"/>
  <c r="G71" i="203"/>
  <c r="F71" i="203"/>
  <c r="N70" i="203"/>
  <c r="M70" i="203"/>
  <c r="L70" i="203"/>
  <c r="K70" i="203"/>
  <c r="I70" i="203"/>
  <c r="N68" i="203"/>
  <c r="M68" i="203"/>
  <c r="L68" i="203"/>
  <c r="K68" i="203"/>
  <c r="I68" i="203"/>
  <c r="H68" i="203"/>
  <c r="G68" i="203"/>
  <c r="N67" i="203"/>
  <c r="M67" i="203"/>
  <c r="L67" i="203"/>
  <c r="K67" i="203"/>
  <c r="I67" i="203"/>
  <c r="O65" i="203"/>
  <c r="N65" i="203"/>
  <c r="M65" i="203"/>
  <c r="L65" i="203"/>
  <c r="K65" i="203"/>
  <c r="I65" i="203"/>
  <c r="H65" i="203"/>
  <c r="G65" i="203"/>
  <c r="F65" i="203"/>
  <c r="N64" i="203"/>
  <c r="K64" i="203"/>
  <c r="N62" i="203"/>
  <c r="K62" i="203"/>
  <c r="I62" i="203"/>
  <c r="N61" i="203"/>
  <c r="M61" i="203"/>
  <c r="L61" i="203"/>
  <c r="K61" i="203"/>
  <c r="I61" i="203"/>
  <c r="H61" i="203"/>
  <c r="G61" i="203"/>
  <c r="F61" i="203"/>
  <c r="O59" i="203"/>
  <c r="N59" i="203"/>
  <c r="M59" i="203"/>
  <c r="L59" i="203"/>
  <c r="K59" i="203"/>
  <c r="I59" i="203"/>
  <c r="H59" i="203"/>
  <c r="G59" i="203"/>
  <c r="F59" i="203"/>
  <c r="N58" i="203"/>
  <c r="M58" i="203"/>
  <c r="L58" i="203"/>
  <c r="K58" i="203"/>
  <c r="I58" i="203"/>
  <c r="H58" i="203"/>
  <c r="G58" i="203"/>
  <c r="N56" i="203"/>
  <c r="M56" i="203"/>
  <c r="L56" i="203"/>
  <c r="K56" i="203"/>
  <c r="N55" i="203"/>
  <c r="M55" i="203"/>
  <c r="L55" i="203"/>
  <c r="K55" i="203"/>
  <c r="F55" i="203"/>
  <c r="K54" i="203"/>
  <c r="I54" i="203"/>
  <c r="F54" i="203"/>
  <c r="K52" i="203"/>
  <c r="N48" i="203"/>
  <c r="M48" i="203"/>
  <c r="L48" i="203"/>
  <c r="K48" i="203"/>
  <c r="I48" i="203"/>
  <c r="H48" i="203"/>
  <c r="G48" i="203"/>
  <c r="F48" i="203"/>
  <c r="N47" i="203"/>
  <c r="M47" i="203"/>
  <c r="L47" i="203"/>
  <c r="I47" i="203"/>
  <c r="H47" i="203"/>
  <c r="G47" i="203"/>
  <c r="F47" i="203"/>
  <c r="N46" i="203"/>
  <c r="M46" i="203"/>
  <c r="L46" i="203"/>
  <c r="K46" i="203"/>
  <c r="I46" i="203"/>
  <c r="H46" i="203"/>
  <c r="G46" i="203"/>
  <c r="F46" i="203"/>
  <c r="N43" i="203"/>
  <c r="M43" i="203"/>
  <c r="L43" i="203"/>
  <c r="K43" i="203"/>
  <c r="I43" i="203"/>
  <c r="H43" i="203"/>
  <c r="G43" i="203"/>
  <c r="F43" i="203"/>
  <c r="N41" i="203"/>
  <c r="M41" i="203"/>
  <c r="L41" i="203"/>
  <c r="K41" i="203"/>
  <c r="I41" i="203"/>
  <c r="H41" i="203"/>
  <c r="G41" i="203"/>
  <c r="N40" i="203"/>
  <c r="M40" i="203"/>
  <c r="L40" i="203"/>
  <c r="K40" i="203"/>
  <c r="I40" i="203"/>
  <c r="H40" i="203"/>
  <c r="G40" i="203"/>
  <c r="O37" i="203"/>
  <c r="N37" i="203"/>
  <c r="M37" i="203"/>
  <c r="L37" i="203"/>
  <c r="K37" i="203"/>
  <c r="I37" i="203"/>
  <c r="H37" i="203"/>
  <c r="G37" i="203"/>
  <c r="F37" i="203"/>
  <c r="O36" i="203"/>
  <c r="N36" i="203"/>
  <c r="M36" i="203"/>
  <c r="K36" i="203"/>
  <c r="I36" i="203"/>
  <c r="H36" i="203"/>
  <c r="G36" i="203"/>
  <c r="F36" i="203"/>
  <c r="E36" i="203"/>
  <c r="N34" i="203"/>
  <c r="M34" i="203"/>
  <c r="L34" i="203"/>
  <c r="K34" i="203"/>
  <c r="I34" i="203"/>
  <c r="H34" i="203"/>
  <c r="G34" i="203"/>
  <c r="F34" i="203"/>
  <c r="N33" i="203"/>
  <c r="M33" i="203"/>
  <c r="L33" i="203"/>
  <c r="K33" i="203"/>
  <c r="I33" i="203"/>
  <c r="H33" i="203"/>
  <c r="G33" i="203"/>
  <c r="F33" i="203"/>
  <c r="E33" i="203"/>
  <c r="N32" i="203"/>
  <c r="M32" i="203"/>
  <c r="L32" i="203"/>
  <c r="K32" i="203"/>
  <c r="I32" i="203"/>
  <c r="H32" i="203"/>
  <c r="G32" i="203"/>
  <c r="F32" i="203"/>
  <c r="O30" i="203"/>
  <c r="N30" i="203"/>
  <c r="M30" i="203"/>
  <c r="L30" i="203"/>
  <c r="K30" i="203"/>
  <c r="I30" i="203"/>
  <c r="H30" i="203"/>
  <c r="G30" i="203"/>
  <c r="F30" i="203"/>
  <c r="N29" i="203"/>
  <c r="M29" i="203"/>
  <c r="L29" i="203"/>
  <c r="K29" i="203"/>
  <c r="H29" i="203"/>
  <c r="G29" i="203"/>
  <c r="F29" i="203"/>
  <c r="N26" i="203"/>
  <c r="M26" i="203"/>
  <c r="L26" i="203"/>
  <c r="K26" i="203"/>
  <c r="G26" i="203"/>
  <c r="O24" i="203"/>
  <c r="N24" i="203"/>
  <c r="M24" i="203"/>
  <c r="L24" i="203"/>
  <c r="K24" i="203"/>
  <c r="I24" i="203"/>
  <c r="H24" i="203"/>
  <c r="G24" i="203"/>
  <c r="F24" i="203"/>
  <c r="N21" i="203"/>
  <c r="M21" i="203"/>
  <c r="L21" i="203"/>
  <c r="K21" i="203"/>
  <c r="I21" i="203"/>
  <c r="H21" i="203"/>
  <c r="G21" i="203"/>
  <c r="N20" i="203"/>
  <c r="M20" i="203"/>
  <c r="L20" i="203"/>
  <c r="K20" i="203"/>
  <c r="I20" i="203"/>
  <c r="H20" i="203"/>
  <c r="G20" i="203"/>
  <c r="F20" i="203"/>
  <c r="N18" i="203"/>
  <c r="M18" i="203"/>
  <c r="L18" i="203"/>
  <c r="K18" i="203"/>
  <c r="O428" i="203"/>
  <c r="J428" i="203" s="1"/>
  <c r="J427" i="203" s="1"/>
  <c r="J426" i="203" s="1"/>
  <c r="E428" i="203"/>
  <c r="N427" i="203"/>
  <c r="N426" i="203" s="1"/>
  <c r="M427" i="203"/>
  <c r="M426" i="203" s="1"/>
  <c r="L427" i="203"/>
  <c r="L426" i="203" s="1"/>
  <c r="K427" i="203"/>
  <c r="K426" i="203" s="1"/>
  <c r="I427" i="203"/>
  <c r="I426" i="203" s="1"/>
  <c r="H427" i="203"/>
  <c r="H426" i="203" s="1"/>
  <c r="G427" i="203"/>
  <c r="F427" i="203"/>
  <c r="G426" i="203"/>
  <c r="F426" i="203"/>
  <c r="K425" i="203"/>
  <c r="O425" i="203" s="1"/>
  <c r="O424" i="203" s="1"/>
  <c r="O423" i="203" s="1"/>
  <c r="F425" i="203"/>
  <c r="E425" i="203"/>
  <c r="N424" i="203"/>
  <c r="N423" i="203" s="1"/>
  <c r="M424" i="203"/>
  <c r="M423" i="203" s="1"/>
  <c r="L424" i="203"/>
  <c r="I424" i="203"/>
  <c r="I423" i="203" s="1"/>
  <c r="H424" i="203"/>
  <c r="H423" i="203" s="1"/>
  <c r="G424" i="203"/>
  <c r="G423" i="203" s="1"/>
  <c r="F424" i="203"/>
  <c r="F423" i="203" s="1"/>
  <c r="E424" i="203"/>
  <c r="E423" i="203" s="1"/>
  <c r="L423" i="203"/>
  <c r="O422" i="203"/>
  <c r="J422" i="203" s="1"/>
  <c r="P422" i="203" s="1"/>
  <c r="P421" i="203" s="1"/>
  <c r="N421" i="203"/>
  <c r="M421" i="203"/>
  <c r="L421" i="203"/>
  <c r="K421" i="203"/>
  <c r="I421" i="203"/>
  <c r="H421" i="203"/>
  <c r="G421" i="203"/>
  <c r="F421" i="203"/>
  <c r="E421" i="203"/>
  <c r="K420" i="203"/>
  <c r="F420" i="203"/>
  <c r="E420" i="203"/>
  <c r="O419" i="203"/>
  <c r="J419" i="203"/>
  <c r="P419" i="203" s="1"/>
  <c r="O386" i="203"/>
  <c r="J386" i="203" s="1"/>
  <c r="P386" i="203" s="1"/>
  <c r="O303" i="203"/>
  <c r="J303" i="203" s="1"/>
  <c r="J302" i="203" s="1"/>
  <c r="E303" i="203"/>
  <c r="P303" i="203" s="1"/>
  <c r="P302" i="203" s="1"/>
  <c r="O302" i="203"/>
  <c r="N302" i="203"/>
  <c r="M302" i="203"/>
  <c r="L302" i="203"/>
  <c r="K302" i="203"/>
  <c r="I302" i="203"/>
  <c r="H302" i="203"/>
  <c r="G302" i="203"/>
  <c r="F302" i="203"/>
  <c r="E302" i="203"/>
  <c r="O234" i="203"/>
  <c r="E234" i="203"/>
  <c r="E233" i="203" s="1"/>
  <c r="E232" i="203" s="1"/>
  <c r="N233" i="203"/>
  <c r="N232" i="203" s="1"/>
  <c r="M233" i="203"/>
  <c r="M232" i="203" s="1"/>
  <c r="L233" i="203"/>
  <c r="L232" i="203" s="1"/>
  <c r="K233" i="203"/>
  <c r="K232" i="203" s="1"/>
  <c r="I233" i="203"/>
  <c r="H233" i="203"/>
  <c r="G233" i="203"/>
  <c r="G232" i="203" s="1"/>
  <c r="F233" i="203"/>
  <c r="I232" i="203"/>
  <c r="H232" i="203"/>
  <c r="F232" i="203"/>
  <c r="O231" i="203"/>
  <c r="J231" i="203"/>
  <c r="E231" i="203"/>
  <c r="O230" i="203"/>
  <c r="J230" i="203" s="1"/>
  <c r="E230" i="203"/>
  <c r="O212" i="203"/>
  <c r="J212" i="203" s="1"/>
  <c r="J211" i="203" s="1"/>
  <c r="E212" i="203"/>
  <c r="N211" i="203"/>
  <c r="M211" i="203"/>
  <c r="L211" i="203"/>
  <c r="K211" i="203"/>
  <c r="I211" i="203"/>
  <c r="H211" i="203"/>
  <c r="G211" i="203"/>
  <c r="F211" i="203"/>
  <c r="E211" i="203"/>
  <c r="O116" i="203"/>
  <c r="J116" i="203" s="1"/>
  <c r="J115" i="203" s="1"/>
  <c r="J114" i="203" s="1"/>
  <c r="E116" i="203"/>
  <c r="E115" i="203" s="1"/>
  <c r="E114" i="203" s="1"/>
  <c r="O115" i="203"/>
  <c r="O114" i="203" s="1"/>
  <c r="N115" i="203"/>
  <c r="N114" i="203" s="1"/>
  <c r="M115" i="203"/>
  <c r="M114" i="203" s="1"/>
  <c r="L115" i="203"/>
  <c r="L114" i="203" s="1"/>
  <c r="K115" i="203"/>
  <c r="K114" i="203" s="1"/>
  <c r="I115" i="203"/>
  <c r="I114" i="203" s="1"/>
  <c r="H115" i="203"/>
  <c r="G115" i="203"/>
  <c r="G114" i="203" s="1"/>
  <c r="F115" i="203"/>
  <c r="H114" i="203"/>
  <c r="F114" i="203"/>
  <c r="O113" i="203"/>
  <c r="J113" i="203" s="1"/>
  <c r="J112" i="203" s="1"/>
  <c r="E113" i="203"/>
  <c r="N112" i="203"/>
  <c r="M112" i="203"/>
  <c r="L112" i="203"/>
  <c r="K112" i="203"/>
  <c r="I112" i="203"/>
  <c r="I109" i="203" s="1"/>
  <c r="H112" i="203"/>
  <c r="G112" i="203"/>
  <c r="G109" i="203" s="1"/>
  <c r="F112" i="203"/>
  <c r="E112" i="203"/>
  <c r="E109" i="203" s="1"/>
  <c r="O111" i="203"/>
  <c r="O110" i="203" s="1"/>
  <c r="N110" i="203"/>
  <c r="M110" i="203"/>
  <c r="L110" i="203"/>
  <c r="K110" i="203"/>
  <c r="I110" i="203"/>
  <c r="H110" i="203"/>
  <c r="G110" i="203"/>
  <c r="F110" i="203"/>
  <c r="E110" i="203"/>
  <c r="N109" i="203"/>
  <c r="L109" i="203"/>
  <c r="I307" i="165"/>
  <c r="I307" i="203" s="1"/>
  <c r="F158" i="202"/>
  <c r="E158" i="202"/>
  <c r="D158" i="202"/>
  <c r="C158" i="202"/>
  <c r="F157" i="202"/>
  <c r="E157" i="202"/>
  <c r="D157" i="202"/>
  <c r="C157" i="202"/>
  <c r="F156" i="202"/>
  <c r="E156" i="202"/>
  <c r="D156" i="202"/>
  <c r="C156" i="202"/>
  <c r="F155" i="202"/>
  <c r="E155" i="202"/>
  <c r="D155" i="202"/>
  <c r="C155" i="202"/>
  <c r="F154" i="202"/>
  <c r="E154" i="202"/>
  <c r="D154" i="202"/>
  <c r="C154" i="202"/>
  <c r="F153" i="202"/>
  <c r="E153" i="202"/>
  <c r="D153" i="202"/>
  <c r="C153" i="202"/>
  <c r="F152" i="202"/>
  <c r="E152" i="202"/>
  <c r="D152" i="202"/>
  <c r="C152" i="202"/>
  <c r="F151" i="202"/>
  <c r="E151" i="202"/>
  <c r="D151" i="202"/>
  <c r="C151" i="202"/>
  <c r="F150" i="202"/>
  <c r="E150" i="202"/>
  <c r="D150" i="202"/>
  <c r="C150" i="202"/>
  <c r="F149" i="202"/>
  <c r="E149" i="202"/>
  <c r="D149" i="202"/>
  <c r="C149" i="202"/>
  <c r="F148" i="202"/>
  <c r="E148" i="202"/>
  <c r="D148" i="202"/>
  <c r="C148" i="202"/>
  <c r="F147" i="202"/>
  <c r="E147" i="202"/>
  <c r="D147" i="202"/>
  <c r="C147" i="202"/>
  <c r="F146" i="202"/>
  <c r="E146" i="202"/>
  <c r="D146" i="202"/>
  <c r="C146" i="202"/>
  <c r="F145" i="202"/>
  <c r="E145" i="202"/>
  <c r="D145" i="202"/>
  <c r="C145" i="202"/>
  <c r="F144" i="202"/>
  <c r="E144" i="202"/>
  <c r="D144" i="202"/>
  <c r="C144" i="202"/>
  <c r="F143" i="202"/>
  <c r="E143" i="202"/>
  <c r="D143" i="202"/>
  <c r="C143" i="202"/>
  <c r="F142" i="202"/>
  <c r="E142" i="202"/>
  <c r="D142" i="202"/>
  <c r="C142" i="202"/>
  <c r="F141" i="202"/>
  <c r="E141" i="202"/>
  <c r="D141" i="202"/>
  <c r="C141" i="202"/>
  <c r="F140" i="202"/>
  <c r="E140" i="202"/>
  <c r="D140" i="202"/>
  <c r="C140" i="202"/>
  <c r="F133" i="202"/>
  <c r="E133" i="202"/>
  <c r="D133" i="202"/>
  <c r="C133" i="202"/>
  <c r="F132" i="202"/>
  <c r="E132" i="202"/>
  <c r="D132" i="202"/>
  <c r="C132" i="202"/>
  <c r="F131" i="202"/>
  <c r="E131" i="202"/>
  <c r="D131" i="202"/>
  <c r="C131" i="202"/>
  <c r="F130" i="202"/>
  <c r="E130" i="202"/>
  <c r="D130" i="202"/>
  <c r="C130" i="202"/>
  <c r="F129" i="202"/>
  <c r="E129" i="202"/>
  <c r="D129" i="202"/>
  <c r="C129" i="202"/>
  <c r="F128" i="202"/>
  <c r="E128" i="202"/>
  <c r="D128" i="202"/>
  <c r="C128" i="202"/>
  <c r="F127" i="202"/>
  <c r="E127" i="202"/>
  <c r="D127" i="202"/>
  <c r="C127" i="202"/>
  <c r="F126" i="202"/>
  <c r="E126" i="202"/>
  <c r="D126" i="202"/>
  <c r="C126" i="202"/>
  <c r="F125" i="202"/>
  <c r="E125" i="202"/>
  <c r="D125" i="202"/>
  <c r="C125" i="202"/>
  <c r="F121" i="202"/>
  <c r="E121" i="202"/>
  <c r="D121" i="202"/>
  <c r="C121" i="202"/>
  <c r="F120" i="202"/>
  <c r="E120" i="202"/>
  <c r="D120" i="202"/>
  <c r="C120" i="202"/>
  <c r="F119" i="202"/>
  <c r="F114" i="202" s="1"/>
  <c r="E119" i="202"/>
  <c r="D119" i="202"/>
  <c r="C119" i="202"/>
  <c r="F118" i="202"/>
  <c r="E118" i="202"/>
  <c r="D118" i="202"/>
  <c r="C118" i="202"/>
  <c r="F117" i="202"/>
  <c r="E117" i="202"/>
  <c r="D117" i="202"/>
  <c r="C117" i="202"/>
  <c r="F116" i="202"/>
  <c r="E116" i="202"/>
  <c r="D116" i="202"/>
  <c r="C116" i="202"/>
  <c r="F115" i="202"/>
  <c r="E115" i="202"/>
  <c r="D115" i="202"/>
  <c r="C115" i="202"/>
  <c r="F112" i="202"/>
  <c r="E112" i="202"/>
  <c r="D112" i="202"/>
  <c r="D111" i="202" s="1"/>
  <c r="C111" i="202" s="1"/>
  <c r="C112" i="202"/>
  <c r="F109" i="202"/>
  <c r="E109" i="202"/>
  <c r="D109" i="202"/>
  <c r="C109" i="202"/>
  <c r="F108" i="202"/>
  <c r="E108" i="202"/>
  <c r="D108" i="202"/>
  <c r="C108" i="202"/>
  <c r="F107" i="202"/>
  <c r="E107" i="202"/>
  <c r="D107" i="202"/>
  <c r="C107" i="202"/>
  <c r="F106" i="202"/>
  <c r="E106" i="202"/>
  <c r="D106" i="202"/>
  <c r="C106" i="202"/>
  <c r="F105" i="202"/>
  <c r="E105" i="202"/>
  <c r="D105" i="202"/>
  <c r="C105" i="202"/>
  <c r="F104" i="202"/>
  <c r="E104" i="202"/>
  <c r="D104" i="202"/>
  <c r="C104" i="202"/>
  <c r="F103" i="202"/>
  <c r="E103" i="202"/>
  <c r="D103" i="202"/>
  <c r="C103" i="202"/>
  <c r="F102" i="202"/>
  <c r="E102" i="202"/>
  <c r="D102" i="202"/>
  <c r="C102" i="202"/>
  <c r="F100" i="202"/>
  <c r="E100" i="202"/>
  <c r="D100" i="202"/>
  <c r="C100" i="202"/>
  <c r="F99" i="202"/>
  <c r="E99" i="202"/>
  <c r="D99" i="202"/>
  <c r="C99" i="202"/>
  <c r="F98" i="202"/>
  <c r="E98" i="202"/>
  <c r="D98" i="202"/>
  <c r="C98" i="202"/>
  <c r="F97" i="202"/>
  <c r="E97" i="202"/>
  <c r="D97" i="202"/>
  <c r="C97" i="202"/>
  <c r="F96" i="202"/>
  <c r="E96" i="202"/>
  <c r="D96" i="202"/>
  <c r="C96" i="202"/>
  <c r="F95" i="202"/>
  <c r="E95" i="202"/>
  <c r="D95" i="202"/>
  <c r="C95" i="202"/>
  <c r="F94" i="202"/>
  <c r="E94" i="202"/>
  <c r="D94" i="202"/>
  <c r="C94" i="202"/>
  <c r="F93" i="202"/>
  <c r="E93" i="202"/>
  <c r="D93" i="202"/>
  <c r="C93" i="202"/>
  <c r="F92" i="202"/>
  <c r="E92" i="202"/>
  <c r="D92" i="202"/>
  <c r="C92" i="202"/>
  <c r="F91" i="202"/>
  <c r="E91" i="202"/>
  <c r="D91" i="202"/>
  <c r="C91" i="202"/>
  <c r="F90" i="202"/>
  <c r="E90" i="202"/>
  <c r="D90" i="202"/>
  <c r="C90" i="202"/>
  <c r="F89" i="202"/>
  <c r="E89" i="202"/>
  <c r="D89" i="202"/>
  <c r="C89" i="202"/>
  <c r="F88" i="202"/>
  <c r="E88" i="202"/>
  <c r="D88" i="202"/>
  <c r="C88" i="202"/>
  <c r="F87" i="202"/>
  <c r="E87" i="202"/>
  <c r="D87" i="202"/>
  <c r="C87" i="202"/>
  <c r="F86" i="202"/>
  <c r="E86" i="202"/>
  <c r="D86" i="202"/>
  <c r="C86" i="202"/>
  <c r="F85" i="202"/>
  <c r="E85" i="202"/>
  <c r="D85" i="202"/>
  <c r="C85" i="202"/>
  <c r="F84" i="202"/>
  <c r="E84" i="202"/>
  <c r="D84" i="202"/>
  <c r="C84" i="202"/>
  <c r="F83" i="202"/>
  <c r="E83" i="202"/>
  <c r="D83" i="202"/>
  <c r="C83" i="202"/>
  <c r="F82" i="202"/>
  <c r="E82" i="202"/>
  <c r="D82" i="202"/>
  <c r="C82" i="202"/>
  <c r="F81" i="202"/>
  <c r="E81" i="202"/>
  <c r="D81" i="202"/>
  <c r="C81" i="202"/>
  <c r="F80" i="202"/>
  <c r="E80" i="202"/>
  <c r="D80" i="202"/>
  <c r="C80" i="202"/>
  <c r="F79" i="202"/>
  <c r="E79" i="202"/>
  <c r="D79" i="202"/>
  <c r="C79" i="202"/>
  <c r="F78" i="202"/>
  <c r="E78" i="202"/>
  <c r="D78" i="202"/>
  <c r="C78" i="202"/>
  <c r="F77" i="202"/>
  <c r="E77" i="202"/>
  <c r="D77" i="202"/>
  <c r="C77" i="202"/>
  <c r="F76" i="202"/>
  <c r="E76" i="202"/>
  <c r="D76" i="202"/>
  <c r="C76" i="202"/>
  <c r="F75" i="202"/>
  <c r="E75" i="202"/>
  <c r="D75" i="202"/>
  <c r="C75" i="202"/>
  <c r="F74" i="202"/>
  <c r="E74" i="202"/>
  <c r="D74" i="202"/>
  <c r="C74" i="202"/>
  <c r="F73" i="202"/>
  <c r="E73" i="202"/>
  <c r="D73" i="202"/>
  <c r="C73" i="202"/>
  <c r="F72" i="202"/>
  <c r="E72" i="202"/>
  <c r="D72" i="202"/>
  <c r="C72" i="202"/>
  <c r="F71" i="202"/>
  <c r="E71" i="202"/>
  <c r="D71" i="202"/>
  <c r="C71" i="202"/>
  <c r="F70" i="202"/>
  <c r="E70" i="202"/>
  <c r="D70" i="202"/>
  <c r="C70" i="202"/>
  <c r="F69" i="202"/>
  <c r="E69" i="202"/>
  <c r="D69" i="202"/>
  <c r="C69" i="202"/>
  <c r="F68" i="202"/>
  <c r="E68" i="202"/>
  <c r="D68" i="202"/>
  <c r="C68" i="202"/>
  <c r="F67" i="202"/>
  <c r="F66" i="202" s="1"/>
  <c r="E67" i="202"/>
  <c r="E66" i="202" s="1"/>
  <c r="D67" i="202"/>
  <c r="D66" i="202" s="1"/>
  <c r="C67" i="202"/>
  <c r="F65" i="202"/>
  <c r="E65" i="202"/>
  <c r="D65" i="202"/>
  <c r="C65" i="202"/>
  <c r="F64" i="202"/>
  <c r="E64" i="202"/>
  <c r="D64" i="202"/>
  <c r="C64" i="202"/>
  <c r="F63" i="202"/>
  <c r="E63" i="202"/>
  <c r="D63" i="202"/>
  <c r="C63" i="202"/>
  <c r="F62" i="202"/>
  <c r="E62" i="202"/>
  <c r="D62" i="202"/>
  <c r="C62" i="202"/>
  <c r="F61" i="202"/>
  <c r="E61" i="202"/>
  <c r="D61" i="202"/>
  <c r="C61" i="202"/>
  <c r="F60" i="202"/>
  <c r="E60" i="202"/>
  <c r="D60" i="202"/>
  <c r="C60" i="202"/>
  <c r="F59" i="202"/>
  <c r="E59" i="202"/>
  <c r="D59" i="202"/>
  <c r="C59" i="202"/>
  <c r="F58" i="202"/>
  <c r="E58" i="202"/>
  <c r="D58" i="202"/>
  <c r="C58" i="202"/>
  <c r="F57" i="202"/>
  <c r="E57" i="202"/>
  <c r="D57" i="202"/>
  <c r="C57" i="202"/>
  <c r="F56" i="202"/>
  <c r="E56" i="202"/>
  <c r="D56" i="202"/>
  <c r="C56" i="202"/>
  <c r="F55" i="202"/>
  <c r="E55" i="202"/>
  <c r="D55" i="202"/>
  <c r="C55" i="202"/>
  <c r="F54" i="202"/>
  <c r="E54" i="202"/>
  <c r="D54" i="202"/>
  <c r="C54" i="202"/>
  <c r="F53" i="202"/>
  <c r="E53" i="202"/>
  <c r="D53" i="202"/>
  <c r="C53" i="202"/>
  <c r="F52" i="202"/>
  <c r="E52" i="202"/>
  <c r="D52" i="202"/>
  <c r="C52" i="202"/>
  <c r="F51" i="202"/>
  <c r="E51" i="202"/>
  <c r="D51" i="202"/>
  <c r="C51" i="202"/>
  <c r="F50" i="202"/>
  <c r="E50" i="202"/>
  <c r="D50" i="202"/>
  <c r="C50" i="202"/>
  <c r="F49" i="202"/>
  <c r="E49" i="202"/>
  <c r="D49" i="202"/>
  <c r="C49" i="202"/>
  <c r="F48" i="202"/>
  <c r="E48" i="202"/>
  <c r="D48" i="202"/>
  <c r="C48" i="202"/>
  <c r="F47" i="202"/>
  <c r="E47" i="202"/>
  <c r="D47" i="202"/>
  <c r="C47" i="202"/>
  <c r="F46" i="202"/>
  <c r="E46" i="202"/>
  <c r="D46" i="202"/>
  <c r="C46" i="202"/>
  <c r="F45" i="202"/>
  <c r="E45" i="202"/>
  <c r="D45" i="202"/>
  <c r="C45" i="202"/>
  <c r="F44" i="202"/>
  <c r="E44" i="202"/>
  <c r="D44" i="202"/>
  <c r="C44" i="202"/>
  <c r="F43" i="202"/>
  <c r="E43" i="202"/>
  <c r="D43" i="202"/>
  <c r="C43" i="202"/>
  <c r="F42" i="202"/>
  <c r="E42" i="202"/>
  <c r="D42" i="202"/>
  <c r="C42" i="202"/>
  <c r="F41" i="202"/>
  <c r="E41" i="202"/>
  <c r="D41" i="202"/>
  <c r="C41" i="202"/>
  <c r="F40" i="202"/>
  <c r="E40" i="202"/>
  <c r="D40" i="202"/>
  <c r="C40" i="202"/>
  <c r="F39" i="202"/>
  <c r="E39" i="202"/>
  <c r="D39" i="202"/>
  <c r="C39" i="202"/>
  <c r="F38" i="202"/>
  <c r="E38" i="202"/>
  <c r="D38" i="202"/>
  <c r="C38" i="202"/>
  <c r="F37" i="202"/>
  <c r="E37" i="202"/>
  <c r="D37" i="202"/>
  <c r="C37" i="202"/>
  <c r="F36" i="202"/>
  <c r="E36" i="202"/>
  <c r="D36" i="202"/>
  <c r="C36" i="202"/>
  <c r="F35" i="202"/>
  <c r="E35" i="202"/>
  <c r="D35" i="202"/>
  <c r="C35" i="202"/>
  <c r="F34" i="202"/>
  <c r="E34" i="202"/>
  <c r="D34" i="202"/>
  <c r="C34" i="202"/>
  <c r="F33" i="202"/>
  <c r="E33" i="202"/>
  <c r="D33" i="202"/>
  <c r="C33" i="202"/>
  <c r="F32" i="202"/>
  <c r="E32" i="202"/>
  <c r="D32" i="202"/>
  <c r="C32" i="202"/>
  <c r="F31" i="202"/>
  <c r="E31" i="202"/>
  <c r="D31" i="202"/>
  <c r="C31" i="202"/>
  <c r="F30" i="202"/>
  <c r="E30" i="202"/>
  <c r="D30" i="202"/>
  <c r="C30" i="202"/>
  <c r="F29" i="202"/>
  <c r="E29" i="202"/>
  <c r="D29" i="202"/>
  <c r="C29" i="202"/>
  <c r="F28" i="202"/>
  <c r="E28" i="202"/>
  <c r="D28" i="202"/>
  <c r="C28" i="202"/>
  <c r="F27" i="202"/>
  <c r="E27" i="202"/>
  <c r="D27" i="202"/>
  <c r="C27" i="202"/>
  <c r="F26" i="202"/>
  <c r="E26" i="202"/>
  <c r="D26" i="202"/>
  <c r="C26" i="202"/>
  <c r="F25" i="202"/>
  <c r="E25" i="202"/>
  <c r="D25" i="202"/>
  <c r="C25" i="202"/>
  <c r="F24" i="202"/>
  <c r="E24" i="202"/>
  <c r="D24" i="202"/>
  <c r="C24" i="202"/>
  <c r="F23" i="202"/>
  <c r="E23" i="202"/>
  <c r="D23" i="202"/>
  <c r="C23" i="202"/>
  <c r="F22" i="202"/>
  <c r="E22" i="202"/>
  <c r="D22" i="202"/>
  <c r="C22" i="202"/>
  <c r="F21" i="202"/>
  <c r="E21" i="202"/>
  <c r="D21" i="202"/>
  <c r="C21" i="202"/>
  <c r="F20" i="202"/>
  <c r="E20" i="202"/>
  <c r="D20" i="202"/>
  <c r="C20" i="202"/>
  <c r="F19" i="202"/>
  <c r="E19" i="202"/>
  <c r="D19" i="202"/>
  <c r="C19" i="202"/>
  <c r="F18" i="202"/>
  <c r="E18" i="202"/>
  <c r="D18" i="202"/>
  <c r="F17" i="202"/>
  <c r="E17" i="202"/>
  <c r="F16" i="202"/>
  <c r="E16" i="202"/>
  <c r="E15" i="202" s="1"/>
  <c r="C159" i="202"/>
  <c r="F111" i="202"/>
  <c r="E111" i="202"/>
  <c r="C110" i="202"/>
  <c r="F101" i="202"/>
  <c r="E101" i="202"/>
  <c r="F15" i="202"/>
  <c r="D91" i="188"/>
  <c r="D87" i="188"/>
  <c r="D51" i="188"/>
  <c r="D50" i="188"/>
  <c r="D56" i="188"/>
  <c r="D55" i="188"/>
  <c r="D58" i="188"/>
  <c r="D45" i="188"/>
  <c r="D44" i="188"/>
  <c r="D25" i="188"/>
  <c r="D23" i="188"/>
  <c r="D22" i="188"/>
  <c r="G471" i="165"/>
  <c r="H471" i="165"/>
  <c r="E439" i="165"/>
  <c r="E438" i="203" s="1"/>
  <c r="E386" i="165"/>
  <c r="E385" i="203" s="1"/>
  <c r="E385" i="165"/>
  <c r="E384" i="203" s="1"/>
  <c r="E371" i="165"/>
  <c r="E370" i="203" s="1"/>
  <c r="E359" i="165"/>
  <c r="E358" i="203" s="1"/>
  <c r="E366" i="165"/>
  <c r="E365" i="203" s="1"/>
  <c r="E353" i="165"/>
  <c r="E352" i="203" s="1"/>
  <c r="E349" i="165"/>
  <c r="E348" i="203" s="1"/>
  <c r="E346" i="165"/>
  <c r="E345" i="203" s="1"/>
  <c r="E328" i="165"/>
  <c r="E328" i="203" s="1"/>
  <c r="E323" i="165"/>
  <c r="E323" i="203" s="1"/>
  <c r="E318" i="165"/>
  <c r="E318" i="203" s="1"/>
  <c r="E280" i="165"/>
  <c r="E280" i="203" s="1"/>
  <c r="E203" i="165"/>
  <c r="E203" i="203" s="1"/>
  <c r="E202" i="165"/>
  <c r="E202" i="203" s="1"/>
  <c r="E137" i="165"/>
  <c r="E137" i="203" s="1"/>
  <c r="E89" i="165"/>
  <c r="E89" i="203" s="1"/>
  <c r="E95" i="165"/>
  <c r="E95" i="203" s="1"/>
  <c r="F101" i="165"/>
  <c r="F101" i="203" s="1"/>
  <c r="O90" i="165"/>
  <c r="J90" i="165"/>
  <c r="J90" i="203" s="1"/>
  <c r="E90" i="165"/>
  <c r="K77" i="165"/>
  <c r="K77" i="203" s="1"/>
  <c r="F76" i="165"/>
  <c r="F76" i="203" s="1"/>
  <c r="K76" i="165"/>
  <c r="K76" i="203" s="1"/>
  <c r="F68" i="165"/>
  <c r="F68" i="203" s="1"/>
  <c r="J85" i="167"/>
  <c r="G86" i="167"/>
  <c r="F67" i="165"/>
  <c r="F67" i="203" s="1"/>
  <c r="F64" i="165"/>
  <c r="F64" i="203" s="1"/>
  <c r="F56" i="165"/>
  <c r="F56" i="203" s="1"/>
  <c r="F55" i="165"/>
  <c r="I52" i="165"/>
  <c r="I52" i="203" s="1"/>
  <c r="F52" i="165"/>
  <c r="F52" i="203" s="1"/>
  <c r="I108" i="165"/>
  <c r="I108" i="203" s="1"/>
  <c r="H116" i="167"/>
  <c r="I103" i="165"/>
  <c r="I103" i="203" s="1"/>
  <c r="K20" i="184"/>
  <c r="K89" i="165"/>
  <c r="K89" i="203" s="1"/>
  <c r="J110" i="167"/>
  <c r="I110" i="167"/>
  <c r="K94" i="184"/>
  <c r="K95" i="165"/>
  <c r="K95" i="203" s="1"/>
  <c r="J224" i="167"/>
  <c r="E29" i="172"/>
  <c r="K18" i="107"/>
  <c r="I241" i="165"/>
  <c r="I241" i="203" s="1"/>
  <c r="I242" i="165"/>
  <c r="I242" i="203" s="1"/>
  <c r="F242" i="165"/>
  <c r="F242" i="203" s="1"/>
  <c r="F257" i="165"/>
  <c r="F257" i="203" s="1"/>
  <c r="F248" i="165"/>
  <c r="F248" i="203" s="1"/>
  <c r="F255" i="165"/>
  <c r="F255" i="203" s="1"/>
  <c r="I250" i="165"/>
  <c r="I250" i="203" s="1"/>
  <c r="F250" i="165"/>
  <c r="F250" i="203" s="1"/>
  <c r="P90" i="165" l="1"/>
  <c r="P90" i="203" s="1"/>
  <c r="E90" i="203"/>
  <c r="H109" i="203"/>
  <c r="K109" i="203"/>
  <c r="K424" i="203"/>
  <c r="K423" i="203" s="1"/>
  <c r="P230" i="203"/>
  <c r="F109" i="203"/>
  <c r="M109" i="203"/>
  <c r="P231" i="203"/>
  <c r="O112" i="203"/>
  <c r="O109" i="203" s="1"/>
  <c r="O211" i="203"/>
  <c r="P212" i="203"/>
  <c r="P211" i="203" s="1"/>
  <c r="J421" i="203"/>
  <c r="J425" i="203"/>
  <c r="J111" i="203"/>
  <c r="P113" i="203"/>
  <c r="P112" i="203" s="1"/>
  <c r="P116" i="203"/>
  <c r="P115" i="203" s="1"/>
  <c r="P114" i="203" s="1"/>
  <c r="O420" i="203"/>
  <c r="J420" i="203" s="1"/>
  <c r="P420" i="203" s="1"/>
  <c r="J234" i="203"/>
  <c r="O233" i="203"/>
  <c r="O232" i="203" s="1"/>
  <c r="P428" i="203"/>
  <c r="P427" i="203" s="1"/>
  <c r="P426" i="203" s="1"/>
  <c r="E427" i="203"/>
  <c r="E426" i="203" s="1"/>
  <c r="O427" i="203"/>
  <c r="O426" i="203" s="1"/>
  <c r="O421" i="203"/>
  <c r="C66" i="202"/>
  <c r="E113" i="202"/>
  <c r="F113" i="202"/>
  <c r="F160" i="202" s="1"/>
  <c r="J160" i="202" s="1"/>
  <c r="E114" i="202"/>
  <c r="D114" i="202"/>
  <c r="C114" i="202" s="1"/>
  <c r="J424" i="203" l="1"/>
  <c r="J423" i="203" s="1"/>
  <c r="P425" i="203"/>
  <c r="P424" i="203" s="1"/>
  <c r="P423" i="203" s="1"/>
  <c r="P109" i="203"/>
  <c r="P111" i="203"/>
  <c r="P110" i="203" s="1"/>
  <c r="J110" i="203"/>
  <c r="J109" i="203" s="1"/>
  <c r="J233" i="203"/>
  <c r="J232" i="203" s="1"/>
  <c r="P234" i="203"/>
  <c r="P233" i="203" s="1"/>
  <c r="P232" i="203" s="1"/>
  <c r="E160" i="202"/>
  <c r="I160" i="202" s="1"/>
  <c r="D101" i="202"/>
  <c r="C101" i="202" l="1"/>
  <c r="F171" i="165" l="1"/>
  <c r="F171" i="203" s="1"/>
  <c r="F159" i="165"/>
  <c r="F159" i="203" s="1"/>
  <c r="J193" i="167"/>
  <c r="I193" i="167"/>
  <c r="K47" i="184"/>
  <c r="K203" i="165"/>
  <c r="K203" i="203" s="1"/>
  <c r="F201" i="165"/>
  <c r="F201" i="203" s="1"/>
  <c r="F180" i="165"/>
  <c r="F180" i="203" s="1"/>
  <c r="F200" i="165"/>
  <c r="F200" i="203" s="1"/>
  <c r="I200" i="165" l="1"/>
  <c r="I200" i="203" s="1"/>
  <c r="F174" i="165"/>
  <c r="F174" i="203" s="1"/>
  <c r="G169" i="165"/>
  <c r="G169" i="203" s="1"/>
  <c r="F169" i="165"/>
  <c r="F169" i="203" s="1"/>
  <c r="I210" i="165"/>
  <c r="I210" i="203" s="1"/>
  <c r="I168" i="165" l="1"/>
  <c r="I168" i="203" s="1"/>
  <c r="F168" i="165"/>
  <c r="F168" i="203" s="1"/>
  <c r="I154" i="165"/>
  <c r="I154" i="203" s="1"/>
  <c r="F154" i="165"/>
  <c r="F154" i="203" s="1"/>
  <c r="J173" i="167"/>
  <c r="G174" i="167"/>
  <c r="D91" i="170"/>
  <c r="E271" i="165"/>
  <c r="E271" i="203" s="1"/>
  <c r="H225" i="167"/>
  <c r="H230" i="167"/>
  <c r="F21" i="165"/>
  <c r="F21" i="203" s="1"/>
  <c r="G22" i="167"/>
  <c r="I18" i="165"/>
  <c r="I18" i="203" s="1"/>
  <c r="F18" i="165"/>
  <c r="F18" i="203" s="1"/>
  <c r="G225" i="167" l="1"/>
  <c r="J150" i="167"/>
  <c r="O150" i="165"/>
  <c r="E150" i="165"/>
  <c r="E150" i="203" s="1"/>
  <c r="M138" i="167"/>
  <c r="H138" i="167"/>
  <c r="G139" i="167"/>
  <c r="F134" i="165"/>
  <c r="F134" i="203" s="1"/>
  <c r="I133" i="165"/>
  <c r="I133" i="203" s="1"/>
  <c r="I126" i="165"/>
  <c r="I126" i="203" s="1"/>
  <c r="F126" i="165"/>
  <c r="F126" i="203" s="1"/>
  <c r="K23" i="184"/>
  <c r="K137" i="165"/>
  <c r="K137" i="203" s="1"/>
  <c r="I125" i="165"/>
  <c r="I125" i="203" s="1"/>
  <c r="F124" i="165"/>
  <c r="F124" i="203" s="1"/>
  <c r="K31" i="184"/>
  <c r="I123" i="165"/>
  <c r="I123" i="203" s="1"/>
  <c r="E222" i="165"/>
  <c r="E222" i="203" s="1"/>
  <c r="F229" i="165"/>
  <c r="F229" i="203" s="1"/>
  <c r="F221" i="165"/>
  <c r="F221" i="203" s="1"/>
  <c r="F220" i="165"/>
  <c r="F220" i="203" s="1"/>
  <c r="I219" i="165"/>
  <c r="I219" i="203" s="1"/>
  <c r="F219" i="165"/>
  <c r="F219" i="203" s="1"/>
  <c r="H201" i="167"/>
  <c r="I217" i="165"/>
  <c r="I217" i="203" s="1"/>
  <c r="F217" i="165"/>
  <c r="F217" i="203" s="1"/>
  <c r="I29" i="165"/>
  <c r="I29" i="203" s="1"/>
  <c r="D32" i="108"/>
  <c r="J317" i="167"/>
  <c r="I333" i="165"/>
  <c r="I333" i="203" s="1"/>
  <c r="K303" i="167"/>
  <c r="J306" i="167"/>
  <c r="I306" i="167"/>
  <c r="K326" i="203"/>
  <c r="I301" i="167"/>
  <c r="J301" i="167"/>
  <c r="K323" i="165"/>
  <c r="K323" i="203" s="1"/>
  <c r="F316" i="203"/>
  <c r="I313" i="165"/>
  <c r="I313" i="203" s="1"/>
  <c r="F337" i="165"/>
  <c r="F337" i="203" s="1"/>
  <c r="F315" i="165"/>
  <c r="F315" i="203" s="1"/>
  <c r="H288" i="167"/>
  <c r="H290" i="167"/>
  <c r="F312" i="165"/>
  <c r="F312" i="203" s="1"/>
  <c r="E308" i="165"/>
  <c r="E308" i="203" s="1"/>
  <c r="G278" i="167"/>
  <c r="H307" i="165"/>
  <c r="H307" i="203" s="1"/>
  <c r="F307" i="165"/>
  <c r="F307" i="203" s="1"/>
  <c r="I301" i="165"/>
  <c r="I301" i="203" s="1"/>
  <c r="H249" i="167"/>
  <c r="H250" i="167"/>
  <c r="I283" i="165"/>
  <c r="I283" i="203" s="1"/>
  <c r="H269" i="167"/>
  <c r="F295" i="165"/>
  <c r="F295" i="203" s="1"/>
  <c r="F288" i="165"/>
  <c r="F288" i="203" s="1"/>
  <c r="F283" i="165"/>
  <c r="F283" i="203" s="1"/>
  <c r="I275" i="165"/>
  <c r="I275" i="203" s="1"/>
  <c r="J330" i="167"/>
  <c r="I330" i="167"/>
  <c r="K18" i="184"/>
  <c r="K346" i="165"/>
  <c r="K345" i="203" s="1"/>
  <c r="H377" i="167"/>
  <c r="F417" i="165"/>
  <c r="F416" i="203" s="1"/>
  <c r="H211" i="167"/>
  <c r="J150" i="165" l="1"/>
  <c r="O150" i="203"/>
  <c r="H150" i="167"/>
  <c r="P150" i="165"/>
  <c r="P150" i="203" s="1"/>
  <c r="I414" i="165"/>
  <c r="I413" i="203" s="1"/>
  <c r="F414" i="165"/>
  <c r="F413" i="203" s="1"/>
  <c r="H378" i="167"/>
  <c r="F419" i="165"/>
  <c r="F418" i="203" s="1"/>
  <c r="I419" i="165"/>
  <c r="I418" i="203" s="1"/>
  <c r="N369" i="165"/>
  <c r="M369" i="165"/>
  <c r="L369" i="165"/>
  <c r="K369" i="165"/>
  <c r="I369" i="165"/>
  <c r="H369" i="165"/>
  <c r="G369" i="165"/>
  <c r="F369" i="165"/>
  <c r="O370" i="165"/>
  <c r="O369" i="203" s="1"/>
  <c r="E370" i="165"/>
  <c r="O371" i="165"/>
  <c r="O72" i="184"/>
  <c r="N72" i="184"/>
  <c r="M72" i="184"/>
  <c r="L72" i="184"/>
  <c r="K72" i="184"/>
  <c r="J72" i="184"/>
  <c r="J80" i="184"/>
  <c r="O79" i="184"/>
  <c r="N79" i="184"/>
  <c r="M79" i="184"/>
  <c r="L79" i="184"/>
  <c r="K79" i="184"/>
  <c r="J79" i="184"/>
  <c r="J78" i="184"/>
  <c r="O77" i="184"/>
  <c r="N77" i="184"/>
  <c r="M77" i="184"/>
  <c r="L77" i="184"/>
  <c r="K77" i="184"/>
  <c r="J77" i="184"/>
  <c r="J345" i="167"/>
  <c r="H345" i="167"/>
  <c r="J343" i="167"/>
  <c r="I343" i="167"/>
  <c r="K89" i="184"/>
  <c r="K366" i="165"/>
  <c r="K365" i="203" s="1"/>
  <c r="J333" i="167"/>
  <c r="I333" i="167"/>
  <c r="K34" i="184"/>
  <c r="K353" i="165"/>
  <c r="K352" i="203" s="1"/>
  <c r="O450" i="165"/>
  <c r="E450" i="165"/>
  <c r="E449" i="203" s="1"/>
  <c r="H399" i="167"/>
  <c r="F448" i="165"/>
  <c r="F447" i="203" s="1"/>
  <c r="E404" i="165"/>
  <c r="E403" i="203" s="1"/>
  <c r="K82" i="184"/>
  <c r="J366" i="167"/>
  <c r="I366" i="167"/>
  <c r="K401" i="165"/>
  <c r="K400" i="203" s="1"/>
  <c r="H364" i="167"/>
  <c r="F398" i="165"/>
  <c r="F397" i="203" s="1"/>
  <c r="H367" i="167"/>
  <c r="F402" i="165"/>
  <c r="F401" i="203" s="1"/>
  <c r="H360" i="167"/>
  <c r="G360" i="167" s="1"/>
  <c r="F445" i="165"/>
  <c r="F444" i="203" s="1"/>
  <c r="F391" i="165"/>
  <c r="F390" i="203" s="1"/>
  <c r="G405" i="167"/>
  <c r="J392" i="167"/>
  <c r="N435" i="165"/>
  <c r="N434" i="203" s="1"/>
  <c r="M435" i="165"/>
  <c r="M434" i="203" s="1"/>
  <c r="L435" i="165"/>
  <c r="L434" i="203" s="1"/>
  <c r="K435" i="165"/>
  <c r="K434" i="203" s="1"/>
  <c r="I435" i="165"/>
  <c r="I434" i="203" s="1"/>
  <c r="H435" i="165"/>
  <c r="H434" i="203" s="1"/>
  <c r="G435" i="165"/>
  <c r="G434" i="203" s="1"/>
  <c r="F435" i="165"/>
  <c r="F434" i="203" s="1"/>
  <c r="O436" i="165"/>
  <c r="E436" i="165"/>
  <c r="F433" i="165"/>
  <c r="F432" i="203" s="1"/>
  <c r="E381" i="165"/>
  <c r="E380" i="203" s="1"/>
  <c r="F380" i="165"/>
  <c r="F379" i="203" s="1"/>
  <c r="F58" i="172"/>
  <c r="E58" i="172"/>
  <c r="F57" i="172"/>
  <c r="E57" i="172"/>
  <c r="D58" i="172"/>
  <c r="D57" i="172"/>
  <c r="F55" i="172"/>
  <c r="E55" i="172"/>
  <c r="D55" i="172"/>
  <c r="D54" i="172" s="1"/>
  <c r="C55" i="172"/>
  <c r="F54" i="172"/>
  <c r="E54" i="172"/>
  <c r="C22" i="172"/>
  <c r="F21" i="172"/>
  <c r="E21" i="172"/>
  <c r="D21" i="172"/>
  <c r="F24" i="172"/>
  <c r="E24" i="172"/>
  <c r="D24" i="172"/>
  <c r="C25" i="172"/>
  <c r="E20" i="165"/>
  <c r="E20" i="203" s="1"/>
  <c r="H45" i="167"/>
  <c r="F41" i="165"/>
  <c r="F41" i="203" s="1"/>
  <c r="H392" i="167" l="1"/>
  <c r="E435" i="203"/>
  <c r="E369" i="203"/>
  <c r="O369" i="165"/>
  <c r="O368" i="203" s="1"/>
  <c r="J436" i="165"/>
  <c r="J435" i="203" s="1"/>
  <c r="O435" i="203"/>
  <c r="J370" i="165"/>
  <c r="G368" i="165"/>
  <c r="G367" i="203" s="1"/>
  <c r="G368" i="203"/>
  <c r="H368" i="165"/>
  <c r="H367" i="203" s="1"/>
  <c r="H368" i="203"/>
  <c r="I368" i="165"/>
  <c r="I367" i="203" s="1"/>
  <c r="I368" i="203"/>
  <c r="J450" i="165"/>
  <c r="J449" i="203" s="1"/>
  <c r="O449" i="203"/>
  <c r="F368" i="165"/>
  <c r="F367" i="203" s="1"/>
  <c r="F368" i="203"/>
  <c r="K368" i="165"/>
  <c r="K367" i="203" s="1"/>
  <c r="K368" i="203"/>
  <c r="L368" i="165"/>
  <c r="L367" i="203" s="1"/>
  <c r="L368" i="203"/>
  <c r="O435" i="165"/>
  <c r="O434" i="203" s="1"/>
  <c r="M368" i="165"/>
  <c r="M367" i="203" s="1"/>
  <c r="M368" i="203"/>
  <c r="J371" i="165"/>
  <c r="O370" i="203"/>
  <c r="N368" i="165"/>
  <c r="N367" i="203" s="1"/>
  <c r="N368" i="203"/>
  <c r="J150" i="203"/>
  <c r="I150" i="167"/>
  <c r="O368" i="165"/>
  <c r="O367" i="203" s="1"/>
  <c r="E369" i="165"/>
  <c r="I345" i="167"/>
  <c r="G345" i="167" s="1"/>
  <c r="J435" i="165"/>
  <c r="J434" i="203" s="1"/>
  <c r="I392" i="167"/>
  <c r="G392" i="167" s="1"/>
  <c r="E435" i="165"/>
  <c r="E434" i="203" s="1"/>
  <c r="C58" i="172"/>
  <c r="H33" i="167"/>
  <c r="H26" i="165"/>
  <c r="H26" i="203" s="1"/>
  <c r="I26" i="165"/>
  <c r="I26" i="203" s="1"/>
  <c r="F26" i="165"/>
  <c r="F26" i="203" s="1"/>
  <c r="H25" i="167"/>
  <c r="D35" i="108"/>
  <c r="D29" i="108"/>
  <c r="L36" i="165"/>
  <c r="L36" i="203" s="1"/>
  <c r="H17" i="167"/>
  <c r="J369" i="203" l="1"/>
  <c r="J369" i="165"/>
  <c r="J368" i="203" s="1"/>
  <c r="E368" i="165"/>
  <c r="E367" i="203" s="1"/>
  <c r="E368" i="203"/>
  <c r="P370" i="165"/>
  <c r="P436" i="165"/>
  <c r="P450" i="165"/>
  <c r="P449" i="203" s="1"/>
  <c r="P371" i="165"/>
  <c r="J370" i="203"/>
  <c r="J368" i="165"/>
  <c r="J367" i="203" s="1"/>
  <c r="H18" i="165"/>
  <c r="H18" i="203" s="1"/>
  <c r="P370" i="203" l="1"/>
  <c r="P435" i="165"/>
  <c r="P434" i="203" s="1"/>
  <c r="P435" i="203"/>
  <c r="P369" i="165"/>
  <c r="P368" i="203" s="1"/>
  <c r="P369" i="203"/>
  <c r="N471" i="165"/>
  <c r="D27" i="170"/>
  <c r="D130" i="188"/>
  <c r="N179" i="165"/>
  <c r="N179" i="203" s="1"/>
  <c r="M179" i="165"/>
  <c r="M179" i="203" s="1"/>
  <c r="L179" i="165"/>
  <c r="L179" i="203" s="1"/>
  <c r="K179" i="165"/>
  <c r="K179" i="203" s="1"/>
  <c r="I179" i="165"/>
  <c r="I179" i="203" s="1"/>
  <c r="H179" i="165"/>
  <c r="H179" i="203" s="1"/>
  <c r="G179" i="165"/>
  <c r="G179" i="203" s="1"/>
  <c r="F179" i="165"/>
  <c r="F179" i="203" s="1"/>
  <c r="O181" i="165"/>
  <c r="E181" i="165"/>
  <c r="E181" i="203" s="1"/>
  <c r="D57" i="170"/>
  <c r="D159" i="188"/>
  <c r="H64" i="165"/>
  <c r="H64" i="203" s="1"/>
  <c r="G64" i="165"/>
  <c r="G64" i="203" s="1"/>
  <c r="F58" i="165"/>
  <c r="F58" i="203" s="1"/>
  <c r="D50" i="170"/>
  <c r="D46" i="170"/>
  <c r="J161" i="188"/>
  <c r="I161" i="188"/>
  <c r="C153" i="188"/>
  <c r="D140" i="188"/>
  <c r="C159" i="201"/>
  <c r="C158" i="201"/>
  <c r="C157" i="201"/>
  <c r="C156" i="201"/>
  <c r="C155" i="201"/>
  <c r="C154" i="201"/>
  <c r="C153" i="201"/>
  <c r="C152" i="201"/>
  <c r="C151" i="201"/>
  <c r="C150" i="201"/>
  <c r="F149" i="201"/>
  <c r="F133" i="201" s="1"/>
  <c r="F119" i="201" s="1"/>
  <c r="F114" i="201" s="1"/>
  <c r="E149" i="201"/>
  <c r="E133" i="201" s="1"/>
  <c r="D149" i="201"/>
  <c r="D133" i="201" s="1"/>
  <c r="C149" i="201"/>
  <c r="C148" i="201"/>
  <c r="C147" i="201"/>
  <c r="C146" i="201"/>
  <c r="D145" i="201"/>
  <c r="C145" i="201" s="1"/>
  <c r="C144" i="201"/>
  <c r="C143" i="201"/>
  <c r="C142" i="201"/>
  <c r="C141" i="201"/>
  <c r="C140" i="201"/>
  <c r="C139" i="201"/>
  <c r="C138" i="201"/>
  <c r="C137" i="201"/>
  <c r="C136" i="201"/>
  <c r="C135" i="201"/>
  <c r="C134" i="201"/>
  <c r="C132" i="201"/>
  <c r="C131" i="201"/>
  <c r="C130" i="201"/>
  <c r="C129" i="201"/>
  <c r="C128" i="201"/>
  <c r="C127" i="201"/>
  <c r="C126" i="201"/>
  <c r="C125" i="201"/>
  <c r="C124" i="201"/>
  <c r="C123" i="201"/>
  <c r="C122" i="201"/>
  <c r="C121" i="201"/>
  <c r="F120" i="201"/>
  <c r="E120" i="201"/>
  <c r="D120" i="201"/>
  <c r="D119" i="201" s="1"/>
  <c r="C120" i="201"/>
  <c r="C118" i="201"/>
  <c r="C117" i="201"/>
  <c r="C116" i="201"/>
  <c r="C115" i="201" s="1"/>
  <c r="D115" i="201"/>
  <c r="C112" i="201"/>
  <c r="F111" i="201"/>
  <c r="F113" i="201" s="1"/>
  <c r="E111" i="201"/>
  <c r="D111" i="201"/>
  <c r="C110" i="201"/>
  <c r="C109" i="201"/>
  <c r="C108" i="201"/>
  <c r="F107" i="201"/>
  <c r="E107" i="201"/>
  <c r="D107" i="201"/>
  <c r="C107" i="201"/>
  <c r="F106" i="201"/>
  <c r="E106" i="201"/>
  <c r="D106" i="201"/>
  <c r="C106" i="201"/>
  <c r="C105" i="201"/>
  <c r="C104" i="201"/>
  <c r="D103" i="201"/>
  <c r="C103" i="201" s="1"/>
  <c r="F102" i="201"/>
  <c r="E102" i="201"/>
  <c r="E101" i="201" s="1"/>
  <c r="F101" i="201"/>
  <c r="C100" i="201"/>
  <c r="C99" i="201"/>
  <c r="C98" i="201"/>
  <c r="E97" i="201"/>
  <c r="C97" i="201"/>
  <c r="E96" i="201"/>
  <c r="C96" i="201" s="1"/>
  <c r="D95" i="201"/>
  <c r="C94" i="201"/>
  <c r="C93" i="201"/>
  <c r="C92" i="201"/>
  <c r="C91" i="201"/>
  <c r="F90" i="201"/>
  <c r="E90" i="201"/>
  <c r="D90" i="201"/>
  <c r="C90" i="201" s="1"/>
  <c r="C89" i="201"/>
  <c r="C88" i="201"/>
  <c r="C87" i="201"/>
  <c r="D86" i="201"/>
  <c r="C86" i="201"/>
  <c r="C85" i="201"/>
  <c r="D84" i="201"/>
  <c r="C84" i="201"/>
  <c r="C83" i="201"/>
  <c r="D82" i="201"/>
  <c r="C82" i="201"/>
  <c r="C81" i="201"/>
  <c r="C80" i="201"/>
  <c r="C79" i="201"/>
  <c r="D78" i="201"/>
  <c r="C78" i="201" s="1"/>
  <c r="C76" i="201"/>
  <c r="C75" i="201"/>
  <c r="C74" i="201"/>
  <c r="C73" i="201"/>
  <c r="D72" i="201"/>
  <c r="D71" i="201" s="1"/>
  <c r="C72" i="201"/>
  <c r="C70" i="201"/>
  <c r="C69" i="201"/>
  <c r="D68" i="201"/>
  <c r="C68" i="201"/>
  <c r="F66" i="201"/>
  <c r="C65" i="201"/>
  <c r="C64" i="201"/>
  <c r="C63" i="201"/>
  <c r="E62" i="201"/>
  <c r="D62" i="201"/>
  <c r="C62" i="201"/>
  <c r="E61" i="201"/>
  <c r="C61" i="201"/>
  <c r="C60" i="201"/>
  <c r="D59" i="201"/>
  <c r="D57" i="201" s="1"/>
  <c r="C59" i="201"/>
  <c r="C58" i="201"/>
  <c r="C56" i="201"/>
  <c r="C55" i="201"/>
  <c r="D54" i="201"/>
  <c r="C54" i="201"/>
  <c r="C53" i="201"/>
  <c r="D52" i="201"/>
  <c r="C52" i="201"/>
  <c r="C51" i="201"/>
  <c r="C50" i="201"/>
  <c r="C49" i="201"/>
  <c r="C48" i="201"/>
  <c r="D47" i="201"/>
  <c r="C47" i="201"/>
  <c r="D46" i="201"/>
  <c r="C46" i="201"/>
  <c r="C45" i="201"/>
  <c r="C44" i="201"/>
  <c r="C43" i="201"/>
  <c r="C42" i="201"/>
  <c r="D41" i="201"/>
  <c r="C41" i="201"/>
  <c r="C39" i="201"/>
  <c r="C38" i="201"/>
  <c r="C37" i="201" s="1"/>
  <c r="D37" i="201"/>
  <c r="D36" i="201"/>
  <c r="C36" i="201" s="1"/>
  <c r="D35" i="201"/>
  <c r="C35" i="201"/>
  <c r="C34" i="201"/>
  <c r="D33" i="201"/>
  <c r="D32" i="201" s="1"/>
  <c r="C32" i="201" s="1"/>
  <c r="C33" i="201"/>
  <c r="C31" i="201"/>
  <c r="D30" i="201"/>
  <c r="C30" i="201"/>
  <c r="C29" i="201"/>
  <c r="C28" i="201"/>
  <c r="D27" i="201"/>
  <c r="D26" i="201" s="1"/>
  <c r="C26" i="201" s="1"/>
  <c r="C27" i="201"/>
  <c r="C25" i="201"/>
  <c r="D24" i="201"/>
  <c r="C24" i="201"/>
  <c r="C23" i="201"/>
  <c r="C22" i="201"/>
  <c r="C21" i="201"/>
  <c r="C20" i="201"/>
  <c r="C19" i="201"/>
  <c r="D18" i="201"/>
  <c r="D17" i="201" s="1"/>
  <c r="C18" i="201"/>
  <c r="F15" i="201"/>
  <c r="E15" i="201"/>
  <c r="P464" i="200"/>
  <c r="N464" i="200"/>
  <c r="M464" i="200"/>
  <c r="L464" i="200"/>
  <c r="I464" i="200"/>
  <c r="H464" i="200"/>
  <c r="G464" i="200"/>
  <c r="F464" i="200"/>
  <c r="E464" i="200"/>
  <c r="O461" i="200"/>
  <c r="O460" i="200" s="1"/>
  <c r="O459" i="200" s="1"/>
  <c r="J461" i="200"/>
  <c r="J460" i="200" s="1"/>
  <c r="J459" i="200" s="1"/>
  <c r="E461" i="200"/>
  <c r="P461" i="200" s="1"/>
  <c r="P460" i="200" s="1"/>
  <c r="P459" i="200" s="1"/>
  <c r="N460" i="200"/>
  <c r="M460" i="200"/>
  <c r="L460" i="200"/>
  <c r="K460" i="200"/>
  <c r="I460" i="200"/>
  <c r="H460" i="200"/>
  <c r="G460" i="200"/>
  <c r="F460" i="200"/>
  <c r="N459" i="200"/>
  <c r="M459" i="200"/>
  <c r="L459" i="200"/>
  <c r="K459" i="200"/>
  <c r="I459" i="200"/>
  <c r="H459" i="200"/>
  <c r="G459" i="200"/>
  <c r="F459" i="200"/>
  <c r="P458" i="200"/>
  <c r="P457" i="200" s="1"/>
  <c r="P456" i="200" s="1"/>
  <c r="O458" i="200"/>
  <c r="J458" i="200"/>
  <c r="F458" i="200"/>
  <c r="E458" i="200"/>
  <c r="O457" i="200"/>
  <c r="N457" i="200"/>
  <c r="M457" i="200"/>
  <c r="L457" i="200"/>
  <c r="K457" i="200"/>
  <c r="J457" i="200"/>
  <c r="I457" i="200"/>
  <c r="I456" i="200" s="1"/>
  <c r="I452" i="200" s="1"/>
  <c r="I445" i="200" s="1"/>
  <c r="I444" i="200" s="1"/>
  <c r="H457" i="200"/>
  <c r="G457" i="200"/>
  <c r="F457" i="200"/>
  <c r="E457" i="200"/>
  <c r="O456" i="200"/>
  <c r="N456" i="200"/>
  <c r="M456" i="200"/>
  <c r="M452" i="200" s="1"/>
  <c r="M445" i="200" s="1"/>
  <c r="M444" i="200" s="1"/>
  <c r="L456" i="200"/>
  <c r="L452" i="200" s="1"/>
  <c r="L445" i="200" s="1"/>
  <c r="L444" i="200" s="1"/>
  <c r="K456" i="200"/>
  <c r="J456" i="200"/>
  <c r="H456" i="200"/>
  <c r="G456" i="200"/>
  <c r="F456" i="200"/>
  <c r="E456" i="200"/>
  <c r="O455" i="200"/>
  <c r="J455" i="200" s="1"/>
  <c r="J454" i="200" s="1"/>
  <c r="F455" i="200"/>
  <c r="O454" i="200"/>
  <c r="N454" i="200"/>
  <c r="N452" i="200" s="1"/>
  <c r="M454" i="200"/>
  <c r="L454" i="200"/>
  <c r="K454" i="200"/>
  <c r="K452" i="200" s="1"/>
  <c r="I454" i="200"/>
  <c r="H454" i="200"/>
  <c r="G454" i="200"/>
  <c r="F454" i="200"/>
  <c r="O453" i="200"/>
  <c r="J453" i="200"/>
  <c r="E453" i="200"/>
  <c r="H452" i="200"/>
  <c r="G452" i="200"/>
  <c r="G445" i="200" s="1"/>
  <c r="G444" i="200" s="1"/>
  <c r="F452" i="200"/>
  <c r="O451" i="200"/>
  <c r="O450" i="200" s="1"/>
  <c r="O449" i="200" s="1"/>
  <c r="J451" i="200"/>
  <c r="E451" i="200"/>
  <c r="P451" i="200" s="1"/>
  <c r="P450" i="200" s="1"/>
  <c r="P449" i="200" s="1"/>
  <c r="N450" i="200"/>
  <c r="M450" i="200"/>
  <c r="L450" i="200"/>
  <c r="K450" i="200"/>
  <c r="K449" i="200" s="1"/>
  <c r="J450" i="200"/>
  <c r="J449" i="200" s="1"/>
  <c r="I450" i="200"/>
  <c r="H450" i="200"/>
  <c r="G450" i="200"/>
  <c r="F450" i="200"/>
  <c r="E450" i="200"/>
  <c r="N449" i="200"/>
  <c r="M449" i="200"/>
  <c r="L449" i="200"/>
  <c r="I449" i="200"/>
  <c r="H449" i="200"/>
  <c r="G449" i="200"/>
  <c r="F449" i="200"/>
  <c r="E449" i="200"/>
  <c r="O448" i="200"/>
  <c r="J448" i="200"/>
  <c r="P448" i="200" s="1"/>
  <c r="E448" i="200"/>
  <c r="E446" i="200" s="1"/>
  <c r="O447" i="200"/>
  <c r="O446" i="200" s="1"/>
  <c r="J447" i="200"/>
  <c r="E447" i="200"/>
  <c r="N446" i="200"/>
  <c r="M446" i="200"/>
  <c r="L446" i="200"/>
  <c r="K446" i="200"/>
  <c r="I446" i="200"/>
  <c r="H446" i="200"/>
  <c r="G446" i="200"/>
  <c r="F446" i="200"/>
  <c r="F445" i="200" s="1"/>
  <c r="F444" i="200" s="1"/>
  <c r="H445" i="200"/>
  <c r="H444" i="200" s="1"/>
  <c r="O443" i="200"/>
  <c r="J443" i="200" s="1"/>
  <c r="P443" i="200" s="1"/>
  <c r="P442" i="200" s="1"/>
  <c r="N442" i="200"/>
  <c r="M442" i="200"/>
  <c r="M439" i="200" s="1"/>
  <c r="M436" i="200" s="1"/>
  <c r="M435" i="200" s="1"/>
  <c r="L442" i="200"/>
  <c r="L439" i="200" s="1"/>
  <c r="L436" i="200" s="1"/>
  <c r="K442" i="200"/>
  <c r="K439" i="200" s="1"/>
  <c r="K436" i="200" s="1"/>
  <c r="K435" i="200" s="1"/>
  <c r="J442" i="200"/>
  <c r="J439" i="200" s="1"/>
  <c r="I442" i="200"/>
  <c r="H442" i="200"/>
  <c r="G442" i="200"/>
  <c r="G439" i="200" s="1"/>
  <c r="F442" i="200"/>
  <c r="E442" i="200"/>
  <c r="O441" i="200"/>
  <c r="J441" i="200"/>
  <c r="E441" i="200"/>
  <c r="P441" i="200" s="1"/>
  <c r="P440" i="200" s="1"/>
  <c r="P439" i="200" s="1"/>
  <c r="O440" i="200"/>
  <c r="N440" i="200"/>
  <c r="M440" i="200"/>
  <c r="L440" i="200"/>
  <c r="K440" i="200"/>
  <c r="J440" i="200"/>
  <c r="I440" i="200"/>
  <c r="H440" i="200"/>
  <c r="G440" i="200"/>
  <c r="F440" i="200"/>
  <c r="E440" i="200"/>
  <c r="N439" i="200"/>
  <c r="I439" i="200"/>
  <c r="H439" i="200"/>
  <c r="F439" i="200"/>
  <c r="E439" i="200"/>
  <c r="E436" i="200" s="1"/>
  <c r="O438" i="200"/>
  <c r="O437" i="200" s="1"/>
  <c r="J438" i="200"/>
  <c r="E438" i="200"/>
  <c r="N437" i="200"/>
  <c r="M437" i="200"/>
  <c r="L437" i="200"/>
  <c r="K437" i="200"/>
  <c r="I437" i="200"/>
  <c r="H437" i="200"/>
  <c r="G437" i="200"/>
  <c r="G436" i="200" s="1"/>
  <c r="G435" i="200" s="1"/>
  <c r="F437" i="200"/>
  <c r="F436" i="200" s="1"/>
  <c r="F435" i="200" s="1"/>
  <c r="E437" i="200"/>
  <c r="I436" i="200"/>
  <c r="H436" i="200"/>
  <c r="H435" i="200" s="1"/>
  <c r="I435" i="200"/>
  <c r="O434" i="200"/>
  <c r="J434" i="200" s="1"/>
  <c r="E434" i="200"/>
  <c r="N433" i="200"/>
  <c r="M433" i="200"/>
  <c r="L433" i="200"/>
  <c r="K433" i="200"/>
  <c r="I433" i="200"/>
  <c r="H433" i="200"/>
  <c r="G433" i="200"/>
  <c r="F433" i="200"/>
  <c r="E433" i="200"/>
  <c r="O432" i="200"/>
  <c r="J432" i="200"/>
  <c r="J431" i="200" s="1"/>
  <c r="J430" i="200" s="1"/>
  <c r="O431" i="200"/>
  <c r="N431" i="200"/>
  <c r="M431" i="200"/>
  <c r="L431" i="200"/>
  <c r="K431" i="200"/>
  <c r="I431" i="200"/>
  <c r="H431" i="200"/>
  <c r="G431" i="200"/>
  <c r="F431" i="200"/>
  <c r="E431" i="200"/>
  <c r="O430" i="200"/>
  <c r="N430" i="200"/>
  <c r="M430" i="200"/>
  <c r="L430" i="200"/>
  <c r="K430" i="200"/>
  <c r="I430" i="200"/>
  <c r="H430" i="200"/>
  <c r="G430" i="200"/>
  <c r="F430" i="200"/>
  <c r="F426" i="200" s="1"/>
  <c r="F425" i="200" s="1"/>
  <c r="E430" i="200"/>
  <c r="O429" i="200"/>
  <c r="J429" i="200" s="1"/>
  <c r="P429" i="200" s="1"/>
  <c r="E429" i="200"/>
  <c r="E427" i="200" s="1"/>
  <c r="E426" i="200" s="1"/>
  <c r="E425" i="200" s="1"/>
  <c r="O428" i="200"/>
  <c r="J428" i="200" s="1"/>
  <c r="E428" i="200"/>
  <c r="N427" i="200"/>
  <c r="M427" i="200"/>
  <c r="L427" i="200"/>
  <c r="L426" i="200" s="1"/>
  <c r="L425" i="200" s="1"/>
  <c r="K427" i="200"/>
  <c r="K426" i="200" s="1"/>
  <c r="K425" i="200" s="1"/>
  <c r="I427" i="200"/>
  <c r="H427" i="200"/>
  <c r="G427" i="200"/>
  <c r="G426" i="200" s="1"/>
  <c r="G425" i="200" s="1"/>
  <c r="F427" i="200"/>
  <c r="N426" i="200"/>
  <c r="M426" i="200"/>
  <c r="M425" i="200" s="1"/>
  <c r="I426" i="200"/>
  <c r="H426" i="200"/>
  <c r="N425" i="200"/>
  <c r="I425" i="200"/>
  <c r="H425" i="200"/>
  <c r="O424" i="200"/>
  <c r="O423" i="200" s="1"/>
  <c r="O422" i="200" s="1"/>
  <c r="J424" i="200"/>
  <c r="J423" i="200" s="1"/>
  <c r="J422" i="200" s="1"/>
  <c r="E424" i="200"/>
  <c r="P424" i="200" s="1"/>
  <c r="P423" i="200"/>
  <c r="P422" i="200" s="1"/>
  <c r="N423" i="200"/>
  <c r="M423" i="200"/>
  <c r="L423" i="200"/>
  <c r="K423" i="200"/>
  <c r="I423" i="200"/>
  <c r="H423" i="200"/>
  <c r="G423" i="200"/>
  <c r="F423" i="200"/>
  <c r="N422" i="200"/>
  <c r="M422" i="200"/>
  <c r="L422" i="200"/>
  <c r="K422" i="200"/>
  <c r="I422" i="200"/>
  <c r="H422" i="200"/>
  <c r="G422" i="200"/>
  <c r="F422" i="200"/>
  <c r="K421" i="200"/>
  <c r="O421" i="200" s="1"/>
  <c r="F421" i="200"/>
  <c r="E421" i="200" s="1"/>
  <c r="E420" i="200" s="1"/>
  <c r="E419" i="200" s="1"/>
  <c r="N420" i="200"/>
  <c r="M420" i="200"/>
  <c r="L420" i="200"/>
  <c r="K420" i="200"/>
  <c r="K419" i="200" s="1"/>
  <c r="I420" i="200"/>
  <c r="H420" i="200"/>
  <c r="G420" i="200"/>
  <c r="F420" i="200"/>
  <c r="N419" i="200"/>
  <c r="M419" i="200"/>
  <c r="L419" i="200"/>
  <c r="I419" i="200"/>
  <c r="H419" i="200"/>
  <c r="G419" i="200"/>
  <c r="F419" i="200"/>
  <c r="O418" i="200"/>
  <c r="J418" i="200"/>
  <c r="J417" i="200" s="1"/>
  <c r="O417" i="200"/>
  <c r="N417" i="200"/>
  <c r="N413" i="200" s="1"/>
  <c r="N410" i="200" s="1"/>
  <c r="N406" i="200" s="1"/>
  <c r="N405" i="200" s="1"/>
  <c r="M417" i="200"/>
  <c r="M413" i="200" s="1"/>
  <c r="M410" i="200" s="1"/>
  <c r="M406" i="200" s="1"/>
  <c r="M405" i="200" s="1"/>
  <c r="L417" i="200"/>
  <c r="K417" i="200"/>
  <c r="I417" i="200"/>
  <c r="H417" i="200"/>
  <c r="G417" i="200"/>
  <c r="F417" i="200"/>
  <c r="E417" i="200"/>
  <c r="K416" i="200"/>
  <c r="F416" i="200"/>
  <c r="E416" i="200"/>
  <c r="O415" i="200"/>
  <c r="J415" i="200" s="1"/>
  <c r="P415" i="200" s="1"/>
  <c r="O414" i="200"/>
  <c r="J414" i="200"/>
  <c r="F414" i="200"/>
  <c r="E414" i="200"/>
  <c r="P414" i="200" s="1"/>
  <c r="L413" i="200"/>
  <c r="I413" i="200"/>
  <c r="H413" i="200"/>
  <c r="G413" i="200"/>
  <c r="F413" i="200"/>
  <c r="E413" i="200"/>
  <c r="E410" i="200" s="1"/>
  <c r="O412" i="200"/>
  <c r="K412" i="200"/>
  <c r="F412" i="200"/>
  <c r="E412" i="200"/>
  <c r="N411" i="200"/>
  <c r="M411" i="200"/>
  <c r="L411" i="200"/>
  <c r="K411" i="200"/>
  <c r="I411" i="200"/>
  <c r="H411" i="200"/>
  <c r="G411" i="200"/>
  <c r="F411" i="200"/>
  <c r="E411" i="200"/>
  <c r="L410" i="200"/>
  <c r="I410" i="200"/>
  <c r="I406" i="200" s="1"/>
  <c r="H410" i="200"/>
  <c r="G410" i="200"/>
  <c r="F410" i="200"/>
  <c r="O409" i="200"/>
  <c r="J409" i="200" s="1"/>
  <c r="E409" i="200"/>
  <c r="P409" i="200" s="1"/>
  <c r="K408" i="200"/>
  <c r="F408" i="200"/>
  <c r="E408" i="200"/>
  <c r="N407" i="200"/>
  <c r="M407" i="200"/>
  <c r="L407" i="200"/>
  <c r="I407" i="200"/>
  <c r="H407" i="200"/>
  <c r="G407" i="200"/>
  <c r="G406" i="200" s="1"/>
  <c r="G405" i="200" s="1"/>
  <c r="F407" i="200"/>
  <c r="E407" i="200"/>
  <c r="L406" i="200"/>
  <c r="H406" i="200"/>
  <c r="F406" i="200"/>
  <c r="L405" i="200"/>
  <c r="I405" i="200"/>
  <c r="H405" i="200"/>
  <c r="F405" i="200"/>
  <c r="O404" i="200"/>
  <c r="J404" i="200"/>
  <c r="E404" i="200"/>
  <c r="P404" i="200" s="1"/>
  <c r="P403" i="200" s="1"/>
  <c r="O403" i="200"/>
  <c r="N403" i="200"/>
  <c r="M403" i="200"/>
  <c r="L403" i="200"/>
  <c r="K403" i="200"/>
  <c r="J403" i="200"/>
  <c r="I403" i="200"/>
  <c r="H403" i="200"/>
  <c r="G403" i="200"/>
  <c r="F403" i="200"/>
  <c r="E403" i="200"/>
  <c r="O402" i="200"/>
  <c r="J402" i="200"/>
  <c r="J401" i="200" s="1"/>
  <c r="J400" i="200" s="1"/>
  <c r="F402" i="200"/>
  <c r="F401" i="200" s="1"/>
  <c r="F400" i="200" s="1"/>
  <c r="E402" i="200"/>
  <c r="P402" i="200" s="1"/>
  <c r="P401" i="200" s="1"/>
  <c r="P400" i="200" s="1"/>
  <c r="O401" i="200"/>
  <c r="N401" i="200"/>
  <c r="M401" i="200"/>
  <c r="L401" i="200"/>
  <c r="K401" i="200"/>
  <c r="I401" i="200"/>
  <c r="H401" i="200"/>
  <c r="G401" i="200"/>
  <c r="O400" i="200"/>
  <c r="N400" i="200"/>
  <c r="M400" i="200"/>
  <c r="L400" i="200"/>
  <c r="K400" i="200"/>
  <c r="I400" i="200"/>
  <c r="H400" i="200"/>
  <c r="G400" i="200"/>
  <c r="O399" i="200"/>
  <c r="J399" i="200" s="1"/>
  <c r="N398" i="200"/>
  <c r="M398" i="200"/>
  <c r="L398" i="200"/>
  <c r="K398" i="200"/>
  <c r="I398" i="200"/>
  <c r="H398" i="200"/>
  <c r="G398" i="200"/>
  <c r="F398" i="200"/>
  <c r="E398" i="200"/>
  <c r="O397" i="200"/>
  <c r="J397" i="200" s="1"/>
  <c r="E397" i="200"/>
  <c r="P397" i="200" s="1"/>
  <c r="O396" i="200"/>
  <c r="J396" i="200" s="1"/>
  <c r="E396" i="200"/>
  <c r="P395" i="200"/>
  <c r="O395" i="200"/>
  <c r="J395" i="200"/>
  <c r="J394" i="200" s="1"/>
  <c r="J391" i="200" s="1"/>
  <c r="E395" i="200"/>
  <c r="O394" i="200"/>
  <c r="N394" i="200"/>
  <c r="M394" i="200"/>
  <c r="L394" i="200"/>
  <c r="K394" i="200"/>
  <c r="I394" i="200"/>
  <c r="I391" i="200" s="1"/>
  <c r="I388" i="200" s="1"/>
  <c r="H394" i="200"/>
  <c r="H391" i="200" s="1"/>
  <c r="G394" i="200"/>
  <c r="F394" i="200"/>
  <c r="F391" i="200" s="1"/>
  <c r="O393" i="200"/>
  <c r="J393" i="200" s="1"/>
  <c r="J392" i="200" s="1"/>
  <c r="F393" i="200"/>
  <c r="E393" i="200"/>
  <c r="P393" i="200" s="1"/>
  <c r="P392" i="200" s="1"/>
  <c r="O392" i="200"/>
  <c r="N392" i="200"/>
  <c r="N391" i="200" s="1"/>
  <c r="N388" i="200" s="1"/>
  <c r="M392" i="200"/>
  <c r="M391" i="200" s="1"/>
  <c r="M388" i="200" s="1"/>
  <c r="M384" i="200" s="1"/>
  <c r="M383" i="200" s="1"/>
  <c r="L392" i="200"/>
  <c r="K392" i="200"/>
  <c r="I392" i="200"/>
  <c r="H392" i="200"/>
  <c r="G392" i="200"/>
  <c r="F392" i="200"/>
  <c r="E392" i="200"/>
  <c r="O391" i="200"/>
  <c r="L391" i="200"/>
  <c r="K391" i="200"/>
  <c r="G391" i="200"/>
  <c r="K390" i="200"/>
  <c r="N389" i="200"/>
  <c r="M389" i="200"/>
  <c r="L389" i="200"/>
  <c r="I389" i="200"/>
  <c r="H389" i="200"/>
  <c r="G389" i="200"/>
  <c r="F389" i="200"/>
  <c r="E389" i="200"/>
  <c r="L388" i="200"/>
  <c r="G388" i="200"/>
  <c r="F388" i="200"/>
  <c r="O387" i="200"/>
  <c r="J387" i="200" s="1"/>
  <c r="P387" i="200" s="1"/>
  <c r="E387" i="200"/>
  <c r="O386" i="200"/>
  <c r="J386" i="200" s="1"/>
  <c r="J385" i="200" s="1"/>
  <c r="F386" i="200"/>
  <c r="E386" i="200"/>
  <c r="P386" i="200" s="1"/>
  <c r="P385" i="200" s="1"/>
  <c r="O385" i="200"/>
  <c r="N385" i="200"/>
  <c r="M385" i="200"/>
  <c r="L385" i="200"/>
  <c r="L384" i="200" s="1"/>
  <c r="L383" i="200" s="1"/>
  <c r="K385" i="200"/>
  <c r="I385" i="200"/>
  <c r="H385" i="200"/>
  <c r="G385" i="200"/>
  <c r="F385" i="200"/>
  <c r="E385" i="200"/>
  <c r="G384" i="200"/>
  <c r="G383" i="200"/>
  <c r="O382" i="200"/>
  <c r="J382" i="200" s="1"/>
  <c r="P382" i="200" s="1"/>
  <c r="K381" i="200"/>
  <c r="O381" i="200" s="1"/>
  <c r="J381" i="200" s="1"/>
  <c r="P381" i="200" s="1"/>
  <c r="K380" i="200"/>
  <c r="O380" i="200" s="1"/>
  <c r="J380" i="200" s="1"/>
  <c r="N379" i="200"/>
  <c r="N378" i="200" s="1"/>
  <c r="N373" i="200" s="1"/>
  <c r="N372" i="200" s="1"/>
  <c r="M379" i="200"/>
  <c r="L379" i="200"/>
  <c r="K379" i="200"/>
  <c r="I379" i="200"/>
  <c r="H379" i="200"/>
  <c r="G379" i="200"/>
  <c r="F379" i="200"/>
  <c r="E379" i="200"/>
  <c r="M378" i="200"/>
  <c r="L378" i="200"/>
  <c r="L373" i="200" s="1"/>
  <c r="K378" i="200"/>
  <c r="I378" i="200"/>
  <c r="H378" i="200"/>
  <c r="G378" i="200"/>
  <c r="F378" i="200"/>
  <c r="E378" i="200"/>
  <c r="O377" i="200"/>
  <c r="J377" i="200"/>
  <c r="E377" i="200"/>
  <c r="P377" i="200" s="1"/>
  <c r="P376" i="200"/>
  <c r="O376" i="200"/>
  <c r="J376" i="200"/>
  <c r="E376" i="200"/>
  <c r="O375" i="200"/>
  <c r="J375" i="200" s="1"/>
  <c r="J374" i="200" s="1"/>
  <c r="F375" i="200"/>
  <c r="E375" i="200"/>
  <c r="O374" i="200"/>
  <c r="N374" i="200"/>
  <c r="M374" i="200"/>
  <c r="M373" i="200" s="1"/>
  <c r="M372" i="200" s="1"/>
  <c r="L374" i="200"/>
  <c r="K374" i="200"/>
  <c r="I374" i="200"/>
  <c r="H374" i="200"/>
  <c r="G374" i="200"/>
  <c r="F374" i="200"/>
  <c r="E374" i="200"/>
  <c r="K373" i="200"/>
  <c r="I373" i="200"/>
  <c r="H373" i="200"/>
  <c r="G373" i="200"/>
  <c r="F373" i="200"/>
  <c r="E373" i="200"/>
  <c r="K372" i="200"/>
  <c r="I372" i="200"/>
  <c r="H372" i="200"/>
  <c r="G372" i="200"/>
  <c r="F372" i="200"/>
  <c r="E372" i="200"/>
  <c r="P371" i="200"/>
  <c r="O371" i="200"/>
  <c r="O368" i="200" s="1"/>
  <c r="O367" i="200" s="1"/>
  <c r="J371" i="200"/>
  <c r="E371" i="200"/>
  <c r="O369" i="200"/>
  <c r="J369" i="200"/>
  <c r="E369" i="200"/>
  <c r="P369" i="200" s="1"/>
  <c r="P368" i="200" s="1"/>
  <c r="P367" i="200" s="1"/>
  <c r="N368" i="200"/>
  <c r="M368" i="200"/>
  <c r="M367" i="200" s="1"/>
  <c r="M363" i="200" s="1"/>
  <c r="L368" i="200"/>
  <c r="K368" i="200"/>
  <c r="J368" i="200"/>
  <c r="I368" i="200"/>
  <c r="H368" i="200"/>
  <c r="G368" i="200"/>
  <c r="F368" i="200"/>
  <c r="E368" i="200"/>
  <c r="N367" i="200"/>
  <c r="L367" i="200"/>
  <c r="L363" i="200" s="1"/>
  <c r="K367" i="200"/>
  <c r="J367" i="200"/>
  <c r="I367" i="200"/>
  <c r="H367" i="200"/>
  <c r="G367" i="200"/>
  <c r="F367" i="200"/>
  <c r="E367" i="200"/>
  <c r="O366" i="200"/>
  <c r="J366" i="200"/>
  <c r="E366" i="200"/>
  <c r="P366" i="200" s="1"/>
  <c r="K365" i="200"/>
  <c r="O365" i="200" s="1"/>
  <c r="N364" i="200"/>
  <c r="M364" i="200"/>
  <c r="L364" i="200"/>
  <c r="I364" i="200"/>
  <c r="I363" i="200" s="1"/>
  <c r="H364" i="200"/>
  <c r="G364" i="200"/>
  <c r="F364" i="200"/>
  <c r="E364" i="200"/>
  <c r="N363" i="200"/>
  <c r="H363" i="200"/>
  <c r="H339" i="200" s="1"/>
  <c r="H338" i="200" s="1"/>
  <c r="G363" i="200"/>
  <c r="F363" i="200"/>
  <c r="E363" i="200"/>
  <c r="O360" i="200"/>
  <c r="J360" i="200"/>
  <c r="J359" i="200" s="1"/>
  <c r="O359" i="200"/>
  <c r="N359" i="200"/>
  <c r="M359" i="200"/>
  <c r="L359" i="200"/>
  <c r="K359" i="200"/>
  <c r="I359" i="200"/>
  <c r="H359" i="200"/>
  <c r="G359" i="200"/>
  <c r="F359" i="200"/>
  <c r="E359" i="200"/>
  <c r="K358" i="200"/>
  <c r="O358" i="200" s="1"/>
  <c r="J358" i="200" s="1"/>
  <c r="P358" i="200" s="1"/>
  <c r="O357" i="200"/>
  <c r="N356" i="200"/>
  <c r="M356" i="200"/>
  <c r="L356" i="200"/>
  <c r="K356" i="200"/>
  <c r="I356" i="200"/>
  <c r="H356" i="200"/>
  <c r="G356" i="200"/>
  <c r="G355" i="200" s="1"/>
  <c r="G339" i="200" s="1"/>
  <c r="G338" i="200" s="1"/>
  <c r="F356" i="200"/>
  <c r="F355" i="200" s="1"/>
  <c r="F339" i="200" s="1"/>
  <c r="F338" i="200" s="1"/>
  <c r="E356" i="200"/>
  <c r="N355" i="200"/>
  <c r="M355" i="200"/>
  <c r="L355" i="200"/>
  <c r="K355" i="200"/>
  <c r="I355" i="200"/>
  <c r="H355" i="200"/>
  <c r="E355" i="200"/>
  <c r="P353" i="200"/>
  <c r="O353" i="200"/>
  <c r="J353" i="200"/>
  <c r="O352" i="200"/>
  <c r="J352" i="200" s="1"/>
  <c r="K352" i="200"/>
  <c r="N351" i="200"/>
  <c r="M351" i="200"/>
  <c r="L351" i="200"/>
  <c r="K351" i="200"/>
  <c r="I351" i="200"/>
  <c r="H351" i="200"/>
  <c r="G351" i="200"/>
  <c r="F351" i="200"/>
  <c r="E351" i="200"/>
  <c r="N350" i="200"/>
  <c r="M350" i="200"/>
  <c r="L350" i="200"/>
  <c r="K350" i="200"/>
  <c r="I350" i="200"/>
  <c r="H350" i="200"/>
  <c r="G350" i="200"/>
  <c r="F350" i="200"/>
  <c r="E350" i="200"/>
  <c r="K349" i="200"/>
  <c r="E349" i="200"/>
  <c r="O348" i="200"/>
  <c r="J348" i="200" s="1"/>
  <c r="P348" i="200" s="1"/>
  <c r="N347" i="200"/>
  <c r="M347" i="200"/>
  <c r="L347" i="200"/>
  <c r="I347" i="200"/>
  <c r="H347" i="200"/>
  <c r="G347" i="200"/>
  <c r="F347" i="200"/>
  <c r="E347" i="200"/>
  <c r="N346" i="200"/>
  <c r="M346" i="200"/>
  <c r="L346" i="200"/>
  <c r="I346" i="200"/>
  <c r="H346" i="200"/>
  <c r="G346" i="200"/>
  <c r="F346" i="200"/>
  <c r="E346" i="200"/>
  <c r="O345" i="200"/>
  <c r="J345" i="200" s="1"/>
  <c r="P345" i="200" s="1"/>
  <c r="P344" i="200" s="1"/>
  <c r="N344" i="200"/>
  <c r="M344" i="200"/>
  <c r="L344" i="200"/>
  <c r="K344" i="200"/>
  <c r="J344" i="200"/>
  <c r="I344" i="200"/>
  <c r="H344" i="200"/>
  <c r="G344" i="200"/>
  <c r="F344" i="200"/>
  <c r="E344" i="200"/>
  <c r="O343" i="200"/>
  <c r="J343" i="200"/>
  <c r="P343" i="200" s="1"/>
  <c r="E343" i="200"/>
  <c r="E340" i="200" s="1"/>
  <c r="E339" i="200" s="1"/>
  <c r="E338" i="200" s="1"/>
  <c r="O342" i="200"/>
  <c r="J342" i="200"/>
  <c r="P342" i="200" s="1"/>
  <c r="E342" i="200"/>
  <c r="O341" i="200"/>
  <c r="J341" i="200"/>
  <c r="E341" i="200"/>
  <c r="P341" i="200" s="1"/>
  <c r="O340" i="200"/>
  <c r="N340" i="200"/>
  <c r="N339" i="200" s="1"/>
  <c r="N338" i="200" s="1"/>
  <c r="M340" i="200"/>
  <c r="L340" i="200"/>
  <c r="K340" i="200"/>
  <c r="I340" i="200"/>
  <c r="H340" i="200"/>
  <c r="G340" i="200"/>
  <c r="F340" i="200"/>
  <c r="O337" i="200"/>
  <c r="O336" i="200" s="1"/>
  <c r="O335" i="200" s="1"/>
  <c r="F337" i="200"/>
  <c r="E337" i="200" s="1"/>
  <c r="N336" i="200"/>
  <c r="M336" i="200"/>
  <c r="L336" i="200"/>
  <c r="K336" i="200"/>
  <c r="I336" i="200"/>
  <c r="H336" i="200"/>
  <c r="G336" i="200"/>
  <c r="N335" i="200"/>
  <c r="M335" i="200"/>
  <c r="L335" i="200"/>
  <c r="K335" i="200"/>
  <c r="I335" i="200"/>
  <c r="H335" i="200"/>
  <c r="G335" i="200"/>
  <c r="O334" i="200"/>
  <c r="J334" i="200" s="1"/>
  <c r="H334" i="200"/>
  <c r="G334" i="200"/>
  <c r="F334" i="200"/>
  <c r="E334" i="200" s="1"/>
  <c r="P334" i="200" s="1"/>
  <c r="O333" i="200"/>
  <c r="J333" i="200"/>
  <c r="I333" i="200"/>
  <c r="H333" i="200"/>
  <c r="O332" i="200"/>
  <c r="J332" i="200" s="1"/>
  <c r="J331" i="200" s="1"/>
  <c r="J330" i="200" s="1"/>
  <c r="F332" i="200"/>
  <c r="E332" i="200" s="1"/>
  <c r="N331" i="200"/>
  <c r="N330" i="200" s="1"/>
  <c r="M331" i="200"/>
  <c r="L331" i="200"/>
  <c r="K331" i="200"/>
  <c r="H331" i="200"/>
  <c r="G331" i="200"/>
  <c r="F331" i="200"/>
  <c r="M330" i="200"/>
  <c r="M304" i="200" s="1"/>
  <c r="M303" i="200" s="1"/>
  <c r="L330" i="200"/>
  <c r="K330" i="200"/>
  <c r="H330" i="200"/>
  <c r="G330" i="200"/>
  <c r="F330" i="200"/>
  <c r="O329" i="200"/>
  <c r="J329" i="200"/>
  <c r="J326" i="200" s="1"/>
  <c r="E329" i="200"/>
  <c r="P327" i="200"/>
  <c r="J327" i="200"/>
  <c r="O326" i="200"/>
  <c r="N326" i="200"/>
  <c r="M326" i="200"/>
  <c r="L326" i="200"/>
  <c r="K326" i="200"/>
  <c r="I326" i="200"/>
  <c r="I323" i="200" s="1"/>
  <c r="I318" i="200" s="1"/>
  <c r="H326" i="200"/>
  <c r="H323" i="200" s="1"/>
  <c r="G326" i="200"/>
  <c r="G323" i="200" s="1"/>
  <c r="G318" i="200" s="1"/>
  <c r="F326" i="200"/>
  <c r="F323" i="200" s="1"/>
  <c r="F318" i="200" s="1"/>
  <c r="P325" i="200"/>
  <c r="O325" i="200"/>
  <c r="J325" i="200" s="1"/>
  <c r="K325" i="200"/>
  <c r="O324" i="200"/>
  <c r="J324" i="200" s="1"/>
  <c r="E324" i="200"/>
  <c r="O323" i="200"/>
  <c r="N323" i="200"/>
  <c r="N318" i="200" s="1"/>
  <c r="M323" i="200"/>
  <c r="L323" i="200"/>
  <c r="K323" i="200"/>
  <c r="O322" i="200"/>
  <c r="J322" i="200" s="1"/>
  <c r="P322" i="200" s="1"/>
  <c r="K322" i="200"/>
  <c r="O321" i="200"/>
  <c r="J321" i="200" s="1"/>
  <c r="P321" i="200" s="1"/>
  <c r="P320" i="200" s="1"/>
  <c r="F321" i="200"/>
  <c r="N320" i="200"/>
  <c r="M320" i="200"/>
  <c r="L320" i="200"/>
  <c r="L319" i="200" s="1"/>
  <c r="L318" i="200" s="1"/>
  <c r="L304" i="200" s="1"/>
  <c r="K320" i="200"/>
  <c r="K319" i="200" s="1"/>
  <c r="K318" i="200" s="1"/>
  <c r="K304" i="200" s="1"/>
  <c r="K303" i="200" s="1"/>
  <c r="I320" i="200"/>
  <c r="H320" i="200"/>
  <c r="H319" i="200" s="1"/>
  <c r="H318" i="200" s="1"/>
  <c r="G320" i="200"/>
  <c r="F320" i="200"/>
  <c r="E320" i="200"/>
  <c r="N319" i="200"/>
  <c r="M319" i="200"/>
  <c r="I319" i="200"/>
  <c r="G319" i="200"/>
  <c r="F319" i="200"/>
  <c r="E319" i="200"/>
  <c r="M318" i="200"/>
  <c r="K317" i="200"/>
  <c r="O317" i="200" s="1"/>
  <c r="J317" i="200" s="1"/>
  <c r="P317" i="200" s="1"/>
  <c r="O316" i="200"/>
  <c r="J316" i="200" s="1"/>
  <c r="P316" i="200" s="1"/>
  <c r="E316" i="200"/>
  <c r="O315" i="200"/>
  <c r="J315" i="200" s="1"/>
  <c r="P315" i="200" s="1"/>
  <c r="F315" i="200"/>
  <c r="E315" i="200"/>
  <c r="O314" i="200"/>
  <c r="J314" i="200" s="1"/>
  <c r="E314" i="200"/>
  <c r="O313" i="200"/>
  <c r="J313" i="200" s="1"/>
  <c r="P313" i="200" s="1"/>
  <c r="E313" i="200"/>
  <c r="O312" i="200"/>
  <c r="J312" i="200" s="1"/>
  <c r="P312" i="200" s="1"/>
  <c r="F312" i="200"/>
  <c r="E312" i="200" s="1"/>
  <c r="O311" i="200"/>
  <c r="J311" i="200"/>
  <c r="F311" i="200"/>
  <c r="O310" i="200"/>
  <c r="N310" i="200"/>
  <c r="M310" i="200"/>
  <c r="L310" i="200"/>
  <c r="K310" i="200"/>
  <c r="I310" i="200"/>
  <c r="H310" i="200"/>
  <c r="G310" i="200"/>
  <c r="G309" i="200" s="1"/>
  <c r="O309" i="200"/>
  <c r="N309" i="200"/>
  <c r="M309" i="200"/>
  <c r="L309" i="200"/>
  <c r="K309" i="200"/>
  <c r="I309" i="200"/>
  <c r="H309" i="200"/>
  <c r="O308" i="200"/>
  <c r="J308" i="200" s="1"/>
  <c r="P308" i="200" s="1"/>
  <c r="E308" i="200"/>
  <c r="O307" i="200"/>
  <c r="J307" i="200" s="1"/>
  <c r="P307" i="200" s="1"/>
  <c r="E307" i="200"/>
  <c r="O306" i="200"/>
  <c r="O305" i="200" s="1"/>
  <c r="J306" i="200"/>
  <c r="H306" i="200"/>
  <c r="F306" i="200"/>
  <c r="E306" i="200"/>
  <c r="N305" i="200"/>
  <c r="M305" i="200"/>
  <c r="L305" i="200"/>
  <c r="K305" i="200"/>
  <c r="I305" i="200"/>
  <c r="H305" i="200"/>
  <c r="G305" i="200"/>
  <c r="F305" i="200"/>
  <c r="E305" i="200"/>
  <c r="O302" i="200"/>
  <c r="J302" i="200"/>
  <c r="E302" i="200"/>
  <c r="P302" i="200" s="1"/>
  <c r="P301" i="200" s="1"/>
  <c r="O301" i="200"/>
  <c r="N301" i="200"/>
  <c r="M301" i="200"/>
  <c r="L301" i="200"/>
  <c r="K301" i="200"/>
  <c r="J301" i="200"/>
  <c r="I301" i="200"/>
  <c r="H301" i="200"/>
  <c r="G301" i="200"/>
  <c r="F301" i="200"/>
  <c r="E301" i="200"/>
  <c r="O300" i="200"/>
  <c r="J300" i="200"/>
  <c r="J299" i="200" s="1"/>
  <c r="I300" i="200"/>
  <c r="I299" i="200" s="1"/>
  <c r="I298" i="200" s="1"/>
  <c r="E300" i="200"/>
  <c r="O299" i="200"/>
  <c r="K299" i="200"/>
  <c r="H299" i="200"/>
  <c r="G299" i="200"/>
  <c r="F299" i="200"/>
  <c r="F298" i="200" s="1"/>
  <c r="E299" i="200"/>
  <c r="E298" i="200" s="1"/>
  <c r="O298" i="200"/>
  <c r="K298" i="200"/>
  <c r="H298" i="200"/>
  <c r="G298" i="200"/>
  <c r="O297" i="200"/>
  <c r="E297" i="200"/>
  <c r="N296" i="200"/>
  <c r="M296" i="200"/>
  <c r="L296" i="200"/>
  <c r="K296" i="200"/>
  <c r="K293" i="200" s="1"/>
  <c r="K290" i="200" s="1"/>
  <c r="K272" i="200" s="1"/>
  <c r="K271" i="200" s="1"/>
  <c r="I296" i="200"/>
  <c r="I293" i="200" s="1"/>
  <c r="H296" i="200"/>
  <c r="G296" i="200"/>
  <c r="G293" i="200" s="1"/>
  <c r="G290" i="200" s="1"/>
  <c r="F296" i="200"/>
  <c r="E296" i="200"/>
  <c r="K295" i="200"/>
  <c r="O295" i="200" s="1"/>
  <c r="J295" i="200" s="1"/>
  <c r="E295" i="200"/>
  <c r="P295" i="200" s="1"/>
  <c r="O294" i="200"/>
  <c r="J294" i="200" s="1"/>
  <c r="E294" i="200"/>
  <c r="N293" i="200"/>
  <c r="M293" i="200"/>
  <c r="L293" i="200"/>
  <c r="H293" i="200"/>
  <c r="H290" i="200" s="1"/>
  <c r="F293" i="200"/>
  <c r="F290" i="200" s="1"/>
  <c r="E293" i="200"/>
  <c r="P292" i="200"/>
  <c r="P291" i="200" s="1"/>
  <c r="O292" i="200"/>
  <c r="J292" i="200"/>
  <c r="O291" i="200"/>
  <c r="N291" i="200"/>
  <c r="M291" i="200"/>
  <c r="L291" i="200"/>
  <c r="K291" i="200"/>
  <c r="J291" i="200"/>
  <c r="I291" i="200"/>
  <c r="H291" i="200"/>
  <c r="G291" i="200"/>
  <c r="F291" i="200"/>
  <c r="E291" i="200"/>
  <c r="N290" i="200"/>
  <c r="M290" i="200"/>
  <c r="L290" i="200"/>
  <c r="I290" i="200"/>
  <c r="E290" i="200"/>
  <c r="O289" i="200"/>
  <c r="J289" i="200"/>
  <c r="P289" i="200" s="1"/>
  <c r="O288" i="200"/>
  <c r="J288" i="200"/>
  <c r="F288" i="200"/>
  <c r="E288" i="200"/>
  <c r="P288" i="200" s="1"/>
  <c r="O287" i="200"/>
  <c r="J287" i="200" s="1"/>
  <c r="E287" i="200"/>
  <c r="O286" i="200"/>
  <c r="J286" i="200" s="1"/>
  <c r="P286" i="200" s="1"/>
  <c r="E286" i="200"/>
  <c r="O285" i="200"/>
  <c r="J285" i="200"/>
  <c r="F285" i="200"/>
  <c r="P284" i="200"/>
  <c r="O284" i="200"/>
  <c r="J284" i="200"/>
  <c r="E284" i="200"/>
  <c r="O283" i="200"/>
  <c r="J283" i="200" s="1"/>
  <c r="P283" i="200" s="1"/>
  <c r="E283" i="200"/>
  <c r="O282" i="200"/>
  <c r="O281" i="200" s="1"/>
  <c r="J282" i="200"/>
  <c r="I282" i="200"/>
  <c r="E282" i="200"/>
  <c r="N281" i="200"/>
  <c r="M281" i="200"/>
  <c r="L281" i="200"/>
  <c r="K281" i="200"/>
  <c r="I281" i="200"/>
  <c r="I280" i="200" s="1"/>
  <c r="I272" i="200" s="1"/>
  <c r="I271" i="200" s="1"/>
  <c r="H281" i="200"/>
  <c r="H280" i="200" s="1"/>
  <c r="H272" i="200" s="1"/>
  <c r="H271" i="200" s="1"/>
  <c r="G281" i="200"/>
  <c r="G280" i="200" s="1"/>
  <c r="N280" i="200"/>
  <c r="M280" i="200"/>
  <c r="L280" i="200"/>
  <c r="K280" i="200"/>
  <c r="O279" i="200"/>
  <c r="J279" i="200" s="1"/>
  <c r="P279" i="200" s="1"/>
  <c r="O278" i="200"/>
  <c r="J278" i="200" s="1"/>
  <c r="O277" i="200"/>
  <c r="N277" i="200"/>
  <c r="M277" i="200"/>
  <c r="L277" i="200"/>
  <c r="K277" i="200"/>
  <c r="I277" i="200"/>
  <c r="H277" i="200"/>
  <c r="G277" i="200"/>
  <c r="F277" i="200"/>
  <c r="E277" i="200"/>
  <c r="J276" i="200"/>
  <c r="E276" i="200"/>
  <c r="E273" i="200" s="1"/>
  <c r="P275" i="200"/>
  <c r="O275" i="200"/>
  <c r="J275" i="200"/>
  <c r="J273" i="200" s="1"/>
  <c r="E275" i="200"/>
  <c r="O274" i="200"/>
  <c r="J274" i="200" s="1"/>
  <c r="P274" i="200" s="1"/>
  <c r="E274" i="200"/>
  <c r="N273" i="200"/>
  <c r="M273" i="200"/>
  <c r="L273" i="200"/>
  <c r="K273" i="200"/>
  <c r="I273" i="200"/>
  <c r="H273" i="200"/>
  <c r="G273" i="200"/>
  <c r="F273" i="200"/>
  <c r="O270" i="200"/>
  <c r="O269" i="200" s="1"/>
  <c r="J270" i="200"/>
  <c r="J269" i="200" s="1"/>
  <c r="J268" i="200" s="1"/>
  <c r="E270" i="200"/>
  <c r="N269" i="200"/>
  <c r="M269" i="200"/>
  <c r="L269" i="200"/>
  <c r="K269" i="200"/>
  <c r="I269" i="200"/>
  <c r="H269" i="200"/>
  <c r="G269" i="200"/>
  <c r="G268" i="200" s="1"/>
  <c r="F269" i="200"/>
  <c r="E269" i="200"/>
  <c r="E268" i="200" s="1"/>
  <c r="O268" i="200"/>
  <c r="N268" i="200"/>
  <c r="M268" i="200"/>
  <c r="L268" i="200"/>
  <c r="K268" i="200"/>
  <c r="I268" i="200"/>
  <c r="H268" i="200"/>
  <c r="F268" i="200"/>
  <c r="O267" i="200"/>
  <c r="O266" i="200"/>
  <c r="J266" i="200"/>
  <c r="E266" i="200"/>
  <c r="P266" i="200" s="1"/>
  <c r="N265" i="200"/>
  <c r="N261" i="200" s="1"/>
  <c r="M265" i="200"/>
  <c r="M261" i="200" s="1"/>
  <c r="L265" i="200"/>
  <c r="L261" i="200" s="1"/>
  <c r="K265" i="200"/>
  <c r="I265" i="200"/>
  <c r="H265" i="200"/>
  <c r="G265" i="200"/>
  <c r="F265" i="200"/>
  <c r="E265" i="200"/>
  <c r="K264" i="200"/>
  <c r="E264" i="200"/>
  <c r="N263" i="200"/>
  <c r="M263" i="200"/>
  <c r="L263" i="200"/>
  <c r="I263" i="200"/>
  <c r="H263" i="200"/>
  <c r="G263" i="200"/>
  <c r="G262" i="200" s="1"/>
  <c r="F263" i="200"/>
  <c r="F262" i="200" s="1"/>
  <c r="F261" i="200" s="1"/>
  <c r="E263" i="200"/>
  <c r="E262" i="200" s="1"/>
  <c r="E261" i="200" s="1"/>
  <c r="N262" i="200"/>
  <c r="M262" i="200"/>
  <c r="L262" i="200"/>
  <c r="I262" i="200"/>
  <c r="H262" i="200"/>
  <c r="I261" i="200"/>
  <c r="H261" i="200"/>
  <c r="G261" i="200"/>
  <c r="O260" i="200"/>
  <c r="E260" i="200"/>
  <c r="N259" i="200"/>
  <c r="M259" i="200"/>
  <c r="L259" i="200"/>
  <c r="K259" i="200"/>
  <c r="K258" i="200" s="1"/>
  <c r="I259" i="200"/>
  <c r="H259" i="200"/>
  <c r="G259" i="200"/>
  <c r="G258" i="200" s="1"/>
  <c r="F259" i="200"/>
  <c r="E259" i="200"/>
  <c r="N258" i="200"/>
  <c r="M258" i="200"/>
  <c r="L258" i="200"/>
  <c r="I258" i="200"/>
  <c r="H258" i="200"/>
  <c r="F258" i="200"/>
  <c r="E258" i="200"/>
  <c r="O257" i="200"/>
  <c r="J257" i="200" s="1"/>
  <c r="P257" i="200" s="1"/>
  <c r="O256" i="200"/>
  <c r="J256" i="200"/>
  <c r="E256" i="200"/>
  <c r="O255" i="200"/>
  <c r="J255" i="200"/>
  <c r="P255" i="200" s="1"/>
  <c r="E255" i="200"/>
  <c r="O254" i="200"/>
  <c r="J254" i="200"/>
  <c r="E254" i="200"/>
  <c r="P254" i="200" s="1"/>
  <c r="O253" i="200"/>
  <c r="N253" i="200"/>
  <c r="M253" i="200"/>
  <c r="L253" i="200"/>
  <c r="L242" i="200" s="1"/>
  <c r="K253" i="200"/>
  <c r="I253" i="200"/>
  <c r="H253" i="200"/>
  <c r="G253" i="200"/>
  <c r="F253" i="200"/>
  <c r="O252" i="200"/>
  <c r="J252" i="200"/>
  <c r="O251" i="200"/>
  <c r="N251" i="200"/>
  <c r="M251" i="200"/>
  <c r="L251" i="200"/>
  <c r="K251" i="200"/>
  <c r="I251" i="200"/>
  <c r="H251" i="200"/>
  <c r="G251" i="200"/>
  <c r="F251" i="200"/>
  <c r="E251" i="200"/>
  <c r="O250" i="200"/>
  <c r="E250" i="200"/>
  <c r="O249" i="200"/>
  <c r="J249" i="200" s="1"/>
  <c r="I249" i="200"/>
  <c r="H249" i="200"/>
  <c r="G249" i="200"/>
  <c r="F249" i="200"/>
  <c r="E249" i="200"/>
  <c r="N248" i="200"/>
  <c r="M248" i="200"/>
  <c r="M242" i="200" s="1"/>
  <c r="L248" i="200"/>
  <c r="K248" i="200"/>
  <c r="I248" i="200"/>
  <c r="H248" i="200"/>
  <c r="G248" i="200"/>
  <c r="F248" i="200"/>
  <c r="O247" i="200"/>
  <c r="F247" i="200"/>
  <c r="E247" i="200" s="1"/>
  <c r="E246" i="200" s="1"/>
  <c r="N246" i="200"/>
  <c r="M246" i="200"/>
  <c r="L246" i="200"/>
  <c r="K246" i="200"/>
  <c r="I246" i="200"/>
  <c r="I242" i="200" s="1"/>
  <c r="I235" i="200" s="1"/>
  <c r="I234" i="200" s="1"/>
  <c r="H246" i="200"/>
  <c r="H242" i="200" s="1"/>
  <c r="H235" i="200" s="1"/>
  <c r="H234" i="200" s="1"/>
  <c r="G246" i="200"/>
  <c r="O245" i="200"/>
  <c r="J245" i="200"/>
  <c r="E245" i="200"/>
  <c r="P245" i="200" s="1"/>
  <c r="O244" i="200"/>
  <c r="O243" i="200" s="1"/>
  <c r="J244" i="200"/>
  <c r="J243" i="200" s="1"/>
  <c r="E244" i="200"/>
  <c r="N243" i="200"/>
  <c r="M243" i="200"/>
  <c r="L243" i="200"/>
  <c r="K243" i="200"/>
  <c r="I243" i="200"/>
  <c r="H243" i="200"/>
  <c r="G243" i="200"/>
  <c r="F243" i="200"/>
  <c r="N242" i="200"/>
  <c r="K242" i="200"/>
  <c r="G242" i="200"/>
  <c r="O241" i="200"/>
  <c r="J241" i="200"/>
  <c r="P241" i="200" s="1"/>
  <c r="H241" i="200"/>
  <c r="F241" i="200"/>
  <c r="E241" i="200"/>
  <c r="O240" i="200"/>
  <c r="J240" i="200" s="1"/>
  <c r="J239" i="200" s="1"/>
  <c r="H240" i="200"/>
  <c r="G240" i="200"/>
  <c r="F240" i="200"/>
  <c r="E240" i="200"/>
  <c r="O239" i="200"/>
  <c r="N239" i="200"/>
  <c r="M239" i="200"/>
  <c r="L239" i="200"/>
  <c r="K239" i="200"/>
  <c r="I239" i="200"/>
  <c r="H239" i="200"/>
  <c r="G239" i="200"/>
  <c r="G236" i="200" s="1"/>
  <c r="F239" i="200"/>
  <c r="F236" i="200" s="1"/>
  <c r="O238" i="200"/>
  <c r="H238" i="200"/>
  <c r="G238" i="200"/>
  <c r="F238" i="200"/>
  <c r="E238" i="200"/>
  <c r="N237" i="200"/>
  <c r="N236" i="200" s="1"/>
  <c r="M237" i="200"/>
  <c r="M236" i="200" s="1"/>
  <c r="M235" i="200" s="1"/>
  <c r="M234" i="200" s="1"/>
  <c r="L237" i="200"/>
  <c r="L236" i="200" s="1"/>
  <c r="L235" i="200" s="1"/>
  <c r="K237" i="200"/>
  <c r="I237" i="200"/>
  <c r="H237" i="200"/>
  <c r="G237" i="200"/>
  <c r="F237" i="200"/>
  <c r="E237" i="200"/>
  <c r="K236" i="200"/>
  <c r="I236" i="200"/>
  <c r="H236" i="200"/>
  <c r="O233" i="200"/>
  <c r="O232" i="200" s="1"/>
  <c r="O231" i="200" s="1"/>
  <c r="E233" i="200"/>
  <c r="N232" i="200"/>
  <c r="M232" i="200"/>
  <c r="L232" i="200"/>
  <c r="K232" i="200"/>
  <c r="I232" i="200"/>
  <c r="H232" i="200"/>
  <c r="H231" i="200" s="1"/>
  <c r="G232" i="200"/>
  <c r="G231" i="200" s="1"/>
  <c r="F232" i="200"/>
  <c r="F231" i="200" s="1"/>
  <c r="E232" i="200"/>
  <c r="N231" i="200"/>
  <c r="M231" i="200"/>
  <c r="L231" i="200"/>
  <c r="K231" i="200"/>
  <c r="I231" i="200"/>
  <c r="E231" i="200"/>
  <c r="O230" i="200"/>
  <c r="J230" i="200" s="1"/>
  <c r="P230" i="200" s="1"/>
  <c r="E230" i="200"/>
  <c r="O229" i="200"/>
  <c r="J229" i="200" s="1"/>
  <c r="E229" i="200"/>
  <c r="P229" i="200" s="1"/>
  <c r="O228" i="200"/>
  <c r="O227" i="200" s="1"/>
  <c r="O226" i="200" s="1"/>
  <c r="O225" i="200" s="1"/>
  <c r="J228" i="200"/>
  <c r="J227" i="200" s="1"/>
  <c r="E228" i="200"/>
  <c r="N227" i="200"/>
  <c r="M227" i="200"/>
  <c r="L227" i="200"/>
  <c r="K227" i="200"/>
  <c r="I227" i="200"/>
  <c r="H227" i="200"/>
  <c r="H226" i="200" s="1"/>
  <c r="H225" i="200" s="1"/>
  <c r="G227" i="200"/>
  <c r="G226" i="200" s="1"/>
  <c r="G225" i="200" s="1"/>
  <c r="F227" i="200"/>
  <c r="E227" i="200"/>
  <c r="N226" i="200"/>
  <c r="M226" i="200"/>
  <c r="L226" i="200"/>
  <c r="K226" i="200"/>
  <c r="I226" i="200"/>
  <c r="F226" i="200"/>
  <c r="F225" i="200" s="1"/>
  <c r="E226" i="200"/>
  <c r="N225" i="200"/>
  <c r="M225" i="200"/>
  <c r="L225" i="200"/>
  <c r="K225" i="200"/>
  <c r="I225" i="200"/>
  <c r="E225" i="200"/>
  <c r="P224" i="200"/>
  <c r="O224" i="200"/>
  <c r="J224" i="200" s="1"/>
  <c r="J222" i="200" s="1"/>
  <c r="J217" i="200" s="1"/>
  <c r="F224" i="200"/>
  <c r="E224" i="200"/>
  <c r="O223" i="200"/>
  <c r="J223" i="200"/>
  <c r="H223" i="200"/>
  <c r="H222" i="200" s="1"/>
  <c r="F223" i="200"/>
  <c r="E223" i="200"/>
  <c r="P223" i="200" s="1"/>
  <c r="O222" i="200"/>
  <c r="N222" i="200"/>
  <c r="M222" i="200"/>
  <c r="L222" i="200"/>
  <c r="K222" i="200"/>
  <c r="I222" i="200"/>
  <c r="G222" i="200"/>
  <c r="G217" i="200" s="1"/>
  <c r="F222" i="200"/>
  <c r="F217" i="200" s="1"/>
  <c r="F214" i="200" s="1"/>
  <c r="F213" i="200" s="1"/>
  <c r="O221" i="200"/>
  <c r="J221" i="200" s="1"/>
  <c r="E221" i="200"/>
  <c r="P221" i="200" s="1"/>
  <c r="O220" i="200"/>
  <c r="J220" i="200"/>
  <c r="I220" i="200"/>
  <c r="H220" i="200"/>
  <c r="F220" i="200"/>
  <c r="E220" i="200"/>
  <c r="P220" i="200" s="1"/>
  <c r="O219" i="200"/>
  <c r="J219" i="200"/>
  <c r="H219" i="200"/>
  <c r="F219" i="200"/>
  <c r="E219" i="200" s="1"/>
  <c r="P219" i="200" s="1"/>
  <c r="O218" i="200"/>
  <c r="J218" i="200" s="1"/>
  <c r="I218" i="200"/>
  <c r="H218" i="200"/>
  <c r="H217" i="200" s="1"/>
  <c r="F218" i="200"/>
  <c r="E218" i="200" s="1"/>
  <c r="P218" i="200" s="1"/>
  <c r="O217" i="200"/>
  <c r="N217" i="200"/>
  <c r="M217" i="200"/>
  <c r="L217" i="200"/>
  <c r="K217" i="200"/>
  <c r="I217" i="200"/>
  <c r="O216" i="200"/>
  <c r="M216" i="200"/>
  <c r="M215" i="200" s="1"/>
  <c r="L216" i="200"/>
  <c r="H216" i="200"/>
  <c r="G216" i="200"/>
  <c r="F216" i="200"/>
  <c r="E216" i="200"/>
  <c r="N215" i="200"/>
  <c r="N214" i="200" s="1"/>
  <c r="N213" i="200" s="1"/>
  <c r="L215" i="200"/>
  <c r="K215" i="200"/>
  <c r="K214" i="200" s="1"/>
  <c r="K213" i="200" s="1"/>
  <c r="I215" i="200"/>
  <c r="H215" i="200"/>
  <c r="G215" i="200"/>
  <c r="F215" i="200"/>
  <c r="E215" i="200"/>
  <c r="M214" i="200"/>
  <c r="M213" i="200" s="1"/>
  <c r="L214" i="200"/>
  <c r="I214" i="200"/>
  <c r="I213" i="200" s="1"/>
  <c r="O211" i="200"/>
  <c r="J211" i="200"/>
  <c r="J210" i="200" s="1"/>
  <c r="E211" i="200"/>
  <c r="O210" i="200"/>
  <c r="O208" i="200" s="1"/>
  <c r="O207" i="200" s="1"/>
  <c r="N210" i="200"/>
  <c r="N208" i="200" s="1"/>
  <c r="N207" i="200" s="1"/>
  <c r="M210" i="200"/>
  <c r="L210" i="200"/>
  <c r="K210" i="200"/>
  <c r="I210" i="200"/>
  <c r="I208" i="200" s="1"/>
  <c r="I207" i="200" s="1"/>
  <c r="H210" i="200"/>
  <c r="G210" i="200"/>
  <c r="F210" i="200"/>
  <c r="F208" i="200" s="1"/>
  <c r="F207" i="200" s="1"/>
  <c r="O209" i="200"/>
  <c r="J209" i="200"/>
  <c r="I209" i="200"/>
  <c r="E209" i="200"/>
  <c r="P209" i="200" s="1"/>
  <c r="M208" i="200"/>
  <c r="L208" i="200"/>
  <c r="K208" i="200"/>
  <c r="K207" i="200" s="1"/>
  <c r="J208" i="200"/>
  <c r="J207" i="200" s="1"/>
  <c r="H208" i="200"/>
  <c r="G208" i="200"/>
  <c r="M207" i="200"/>
  <c r="L207" i="200"/>
  <c r="H207" i="200"/>
  <c r="G207" i="200"/>
  <c r="O206" i="200"/>
  <c r="J206" i="200"/>
  <c r="E206" i="200"/>
  <c r="P206" i="200" s="1"/>
  <c r="O205" i="200"/>
  <c r="O204" i="200" s="1"/>
  <c r="O203" i="200" s="1"/>
  <c r="N204" i="200"/>
  <c r="M204" i="200"/>
  <c r="L204" i="200"/>
  <c r="K204" i="200"/>
  <c r="I204" i="200"/>
  <c r="H204" i="200"/>
  <c r="G204" i="200"/>
  <c r="F204" i="200"/>
  <c r="F203" i="200" s="1"/>
  <c r="E204" i="200"/>
  <c r="N203" i="200"/>
  <c r="M203" i="200"/>
  <c r="L203" i="200"/>
  <c r="K203" i="200"/>
  <c r="I203" i="200"/>
  <c r="H203" i="200"/>
  <c r="G203" i="200"/>
  <c r="E203" i="200"/>
  <c r="K202" i="200"/>
  <c r="O202" i="200" s="1"/>
  <c r="J202" i="200" s="1"/>
  <c r="P202" i="200" s="1"/>
  <c r="O201" i="200"/>
  <c r="J201" i="200"/>
  <c r="P201" i="200" s="1"/>
  <c r="O200" i="200"/>
  <c r="J200" i="200" s="1"/>
  <c r="F200" i="200"/>
  <c r="F198" i="200" s="1"/>
  <c r="O199" i="200"/>
  <c r="O198" i="200" s="1"/>
  <c r="N199" i="200"/>
  <c r="N198" i="200" s="1"/>
  <c r="M199" i="200"/>
  <c r="L199" i="200"/>
  <c r="I199" i="200"/>
  <c r="H199" i="200"/>
  <c r="G199" i="200"/>
  <c r="F199" i="200"/>
  <c r="E199" i="200"/>
  <c r="M198" i="200"/>
  <c r="L198" i="200"/>
  <c r="K198" i="200"/>
  <c r="I198" i="200"/>
  <c r="H198" i="200"/>
  <c r="G198" i="200"/>
  <c r="P197" i="200"/>
  <c r="O197" i="200"/>
  <c r="J197" i="200"/>
  <c r="E197" i="200"/>
  <c r="O195" i="200"/>
  <c r="J195" i="200"/>
  <c r="P195" i="200" s="1"/>
  <c r="O192" i="200"/>
  <c r="J192" i="200" s="1"/>
  <c r="P192" i="200" s="1"/>
  <c r="E192" i="200"/>
  <c r="O189" i="200"/>
  <c r="J189" i="200" s="1"/>
  <c r="P189" i="200" s="1"/>
  <c r="P182" i="200" s="1"/>
  <c r="E189" i="200"/>
  <c r="E182" i="200" s="1"/>
  <c r="O187" i="200"/>
  <c r="J187" i="200" s="1"/>
  <c r="P187" i="200" s="1"/>
  <c r="E187" i="200"/>
  <c r="P183" i="200"/>
  <c r="O183" i="200"/>
  <c r="J183" i="200" s="1"/>
  <c r="E183" i="200"/>
  <c r="N182" i="200"/>
  <c r="M182" i="200"/>
  <c r="L182" i="200"/>
  <c r="K182" i="200"/>
  <c r="I182" i="200"/>
  <c r="H182" i="200"/>
  <c r="H157" i="200" s="1"/>
  <c r="G182" i="200"/>
  <c r="F182" i="200"/>
  <c r="O181" i="200"/>
  <c r="J181" i="200" s="1"/>
  <c r="P181" i="200" s="1"/>
  <c r="E181" i="200"/>
  <c r="O180" i="200"/>
  <c r="J180" i="200" s="1"/>
  <c r="E180" i="200"/>
  <c r="O179" i="200"/>
  <c r="N179" i="200"/>
  <c r="M179" i="200"/>
  <c r="L179" i="200"/>
  <c r="K179" i="200"/>
  <c r="I179" i="200"/>
  <c r="H179" i="200"/>
  <c r="G179" i="200"/>
  <c r="F179" i="200"/>
  <c r="E179" i="200"/>
  <c r="O178" i="200"/>
  <c r="J178" i="200" s="1"/>
  <c r="P178" i="200" s="1"/>
  <c r="E178" i="200"/>
  <c r="P177" i="200"/>
  <c r="O177" i="200"/>
  <c r="J177" i="200" s="1"/>
  <c r="E177" i="200"/>
  <c r="N176" i="200"/>
  <c r="M176" i="200"/>
  <c r="L176" i="200"/>
  <c r="K176" i="200"/>
  <c r="O176" i="200" s="1"/>
  <c r="I176" i="200"/>
  <c r="H176" i="200"/>
  <c r="G176" i="200"/>
  <c r="F176" i="200"/>
  <c r="E176" i="200"/>
  <c r="O175" i="200"/>
  <c r="J175" i="200" s="1"/>
  <c r="P175" i="200" s="1"/>
  <c r="E175" i="200"/>
  <c r="O174" i="200"/>
  <c r="J174" i="200" s="1"/>
  <c r="P174" i="200" s="1"/>
  <c r="I174" i="200"/>
  <c r="I172" i="200" s="1"/>
  <c r="H174" i="200"/>
  <c r="H172" i="200" s="1"/>
  <c r="G174" i="200"/>
  <c r="F174" i="200"/>
  <c r="E174" i="200"/>
  <c r="O173" i="200"/>
  <c r="J173" i="200" s="1"/>
  <c r="H173" i="200"/>
  <c r="G173" i="200"/>
  <c r="F173" i="200"/>
  <c r="E173" i="200" s="1"/>
  <c r="E172" i="200" s="1"/>
  <c r="O172" i="200"/>
  <c r="N172" i="200"/>
  <c r="M172" i="200"/>
  <c r="L172" i="200"/>
  <c r="K172" i="200"/>
  <c r="G172" i="200"/>
  <c r="F172" i="200"/>
  <c r="O171" i="200"/>
  <c r="O170" i="200" s="1"/>
  <c r="J171" i="200"/>
  <c r="E171" i="200"/>
  <c r="N170" i="200"/>
  <c r="M170" i="200"/>
  <c r="L170" i="200"/>
  <c r="K170" i="200"/>
  <c r="I170" i="200"/>
  <c r="H170" i="200"/>
  <c r="G170" i="200"/>
  <c r="F170" i="200"/>
  <c r="E170" i="200"/>
  <c r="O169" i="200"/>
  <c r="J169" i="200" s="1"/>
  <c r="H169" i="200"/>
  <c r="G169" i="200"/>
  <c r="F169" i="200"/>
  <c r="O168" i="200"/>
  <c r="O167" i="200" s="1"/>
  <c r="N168" i="200"/>
  <c r="J168" i="200"/>
  <c r="H168" i="200"/>
  <c r="G168" i="200"/>
  <c r="F168" i="200"/>
  <c r="E168" i="200" s="1"/>
  <c r="N167" i="200"/>
  <c r="N157" i="200" s="1"/>
  <c r="N152" i="200" s="1"/>
  <c r="N151" i="200" s="1"/>
  <c r="M167" i="200"/>
  <c r="M157" i="200" s="1"/>
  <c r="M152" i="200" s="1"/>
  <c r="M151" i="200" s="1"/>
  <c r="L167" i="200"/>
  <c r="K167" i="200"/>
  <c r="K157" i="200" s="1"/>
  <c r="J167" i="200"/>
  <c r="I167" i="200"/>
  <c r="H167" i="200"/>
  <c r="G167" i="200"/>
  <c r="O166" i="200"/>
  <c r="J166" i="200"/>
  <c r="E166" i="200"/>
  <c r="P166" i="200" s="1"/>
  <c r="O165" i="200"/>
  <c r="J165" i="200"/>
  <c r="E165" i="200"/>
  <c r="P165" i="200" s="1"/>
  <c r="O164" i="200"/>
  <c r="J164" i="200"/>
  <c r="E164" i="200"/>
  <c r="P164" i="200" s="1"/>
  <c r="O163" i="200"/>
  <c r="J163" i="200"/>
  <c r="E163" i="200"/>
  <c r="O162" i="200"/>
  <c r="J162" i="200"/>
  <c r="E162" i="200"/>
  <c r="P162" i="200" s="1"/>
  <c r="O161" i="200"/>
  <c r="J161" i="200"/>
  <c r="E161" i="200"/>
  <c r="P161" i="200" s="1"/>
  <c r="O160" i="200"/>
  <c r="J160" i="200"/>
  <c r="E160" i="200"/>
  <c r="P160" i="200" s="1"/>
  <c r="O159" i="200"/>
  <c r="J159" i="200"/>
  <c r="E159" i="200"/>
  <c r="O158" i="200"/>
  <c r="N158" i="200"/>
  <c r="M158" i="200"/>
  <c r="L158" i="200"/>
  <c r="K158" i="200"/>
  <c r="J158" i="200"/>
  <c r="I158" i="200"/>
  <c r="H158" i="200"/>
  <c r="G158" i="200"/>
  <c r="F158" i="200"/>
  <c r="J156" i="200"/>
  <c r="E156" i="200"/>
  <c r="P156" i="200" s="1"/>
  <c r="O155" i="200"/>
  <c r="J155" i="200" s="1"/>
  <c r="E155" i="200"/>
  <c r="P155" i="200" s="1"/>
  <c r="O154" i="200"/>
  <c r="J154" i="200" s="1"/>
  <c r="H154" i="200"/>
  <c r="H153" i="200" s="1"/>
  <c r="H152" i="200" s="1"/>
  <c r="H151" i="200" s="1"/>
  <c r="F154" i="200"/>
  <c r="E154" i="200" s="1"/>
  <c r="O153" i="200"/>
  <c r="N153" i="200"/>
  <c r="M153" i="200"/>
  <c r="L153" i="200"/>
  <c r="K153" i="200"/>
  <c r="I153" i="200"/>
  <c r="G153" i="200"/>
  <c r="F153" i="200"/>
  <c r="O150" i="200"/>
  <c r="J150" i="200" s="1"/>
  <c r="O149" i="200"/>
  <c r="N149" i="200"/>
  <c r="M149" i="200"/>
  <c r="L149" i="200"/>
  <c r="L148" i="200" s="1"/>
  <c r="K149" i="200"/>
  <c r="K148" i="200" s="1"/>
  <c r="I149" i="200"/>
  <c r="H149" i="200"/>
  <c r="G149" i="200"/>
  <c r="F149" i="200"/>
  <c r="E149" i="200"/>
  <c r="O148" i="200"/>
  <c r="N148" i="200"/>
  <c r="M148" i="200"/>
  <c r="I148" i="200"/>
  <c r="H148" i="200"/>
  <c r="G148" i="200"/>
  <c r="F148" i="200"/>
  <c r="E148" i="200"/>
  <c r="P147" i="200"/>
  <c r="O147" i="200"/>
  <c r="J147" i="200"/>
  <c r="E147" i="200"/>
  <c r="O146" i="200"/>
  <c r="N145" i="200"/>
  <c r="M145" i="200"/>
  <c r="L145" i="200"/>
  <c r="K145" i="200"/>
  <c r="K142" i="200" s="1"/>
  <c r="I145" i="200"/>
  <c r="I142" i="200" s="1"/>
  <c r="H145" i="200"/>
  <c r="G145" i="200"/>
  <c r="G142" i="200" s="1"/>
  <c r="F145" i="200"/>
  <c r="F142" i="200" s="1"/>
  <c r="E145" i="200"/>
  <c r="O144" i="200"/>
  <c r="J144" i="200" s="1"/>
  <c r="P144" i="200" s="1"/>
  <c r="P143" i="200" s="1"/>
  <c r="E144" i="200"/>
  <c r="O143" i="200"/>
  <c r="N143" i="200"/>
  <c r="M143" i="200"/>
  <c r="L143" i="200"/>
  <c r="K143" i="200"/>
  <c r="J143" i="200"/>
  <c r="I143" i="200"/>
  <c r="H143" i="200"/>
  <c r="G143" i="200"/>
  <c r="F143" i="200"/>
  <c r="E143" i="200"/>
  <c r="N142" i="200"/>
  <c r="M142" i="200"/>
  <c r="L142" i="200"/>
  <c r="H142" i="200"/>
  <c r="E142" i="200"/>
  <c r="O141" i="200"/>
  <c r="E141" i="200"/>
  <c r="J140" i="200"/>
  <c r="E140" i="200"/>
  <c r="P140" i="200" s="1"/>
  <c r="P139" i="200" s="1"/>
  <c r="O139" i="200"/>
  <c r="N139" i="200"/>
  <c r="M139" i="200"/>
  <c r="L139" i="200"/>
  <c r="K139" i="200"/>
  <c r="J139" i="200"/>
  <c r="I139" i="200"/>
  <c r="H139" i="200"/>
  <c r="G139" i="200"/>
  <c r="F139" i="200"/>
  <c r="F138" i="200" s="1"/>
  <c r="N138" i="200"/>
  <c r="M138" i="200"/>
  <c r="L138" i="200"/>
  <c r="K138" i="200"/>
  <c r="I138" i="200"/>
  <c r="H138" i="200"/>
  <c r="G138" i="200"/>
  <c r="O137" i="200"/>
  <c r="J137" i="200"/>
  <c r="P137" i="200" s="1"/>
  <c r="O136" i="200"/>
  <c r="K136" i="200"/>
  <c r="J136" i="200"/>
  <c r="J135" i="200" s="1"/>
  <c r="E136" i="200"/>
  <c r="P136" i="200" s="1"/>
  <c r="P135" i="200" s="1"/>
  <c r="O135" i="200"/>
  <c r="N135" i="200"/>
  <c r="M135" i="200"/>
  <c r="L135" i="200"/>
  <c r="K135" i="200"/>
  <c r="I135" i="200"/>
  <c r="H135" i="200"/>
  <c r="G135" i="200"/>
  <c r="F135" i="200"/>
  <c r="E135" i="200"/>
  <c r="O134" i="200"/>
  <c r="J134" i="200"/>
  <c r="J132" i="200" s="1"/>
  <c r="E134" i="200"/>
  <c r="O133" i="200"/>
  <c r="O132" i="200" s="1"/>
  <c r="J133" i="200"/>
  <c r="E133" i="200"/>
  <c r="P133" i="200" s="1"/>
  <c r="N132" i="200"/>
  <c r="M132" i="200"/>
  <c r="L132" i="200"/>
  <c r="K132" i="200"/>
  <c r="I132" i="200"/>
  <c r="H132" i="200"/>
  <c r="G132" i="200"/>
  <c r="G122" i="200" s="1"/>
  <c r="F132" i="200"/>
  <c r="O131" i="200"/>
  <c r="O130" i="200" s="1"/>
  <c r="J131" i="200"/>
  <c r="J130" i="200" s="1"/>
  <c r="E131" i="200"/>
  <c r="P131" i="200" s="1"/>
  <c r="P130" i="200" s="1"/>
  <c r="N130" i="200"/>
  <c r="M130" i="200"/>
  <c r="L130" i="200"/>
  <c r="K130" i="200"/>
  <c r="I130" i="200"/>
  <c r="H130" i="200"/>
  <c r="G130" i="200"/>
  <c r="F130" i="200"/>
  <c r="E130" i="200"/>
  <c r="O129" i="200"/>
  <c r="J129" i="200"/>
  <c r="E129" i="200"/>
  <c r="P129" i="200" s="1"/>
  <c r="P128" i="200" s="1"/>
  <c r="O128" i="200"/>
  <c r="N128" i="200"/>
  <c r="N122" i="200" s="1"/>
  <c r="N118" i="200" s="1"/>
  <c r="N117" i="200" s="1"/>
  <c r="M128" i="200"/>
  <c r="L128" i="200"/>
  <c r="K128" i="200"/>
  <c r="J128" i="200"/>
  <c r="I128" i="200"/>
  <c r="H128" i="200"/>
  <c r="G128" i="200"/>
  <c r="F128" i="200"/>
  <c r="K127" i="200"/>
  <c r="O127" i="200" s="1"/>
  <c r="J127" i="200" s="1"/>
  <c r="F127" i="200"/>
  <c r="E127" i="200"/>
  <c r="P126" i="200"/>
  <c r="O126" i="200"/>
  <c r="J126" i="200"/>
  <c r="F126" i="200"/>
  <c r="E126" i="200"/>
  <c r="P125" i="200"/>
  <c r="O125" i="200"/>
  <c r="J125" i="200"/>
  <c r="F125" i="200"/>
  <c r="E125" i="200" s="1"/>
  <c r="O124" i="200"/>
  <c r="J124" i="200"/>
  <c r="F124" i="200"/>
  <c r="E124" i="200"/>
  <c r="P124" i="200" s="1"/>
  <c r="O123" i="200"/>
  <c r="J123" i="200"/>
  <c r="I123" i="200"/>
  <c r="F123" i="200"/>
  <c r="E123" i="200"/>
  <c r="P123" i="200" s="1"/>
  <c r="M122" i="200"/>
  <c r="L122" i="200"/>
  <c r="I122" i="200"/>
  <c r="H122" i="200"/>
  <c r="H118" i="200" s="1"/>
  <c r="H117" i="200" s="1"/>
  <c r="O121" i="200"/>
  <c r="J121" i="200" s="1"/>
  <c r="E121" i="200"/>
  <c r="P121" i="200" s="1"/>
  <c r="O120" i="200"/>
  <c r="O119" i="200" s="1"/>
  <c r="E120" i="200"/>
  <c r="N119" i="200"/>
  <c r="M119" i="200"/>
  <c r="L119" i="200"/>
  <c r="K119" i="200"/>
  <c r="I119" i="200"/>
  <c r="H119" i="200"/>
  <c r="G119" i="200"/>
  <c r="F119" i="200"/>
  <c r="E119" i="200"/>
  <c r="O116" i="200"/>
  <c r="O115" i="200" s="1"/>
  <c r="O114" i="200" s="1"/>
  <c r="J116" i="200"/>
  <c r="E116" i="200"/>
  <c r="P116" i="200" s="1"/>
  <c r="P115" i="200" s="1"/>
  <c r="P114" i="200" s="1"/>
  <c r="N115" i="200"/>
  <c r="M115" i="200"/>
  <c r="L115" i="200"/>
  <c r="K115" i="200"/>
  <c r="J115" i="200"/>
  <c r="J114" i="200" s="1"/>
  <c r="I115" i="200"/>
  <c r="I114" i="200" s="1"/>
  <c r="H115" i="200"/>
  <c r="G115" i="200"/>
  <c r="F115" i="200"/>
  <c r="E115" i="200"/>
  <c r="N114" i="200"/>
  <c r="M114" i="200"/>
  <c r="L114" i="200"/>
  <c r="K114" i="200"/>
  <c r="H114" i="200"/>
  <c r="G114" i="200"/>
  <c r="F114" i="200"/>
  <c r="E114" i="200"/>
  <c r="O113" i="200"/>
  <c r="J113" i="200"/>
  <c r="J112" i="200" s="1"/>
  <c r="E113" i="200"/>
  <c r="P113" i="200" s="1"/>
  <c r="P112" i="200" s="1"/>
  <c r="O112" i="200"/>
  <c r="N112" i="200"/>
  <c r="N109" i="200" s="1"/>
  <c r="M112" i="200"/>
  <c r="M109" i="200" s="1"/>
  <c r="L112" i="200"/>
  <c r="K112" i="200"/>
  <c r="K109" i="200" s="1"/>
  <c r="I112" i="200"/>
  <c r="H112" i="200"/>
  <c r="G112" i="200"/>
  <c r="F112" i="200"/>
  <c r="F109" i="200" s="1"/>
  <c r="E112" i="200"/>
  <c r="O111" i="200"/>
  <c r="O110" i="200" s="1"/>
  <c r="O109" i="200" s="1"/>
  <c r="J111" i="200"/>
  <c r="N110" i="200"/>
  <c r="M110" i="200"/>
  <c r="L110" i="200"/>
  <c r="K110" i="200"/>
  <c r="I110" i="200"/>
  <c r="H110" i="200"/>
  <c r="G110" i="200"/>
  <c r="F110" i="200"/>
  <c r="E110" i="200"/>
  <c r="E109" i="200" s="1"/>
  <c r="L109" i="200"/>
  <c r="I109" i="200"/>
  <c r="H109" i="200"/>
  <c r="G109" i="200"/>
  <c r="P108" i="200"/>
  <c r="P107" i="200" s="1"/>
  <c r="O108" i="200"/>
  <c r="O107" i="200" s="1"/>
  <c r="J108" i="200"/>
  <c r="I108" i="200"/>
  <c r="E108" i="200" s="1"/>
  <c r="E107" i="200" s="1"/>
  <c r="E104" i="200" s="1"/>
  <c r="N107" i="200"/>
  <c r="N104" i="200" s="1"/>
  <c r="M107" i="200"/>
  <c r="M104" i="200" s="1"/>
  <c r="L107" i="200"/>
  <c r="L104" i="200" s="1"/>
  <c r="K107" i="200"/>
  <c r="J107" i="200"/>
  <c r="I107" i="200"/>
  <c r="I104" i="200" s="1"/>
  <c r="H107" i="200"/>
  <c r="G107" i="200"/>
  <c r="F107" i="200"/>
  <c r="F104" i="200" s="1"/>
  <c r="K106" i="200"/>
  <c r="E106" i="200"/>
  <c r="N105" i="200"/>
  <c r="M105" i="200"/>
  <c r="L105" i="200"/>
  <c r="I105" i="200"/>
  <c r="H105" i="200"/>
  <c r="G105" i="200"/>
  <c r="F105" i="200"/>
  <c r="E105" i="200"/>
  <c r="H104" i="200"/>
  <c r="G104" i="200"/>
  <c r="O103" i="200"/>
  <c r="O100" i="200" s="1"/>
  <c r="J103" i="200"/>
  <c r="E103" i="200"/>
  <c r="O102" i="200"/>
  <c r="J102" i="200" s="1"/>
  <c r="P102" i="200" s="1"/>
  <c r="E102" i="200"/>
  <c r="O101" i="200"/>
  <c r="J101" i="200" s="1"/>
  <c r="E101" i="200"/>
  <c r="P101" i="200" s="1"/>
  <c r="N100" i="200"/>
  <c r="M100" i="200"/>
  <c r="L100" i="200"/>
  <c r="K100" i="200"/>
  <c r="I100" i="200"/>
  <c r="H100" i="200"/>
  <c r="G100" i="200"/>
  <c r="F100" i="200"/>
  <c r="E100" i="200"/>
  <c r="J99" i="200"/>
  <c r="E99" i="200"/>
  <c r="P99" i="200" s="1"/>
  <c r="O98" i="200"/>
  <c r="J98" i="200"/>
  <c r="E98" i="200"/>
  <c r="P98" i="200" s="1"/>
  <c r="O97" i="200"/>
  <c r="J97" i="200"/>
  <c r="O96" i="200"/>
  <c r="N96" i="200"/>
  <c r="M96" i="200"/>
  <c r="L96" i="200"/>
  <c r="K96" i="200"/>
  <c r="I96" i="200"/>
  <c r="H96" i="200"/>
  <c r="G96" i="200"/>
  <c r="F96" i="200"/>
  <c r="E96" i="200"/>
  <c r="O95" i="200"/>
  <c r="K95" i="200"/>
  <c r="J95" i="200"/>
  <c r="P95" i="200" s="1"/>
  <c r="P94" i="200"/>
  <c r="O94" i="200"/>
  <c r="J94" i="200"/>
  <c r="O93" i="200"/>
  <c r="J93" i="200" s="1"/>
  <c r="P93" i="200" s="1"/>
  <c r="O92" i="200"/>
  <c r="N92" i="200"/>
  <c r="M92" i="200"/>
  <c r="L92" i="200"/>
  <c r="K92" i="200"/>
  <c r="I92" i="200"/>
  <c r="H92" i="200"/>
  <c r="G92" i="200"/>
  <c r="F92" i="200"/>
  <c r="E92" i="200"/>
  <c r="O91" i="200"/>
  <c r="J91" i="200" s="1"/>
  <c r="P91" i="200" s="1"/>
  <c r="O90" i="200"/>
  <c r="J90" i="200"/>
  <c r="P90" i="200" s="1"/>
  <c r="P89" i="200"/>
  <c r="O89" i="200"/>
  <c r="J89" i="200"/>
  <c r="O88" i="200"/>
  <c r="J88" i="200" s="1"/>
  <c r="P88" i="200" s="1"/>
  <c r="E88" i="200"/>
  <c r="O87" i="200"/>
  <c r="J87" i="200" s="1"/>
  <c r="J86" i="200" s="1"/>
  <c r="E87" i="200"/>
  <c r="O86" i="200"/>
  <c r="N86" i="200"/>
  <c r="M86" i="200"/>
  <c r="L86" i="200"/>
  <c r="K86" i="200"/>
  <c r="I86" i="200"/>
  <c r="H86" i="200"/>
  <c r="G86" i="200"/>
  <c r="F86" i="200"/>
  <c r="E86" i="200"/>
  <c r="O85" i="200"/>
  <c r="J85" i="200" s="1"/>
  <c r="P85" i="200" s="1"/>
  <c r="E85" i="200"/>
  <c r="E83" i="200" s="1"/>
  <c r="P84" i="200"/>
  <c r="O84" i="200"/>
  <c r="J84" i="200"/>
  <c r="N83" i="200"/>
  <c r="M83" i="200"/>
  <c r="L83" i="200"/>
  <c r="K83" i="200"/>
  <c r="J83" i="200"/>
  <c r="I83" i="200"/>
  <c r="H83" i="200"/>
  <c r="G83" i="200"/>
  <c r="F83" i="200"/>
  <c r="O82" i="200"/>
  <c r="J82" i="200" s="1"/>
  <c r="F82" i="200"/>
  <c r="F80" i="200" s="1"/>
  <c r="E80" i="200" s="1"/>
  <c r="O81" i="200"/>
  <c r="E81" i="200"/>
  <c r="N80" i="200"/>
  <c r="M80" i="200"/>
  <c r="L80" i="200"/>
  <c r="K80" i="200"/>
  <c r="I80" i="200"/>
  <c r="H80" i="200"/>
  <c r="G80" i="200"/>
  <c r="P79" i="200"/>
  <c r="O79" i="200"/>
  <c r="J79" i="200"/>
  <c r="E79" i="200"/>
  <c r="P78" i="200"/>
  <c r="O78" i="200"/>
  <c r="J78" i="200"/>
  <c r="E78" i="200"/>
  <c r="O77" i="200"/>
  <c r="J77" i="200" s="1"/>
  <c r="P77" i="200" s="1"/>
  <c r="K77" i="200"/>
  <c r="E77" i="200"/>
  <c r="O76" i="200"/>
  <c r="J76" i="200" s="1"/>
  <c r="E76" i="200"/>
  <c r="O75" i="200"/>
  <c r="E75" i="200"/>
  <c r="P74" i="200"/>
  <c r="O74" i="200"/>
  <c r="J74" i="200"/>
  <c r="E74" i="200"/>
  <c r="N73" i="200"/>
  <c r="M73" i="200"/>
  <c r="L73" i="200"/>
  <c r="K73" i="200"/>
  <c r="I73" i="200"/>
  <c r="I51" i="200" s="1"/>
  <c r="H73" i="200"/>
  <c r="G73" i="200"/>
  <c r="F73" i="200"/>
  <c r="E73" i="200"/>
  <c r="O72" i="200"/>
  <c r="J72" i="200" s="1"/>
  <c r="H72" i="200"/>
  <c r="G72" i="200"/>
  <c r="F72" i="200"/>
  <c r="E72" i="200" s="1"/>
  <c r="O71" i="200"/>
  <c r="J71" i="200" s="1"/>
  <c r="P71" i="200" s="1"/>
  <c r="E71" i="200"/>
  <c r="O70" i="200"/>
  <c r="J70" i="200" s="1"/>
  <c r="H70" i="200"/>
  <c r="G70" i="200"/>
  <c r="G69" i="200" s="1"/>
  <c r="F70" i="200"/>
  <c r="E70" i="200"/>
  <c r="P70" i="200" s="1"/>
  <c r="N69" i="200"/>
  <c r="M69" i="200"/>
  <c r="L69" i="200"/>
  <c r="K69" i="200"/>
  <c r="I69" i="200"/>
  <c r="H69" i="200"/>
  <c r="F69" i="200"/>
  <c r="E69" i="200"/>
  <c r="O68" i="200"/>
  <c r="O66" i="200" s="1"/>
  <c r="J68" i="200"/>
  <c r="F68" i="200"/>
  <c r="E68" i="200"/>
  <c r="P68" i="200" s="1"/>
  <c r="O67" i="200"/>
  <c r="J67" i="200" s="1"/>
  <c r="J66" i="200" s="1"/>
  <c r="H67" i="200"/>
  <c r="G67" i="200"/>
  <c r="F67" i="200"/>
  <c r="E67" i="200" s="1"/>
  <c r="N66" i="200"/>
  <c r="M66" i="200"/>
  <c r="L66" i="200"/>
  <c r="K66" i="200"/>
  <c r="I66" i="200"/>
  <c r="H66" i="200"/>
  <c r="G66" i="200"/>
  <c r="F66" i="200"/>
  <c r="J65" i="200"/>
  <c r="E65" i="200"/>
  <c r="P65" i="200" s="1"/>
  <c r="O64" i="200"/>
  <c r="J64" i="200" s="1"/>
  <c r="J63" i="200" s="1"/>
  <c r="M64" i="200"/>
  <c r="M63" i="200" s="1"/>
  <c r="L64" i="200"/>
  <c r="I64" i="200"/>
  <c r="H64" i="200"/>
  <c r="H63" i="200" s="1"/>
  <c r="G64" i="200"/>
  <c r="F64" i="200"/>
  <c r="E64" i="200" s="1"/>
  <c r="O63" i="200"/>
  <c r="N63" i="200"/>
  <c r="L63" i="200"/>
  <c r="K63" i="200"/>
  <c r="I63" i="200"/>
  <c r="G63" i="200"/>
  <c r="F63" i="200"/>
  <c r="O62" i="200"/>
  <c r="J62" i="200" s="1"/>
  <c r="M62" i="200"/>
  <c r="L62" i="200"/>
  <c r="H62" i="200"/>
  <c r="G62" i="200"/>
  <c r="F62" i="200"/>
  <c r="E62" i="200"/>
  <c r="P62" i="200" s="1"/>
  <c r="O61" i="200"/>
  <c r="O60" i="200" s="1"/>
  <c r="E61" i="200"/>
  <c r="N60" i="200"/>
  <c r="M60" i="200"/>
  <c r="L60" i="200"/>
  <c r="K60" i="200"/>
  <c r="I60" i="200"/>
  <c r="H60" i="200"/>
  <c r="G60" i="200"/>
  <c r="F60" i="200"/>
  <c r="E60" i="200"/>
  <c r="P59" i="200"/>
  <c r="J59" i="200"/>
  <c r="E59" i="200"/>
  <c r="O58" i="200"/>
  <c r="J58" i="200" s="1"/>
  <c r="E58" i="200"/>
  <c r="O57" i="200"/>
  <c r="N57" i="200"/>
  <c r="M57" i="200"/>
  <c r="L57" i="200"/>
  <c r="K57" i="200"/>
  <c r="I57" i="200"/>
  <c r="H57" i="200"/>
  <c r="G57" i="200"/>
  <c r="F57" i="200"/>
  <c r="E57" i="200"/>
  <c r="P56" i="200"/>
  <c r="O56" i="200"/>
  <c r="J56" i="200"/>
  <c r="I56" i="200"/>
  <c r="H56" i="200"/>
  <c r="G56" i="200"/>
  <c r="G53" i="200" s="1"/>
  <c r="F56" i="200"/>
  <c r="E56" i="200" s="1"/>
  <c r="O55" i="200"/>
  <c r="J55" i="200" s="1"/>
  <c r="I55" i="200"/>
  <c r="H55" i="200"/>
  <c r="G55" i="200"/>
  <c r="F55" i="200"/>
  <c r="E55" i="200" s="1"/>
  <c r="O54" i="200"/>
  <c r="O53" i="200" s="1"/>
  <c r="N54" i="200"/>
  <c r="M54" i="200"/>
  <c r="L54" i="200"/>
  <c r="L53" i="200" s="1"/>
  <c r="I54" i="200"/>
  <c r="H54" i="200"/>
  <c r="G54" i="200"/>
  <c r="F54" i="200"/>
  <c r="E54" i="200" s="1"/>
  <c r="E53" i="200" s="1"/>
  <c r="N53" i="200"/>
  <c r="M53" i="200"/>
  <c r="K53" i="200"/>
  <c r="I53" i="200"/>
  <c r="F53" i="200"/>
  <c r="O52" i="200"/>
  <c r="N52" i="200"/>
  <c r="N51" i="200" s="1"/>
  <c r="N50" i="200" s="1"/>
  <c r="N49" i="200" s="1"/>
  <c r="M52" i="200"/>
  <c r="L52" i="200"/>
  <c r="I52" i="200"/>
  <c r="H52" i="200"/>
  <c r="G52" i="200"/>
  <c r="F52" i="200"/>
  <c r="E52" i="200" s="1"/>
  <c r="M51" i="200"/>
  <c r="F51" i="200"/>
  <c r="O48" i="200"/>
  <c r="J48" i="200" s="1"/>
  <c r="I48" i="200"/>
  <c r="F48" i="200"/>
  <c r="E48" i="200" s="1"/>
  <c r="P48" i="200" s="1"/>
  <c r="K47" i="200"/>
  <c r="O47" i="200" s="1"/>
  <c r="J47" i="200" s="1"/>
  <c r="E47" i="200"/>
  <c r="E45" i="200" s="1"/>
  <c r="E44" i="200" s="1"/>
  <c r="O46" i="200"/>
  <c r="J46" i="200"/>
  <c r="J45" i="200" s="1"/>
  <c r="J44" i="200" s="1"/>
  <c r="E46" i="200"/>
  <c r="P46" i="200" s="1"/>
  <c r="N45" i="200"/>
  <c r="M45" i="200"/>
  <c r="L45" i="200"/>
  <c r="I45" i="200"/>
  <c r="H45" i="200"/>
  <c r="G45" i="200"/>
  <c r="F45" i="200"/>
  <c r="F44" i="200" s="1"/>
  <c r="N44" i="200"/>
  <c r="M44" i="200"/>
  <c r="L44" i="200"/>
  <c r="I44" i="200"/>
  <c r="H44" i="200"/>
  <c r="G44" i="200"/>
  <c r="O43" i="200"/>
  <c r="J43" i="200" s="1"/>
  <c r="E43" i="200"/>
  <c r="O42" i="200"/>
  <c r="N42" i="200"/>
  <c r="M42" i="200"/>
  <c r="L42" i="200"/>
  <c r="K42" i="200"/>
  <c r="K38" i="200" s="1"/>
  <c r="J42" i="200"/>
  <c r="I42" i="200"/>
  <c r="H42" i="200"/>
  <c r="G42" i="200"/>
  <c r="F42" i="200"/>
  <c r="E42" i="200"/>
  <c r="O41" i="200"/>
  <c r="J41" i="200" s="1"/>
  <c r="F41" i="200"/>
  <c r="F39" i="200" s="1"/>
  <c r="F38" i="200" s="1"/>
  <c r="O40" i="200"/>
  <c r="I40" i="200"/>
  <c r="F40" i="200"/>
  <c r="E40" i="200" s="1"/>
  <c r="N39" i="200"/>
  <c r="N38" i="200" s="1"/>
  <c r="M39" i="200"/>
  <c r="L39" i="200"/>
  <c r="K39" i="200"/>
  <c r="I39" i="200"/>
  <c r="H39" i="200"/>
  <c r="G39" i="200"/>
  <c r="M38" i="200"/>
  <c r="L38" i="200"/>
  <c r="I38" i="200"/>
  <c r="H38" i="200"/>
  <c r="G38" i="200"/>
  <c r="J37" i="200"/>
  <c r="E37" i="200"/>
  <c r="L36" i="200"/>
  <c r="L35" i="200" s="1"/>
  <c r="L31" i="200" s="1"/>
  <c r="O35" i="200"/>
  <c r="N35" i="200"/>
  <c r="M35" i="200"/>
  <c r="K35" i="200"/>
  <c r="I35" i="200"/>
  <c r="H35" i="200"/>
  <c r="H31" i="200" s="1"/>
  <c r="H27" i="200" s="1"/>
  <c r="G35" i="200"/>
  <c r="F35" i="200"/>
  <c r="P34" i="200"/>
  <c r="O34" i="200"/>
  <c r="J34" i="200" s="1"/>
  <c r="E34" i="200"/>
  <c r="O33" i="200"/>
  <c r="J33" i="200" s="1"/>
  <c r="P33" i="200" s="1"/>
  <c r="O32" i="200"/>
  <c r="J32" i="200" s="1"/>
  <c r="E32" i="200"/>
  <c r="P32" i="200" s="1"/>
  <c r="O31" i="200"/>
  <c r="O27" i="200" s="1"/>
  <c r="N31" i="200"/>
  <c r="M31" i="200"/>
  <c r="K31" i="200"/>
  <c r="I31" i="200"/>
  <c r="G31" i="200"/>
  <c r="G27" i="200" s="1"/>
  <c r="F31" i="200"/>
  <c r="J30" i="200"/>
  <c r="E30" i="200"/>
  <c r="E28" i="200" s="1"/>
  <c r="O29" i="200"/>
  <c r="J29" i="200"/>
  <c r="P29" i="200" s="1"/>
  <c r="E29" i="200"/>
  <c r="O28" i="200"/>
  <c r="N28" i="200"/>
  <c r="M28" i="200"/>
  <c r="M27" i="200" s="1"/>
  <c r="M16" i="200" s="1"/>
  <c r="L28" i="200"/>
  <c r="L27" i="200" s="1"/>
  <c r="L16" i="200" s="1"/>
  <c r="K28" i="200"/>
  <c r="J28" i="200"/>
  <c r="I28" i="200"/>
  <c r="I27" i="200" s="1"/>
  <c r="H28" i="200"/>
  <c r="G28" i="200"/>
  <c r="F28" i="200"/>
  <c r="N27" i="200"/>
  <c r="K27" i="200"/>
  <c r="F27" i="200"/>
  <c r="O26" i="200"/>
  <c r="J26" i="200" s="1"/>
  <c r="J25" i="200" s="1"/>
  <c r="J22" i="200" s="1"/>
  <c r="F26" i="200"/>
  <c r="E26" i="200"/>
  <c r="N25" i="200"/>
  <c r="N22" i="200" s="1"/>
  <c r="M25" i="200"/>
  <c r="M22" i="200" s="1"/>
  <c r="L25" i="200"/>
  <c r="K25" i="200"/>
  <c r="K22" i="200" s="1"/>
  <c r="I25" i="200"/>
  <c r="H25" i="200"/>
  <c r="G25" i="200"/>
  <c r="F25" i="200"/>
  <c r="F22" i="200" s="1"/>
  <c r="J24" i="200"/>
  <c r="E24" i="200"/>
  <c r="E23" i="200" s="1"/>
  <c r="O23" i="200"/>
  <c r="N23" i="200"/>
  <c r="M23" i="200"/>
  <c r="L23" i="200"/>
  <c r="K23" i="200"/>
  <c r="J23" i="200"/>
  <c r="I23" i="200"/>
  <c r="H23" i="200"/>
  <c r="G23" i="200"/>
  <c r="G22" i="200" s="1"/>
  <c r="F23" i="200"/>
  <c r="L22" i="200"/>
  <c r="I22" i="200"/>
  <c r="H22" i="200"/>
  <c r="O21" i="200"/>
  <c r="J21" i="200"/>
  <c r="F21" i="200"/>
  <c r="E21" i="200" s="1"/>
  <c r="P21" i="200" s="1"/>
  <c r="O20" i="200"/>
  <c r="J20" i="200"/>
  <c r="P20" i="200" s="1"/>
  <c r="O19" i="200"/>
  <c r="J19" i="200" s="1"/>
  <c r="P19" i="200" s="1"/>
  <c r="O18" i="200"/>
  <c r="J18" i="200" s="1"/>
  <c r="I18" i="200"/>
  <c r="I17" i="200" s="1"/>
  <c r="I16" i="200" s="1"/>
  <c r="H18" i="200"/>
  <c r="G18" i="200"/>
  <c r="F18" i="200"/>
  <c r="E18" i="200" s="1"/>
  <c r="E17" i="200" s="1"/>
  <c r="N17" i="200"/>
  <c r="N16" i="200" s="1"/>
  <c r="M17" i="200"/>
  <c r="L17" i="200"/>
  <c r="K17" i="200"/>
  <c r="H17" i="200"/>
  <c r="H16" i="200" s="1"/>
  <c r="G17" i="200"/>
  <c r="D31" i="172"/>
  <c r="J181" i="165" l="1"/>
  <c r="J181" i="203" s="1"/>
  <c r="O181" i="203"/>
  <c r="P368" i="165"/>
  <c r="P367" i="203" s="1"/>
  <c r="P181" i="165"/>
  <c r="P181" i="203" s="1"/>
  <c r="C17" i="201"/>
  <c r="D16" i="201"/>
  <c r="D40" i="201"/>
  <c r="C40" i="201" s="1"/>
  <c r="C57" i="201"/>
  <c r="E119" i="201"/>
  <c r="E114" i="201" s="1"/>
  <c r="C71" i="201"/>
  <c r="D67" i="201"/>
  <c r="C95" i="201"/>
  <c r="C119" i="201"/>
  <c r="D114" i="201"/>
  <c r="C114" i="201" s="1"/>
  <c r="E113" i="201"/>
  <c r="E160" i="201" s="1"/>
  <c r="I160" i="201" s="1"/>
  <c r="F160" i="201"/>
  <c r="J160" i="201" s="1"/>
  <c r="C133" i="201"/>
  <c r="C111" i="201"/>
  <c r="D77" i="201"/>
  <c r="C77" i="201" s="1"/>
  <c r="E95" i="201"/>
  <c r="E66" i="201" s="1"/>
  <c r="D102" i="201"/>
  <c r="J17" i="200"/>
  <c r="P18" i="200"/>
  <c r="P17" i="200" s="1"/>
  <c r="G51" i="200"/>
  <c r="G50" i="200" s="1"/>
  <c r="G49" i="200" s="1"/>
  <c r="I15" i="200"/>
  <c r="K16" i="200"/>
  <c r="J157" i="200"/>
  <c r="H15" i="200"/>
  <c r="G16" i="200"/>
  <c r="P26" i="200"/>
  <c r="P25" i="200" s="1"/>
  <c r="L15" i="200"/>
  <c r="N15" i="200"/>
  <c r="M15" i="200"/>
  <c r="K263" i="200"/>
  <c r="K262" i="200" s="1"/>
  <c r="K261" i="200" s="1"/>
  <c r="K235" i="200" s="1"/>
  <c r="K234" i="200" s="1"/>
  <c r="O264" i="200"/>
  <c r="J277" i="200"/>
  <c r="P278" i="200"/>
  <c r="P277" i="200" s="1"/>
  <c r="O25" i="200"/>
  <c r="O22" i="200" s="1"/>
  <c r="O45" i="200"/>
  <c r="O44" i="200" s="1"/>
  <c r="O69" i="200"/>
  <c r="J96" i="200"/>
  <c r="P97" i="200"/>
  <c r="P96" i="200" s="1"/>
  <c r="M118" i="200"/>
  <c r="M117" i="200" s="1"/>
  <c r="J146" i="200"/>
  <c r="O145" i="200"/>
  <c r="O142" i="200" s="1"/>
  <c r="P168" i="200"/>
  <c r="J176" i="200"/>
  <c r="P176" i="200" s="1"/>
  <c r="J182" i="200"/>
  <c r="E281" i="200"/>
  <c r="E280" i="200" s="1"/>
  <c r="E39" i="200"/>
  <c r="E38" i="200" s="1"/>
  <c r="E272" i="200"/>
  <c r="J40" i="200"/>
  <c r="J39" i="200" s="1"/>
  <c r="J38" i="200" s="1"/>
  <c r="O39" i="200"/>
  <c r="O38" i="200" s="1"/>
  <c r="F50" i="200"/>
  <c r="F49" i="200" s="1"/>
  <c r="P64" i="200"/>
  <c r="E63" i="200"/>
  <c r="P63" i="200" s="1"/>
  <c r="J92" i="200"/>
  <c r="J122" i="200"/>
  <c r="G235" i="200"/>
  <c r="G234" i="200" s="1"/>
  <c r="J250" i="200"/>
  <c r="P250" i="200" s="1"/>
  <c r="O248" i="200"/>
  <c r="P253" i="200"/>
  <c r="H304" i="200"/>
  <c r="H303" i="200" s="1"/>
  <c r="L303" i="200"/>
  <c r="I331" i="200"/>
  <c r="I330" i="200" s="1"/>
  <c r="E333" i="200"/>
  <c r="P333" i="200" s="1"/>
  <c r="O17" i="200"/>
  <c r="J81" i="200"/>
  <c r="P81" i="200" s="1"/>
  <c r="O80" i="200"/>
  <c r="J80" i="200" s="1"/>
  <c r="P80" i="200" s="1"/>
  <c r="K105" i="200"/>
  <c r="K104" i="200" s="1"/>
  <c r="O106" i="200"/>
  <c r="K152" i="200"/>
  <c r="K151" i="200" s="1"/>
  <c r="J216" i="200"/>
  <c r="O215" i="200"/>
  <c r="O214" i="200" s="1"/>
  <c r="G214" i="200"/>
  <c r="G213" i="200" s="1"/>
  <c r="J251" i="200"/>
  <c r="P252" i="200"/>
  <c r="P251" i="200" s="1"/>
  <c r="P294" i="200"/>
  <c r="I304" i="200"/>
  <c r="I303" i="200" s="1"/>
  <c r="O373" i="200"/>
  <c r="O372" i="200" s="1"/>
  <c r="E132" i="200"/>
  <c r="P134" i="200"/>
  <c r="O73" i="200"/>
  <c r="O51" i="200" s="1"/>
  <c r="O83" i="200"/>
  <c r="E139" i="200"/>
  <c r="E138" i="200" s="1"/>
  <c r="H214" i="200"/>
  <c r="H213" i="200" s="1"/>
  <c r="M272" i="200"/>
  <c r="M271" i="200" s="1"/>
  <c r="L51" i="200"/>
  <c r="L50" i="200" s="1"/>
  <c r="P24" i="200"/>
  <c r="P23" i="200" s="1"/>
  <c r="E25" i="200"/>
  <c r="E22" i="200" s="1"/>
  <c r="K51" i="200"/>
  <c r="P43" i="200"/>
  <c r="P42" i="200" s="1"/>
  <c r="E51" i="200"/>
  <c r="E50" i="200" s="1"/>
  <c r="P55" i="200"/>
  <c r="J57" i="200"/>
  <c r="P58" i="200"/>
  <c r="P57" i="200" s="1"/>
  <c r="P76" i="200"/>
  <c r="J149" i="200"/>
  <c r="J148" i="200" s="1"/>
  <c r="P150" i="200"/>
  <c r="P149" i="200" s="1"/>
  <c r="P148" i="200" s="1"/>
  <c r="P159" i="200"/>
  <c r="P163" i="200"/>
  <c r="G157" i="200"/>
  <c r="G152" i="200" s="1"/>
  <c r="G151" i="200" s="1"/>
  <c r="P211" i="200"/>
  <c r="P210" i="200" s="1"/>
  <c r="P208" i="200" s="1"/>
  <c r="P207" i="200" s="1"/>
  <c r="L234" i="200"/>
  <c r="J351" i="200"/>
  <c r="J350" i="200" s="1"/>
  <c r="P352" i="200"/>
  <c r="P351" i="200" s="1"/>
  <c r="P350" i="200" s="1"/>
  <c r="M50" i="200"/>
  <c r="M49" i="200" s="1"/>
  <c r="J69" i="200"/>
  <c r="P69" i="200" s="1"/>
  <c r="P127" i="200"/>
  <c r="O138" i="200"/>
  <c r="J141" i="200"/>
  <c r="J138" i="200" s="1"/>
  <c r="E158" i="200"/>
  <c r="G272" i="200"/>
  <c r="G271" i="200" s="1"/>
  <c r="P319" i="200"/>
  <c r="J52" i="200"/>
  <c r="P52" i="200" s="1"/>
  <c r="P51" i="200" s="1"/>
  <c r="F17" i="200"/>
  <c r="F16" i="200" s="1"/>
  <c r="I50" i="200"/>
  <c r="I49" i="200" s="1"/>
  <c r="P30" i="200"/>
  <c r="P28" i="200" s="1"/>
  <c r="P37" i="200"/>
  <c r="E35" i="200"/>
  <c r="K45" i="200"/>
  <c r="K44" i="200" s="1"/>
  <c r="H53" i="200"/>
  <c r="H51" i="200" s="1"/>
  <c r="H50" i="200" s="1"/>
  <c r="H49" i="200" s="1"/>
  <c r="P61" i="200"/>
  <c r="P83" i="200"/>
  <c r="J100" i="200"/>
  <c r="O122" i="200"/>
  <c r="O118" i="200" s="1"/>
  <c r="O117" i="200" s="1"/>
  <c r="I157" i="200"/>
  <c r="I152" i="200" s="1"/>
  <c r="I151" i="200" s="1"/>
  <c r="F167" i="200"/>
  <c r="F157" i="200" s="1"/>
  <c r="F152" i="200" s="1"/>
  <c r="F151" i="200" s="1"/>
  <c r="E169" i="200"/>
  <c r="P169" i="200" s="1"/>
  <c r="E210" i="200"/>
  <c r="E208" i="200" s="1"/>
  <c r="E207" i="200" s="1"/>
  <c r="N235" i="200"/>
  <c r="N234" i="200" s="1"/>
  <c r="E326" i="200"/>
  <c r="E323" i="200" s="1"/>
  <c r="E318" i="200" s="1"/>
  <c r="P329" i="200"/>
  <c r="P326" i="200" s="1"/>
  <c r="P323" i="200" s="1"/>
  <c r="I339" i="200"/>
  <c r="I338" i="200" s="1"/>
  <c r="P67" i="200"/>
  <c r="E66" i="200"/>
  <c r="P66" i="200" s="1"/>
  <c r="P92" i="200"/>
  <c r="G118" i="200"/>
  <c r="G117" i="200" s="1"/>
  <c r="P122" i="200"/>
  <c r="P132" i="200"/>
  <c r="E153" i="200"/>
  <c r="P154" i="200"/>
  <c r="P153" i="200" s="1"/>
  <c r="P244" i="200"/>
  <c r="P243" i="200" s="1"/>
  <c r="E243" i="200"/>
  <c r="M339" i="200"/>
  <c r="M338" i="200" s="1"/>
  <c r="E128" i="200"/>
  <c r="E122" i="200" s="1"/>
  <c r="E118" i="200" s="1"/>
  <c r="E117" i="200" s="1"/>
  <c r="J170" i="200"/>
  <c r="P171" i="200"/>
  <c r="P170" i="200" s="1"/>
  <c r="P173" i="200"/>
  <c r="P172" i="200" s="1"/>
  <c r="J172" i="200"/>
  <c r="J242" i="200"/>
  <c r="E311" i="200"/>
  <c r="E310" i="200" s="1"/>
  <c r="E309" i="200" s="1"/>
  <c r="F310" i="200"/>
  <c r="F309" i="200" s="1"/>
  <c r="L213" i="200"/>
  <c r="J214" i="200"/>
  <c r="J213" i="200" s="1"/>
  <c r="P87" i="200"/>
  <c r="P86" i="200" s="1"/>
  <c r="J73" i="200"/>
  <c r="P73" i="200" s="1"/>
  <c r="J110" i="200"/>
  <c r="P111" i="200"/>
  <c r="P110" i="200" s="1"/>
  <c r="P109" i="200" s="1"/>
  <c r="P72" i="200"/>
  <c r="P103" i="200"/>
  <c r="P100" i="200" s="1"/>
  <c r="J109" i="200"/>
  <c r="I118" i="200"/>
  <c r="I117" i="200" s="1"/>
  <c r="L118" i="200"/>
  <c r="L117" i="200" s="1"/>
  <c r="F122" i="200"/>
  <c r="F118" i="200" s="1"/>
  <c r="F117" i="200" s="1"/>
  <c r="J153" i="200"/>
  <c r="L157" i="200"/>
  <c r="L152" i="200" s="1"/>
  <c r="J179" i="200"/>
  <c r="P180" i="200"/>
  <c r="P179" i="200" s="1"/>
  <c r="O182" i="200"/>
  <c r="O157" i="200" s="1"/>
  <c r="O152" i="200" s="1"/>
  <c r="E200" i="200"/>
  <c r="J205" i="200"/>
  <c r="J310" i="200"/>
  <c r="J309" i="200" s="1"/>
  <c r="P311" i="200"/>
  <c r="P310" i="200" s="1"/>
  <c r="P309" i="200" s="1"/>
  <c r="J36" i="200"/>
  <c r="E41" i="200"/>
  <c r="P41" i="200" s="1"/>
  <c r="J61" i="200"/>
  <c r="J60" i="200" s="1"/>
  <c r="P60" i="200" s="1"/>
  <c r="J75" i="200"/>
  <c r="P75" i="200" s="1"/>
  <c r="E82" i="200"/>
  <c r="P82" i="200" s="1"/>
  <c r="J120" i="200"/>
  <c r="J119" i="200" s="1"/>
  <c r="J233" i="200"/>
  <c r="J267" i="200"/>
  <c r="O265" i="200"/>
  <c r="P276" i="200"/>
  <c r="P273" i="200" s="1"/>
  <c r="J323" i="200"/>
  <c r="E336" i="200"/>
  <c r="E335" i="200" s="1"/>
  <c r="P375" i="200"/>
  <c r="P374" i="200" s="1"/>
  <c r="N384" i="200"/>
  <c r="N383" i="200" s="1"/>
  <c r="J427" i="200"/>
  <c r="J426" i="200" s="1"/>
  <c r="J425" i="200" s="1"/>
  <c r="P428" i="200"/>
  <c r="P427" i="200" s="1"/>
  <c r="P426" i="200" s="1"/>
  <c r="L435" i="200"/>
  <c r="K122" i="200"/>
  <c r="K118" i="200" s="1"/>
  <c r="K117" i="200" s="1"/>
  <c r="O293" i="200"/>
  <c r="O290" i="200" s="1"/>
  <c r="J320" i="200"/>
  <c r="J319" i="200" s="1"/>
  <c r="J337" i="200"/>
  <c r="J336" i="200" s="1"/>
  <c r="J335" i="200" s="1"/>
  <c r="J452" i="200"/>
  <c r="P453" i="200"/>
  <c r="J247" i="200"/>
  <c r="J246" i="200" s="1"/>
  <c r="O246" i="200"/>
  <c r="O242" i="200" s="1"/>
  <c r="L272" i="200"/>
  <c r="J298" i="200"/>
  <c r="J365" i="200"/>
  <c r="O364" i="200"/>
  <c r="O363" i="200" s="1"/>
  <c r="J412" i="200"/>
  <c r="O411" i="200"/>
  <c r="J433" i="200"/>
  <c r="P434" i="200"/>
  <c r="P433" i="200" s="1"/>
  <c r="O452" i="200"/>
  <c r="P222" i="200"/>
  <c r="P217" i="200" s="1"/>
  <c r="P247" i="200"/>
  <c r="P246" i="200" s="1"/>
  <c r="P249" i="200"/>
  <c r="P248" i="200" s="1"/>
  <c r="N304" i="200"/>
  <c r="N303" i="200" s="1"/>
  <c r="F336" i="200"/>
  <c r="F335" i="200" s="1"/>
  <c r="J340" i="200"/>
  <c r="O349" i="200"/>
  <c r="J349" i="200" s="1"/>
  <c r="J347" i="200" s="1"/>
  <c r="J346" i="200" s="1"/>
  <c r="K347" i="200"/>
  <c r="K346" i="200" s="1"/>
  <c r="N445" i="200"/>
  <c r="N444" i="200" s="1"/>
  <c r="E460" i="200"/>
  <c r="E459" i="200" s="1"/>
  <c r="J199" i="200"/>
  <c r="J198" i="200" s="1"/>
  <c r="F246" i="200"/>
  <c r="F242" i="200" s="1"/>
  <c r="F235" i="200" s="1"/>
  <c r="F234" i="200" s="1"/>
  <c r="E248" i="200"/>
  <c r="E285" i="200"/>
  <c r="F281" i="200"/>
  <c r="F280" i="200" s="1"/>
  <c r="F272" i="200" s="1"/>
  <c r="F271" i="200" s="1"/>
  <c r="J297" i="200"/>
  <c r="J296" i="200" s="1"/>
  <c r="J293" i="200" s="1"/>
  <c r="J290" i="200" s="1"/>
  <c r="O296" i="200"/>
  <c r="L299" i="200"/>
  <c r="L298" i="200"/>
  <c r="L372" i="200"/>
  <c r="P394" i="200"/>
  <c r="P391" i="200" s="1"/>
  <c r="K407" i="200"/>
  <c r="O408" i="200"/>
  <c r="J421" i="200"/>
  <c r="J420" i="200" s="1"/>
  <c r="J419" i="200" s="1"/>
  <c r="O420" i="200"/>
  <c r="O419" i="200" s="1"/>
  <c r="E423" i="200"/>
  <c r="E422" i="200" s="1"/>
  <c r="E406" i="200" s="1"/>
  <c r="P47" i="200"/>
  <c r="P45" i="200" s="1"/>
  <c r="P44" i="200" s="1"/>
  <c r="J253" i="200"/>
  <c r="P285" i="200"/>
  <c r="P300" i="200"/>
  <c r="P299" i="200" s="1"/>
  <c r="M299" i="200"/>
  <c r="M298" i="200"/>
  <c r="L339" i="200"/>
  <c r="L338" i="200" s="1"/>
  <c r="O379" i="200"/>
  <c r="O378" i="200" s="1"/>
  <c r="E394" i="200"/>
  <c r="E391" i="200" s="1"/>
  <c r="E388" i="200" s="1"/>
  <c r="P396" i="200"/>
  <c r="E401" i="200"/>
  <c r="E400" i="200" s="1"/>
  <c r="P421" i="200"/>
  <c r="P420" i="200" s="1"/>
  <c r="P419" i="200" s="1"/>
  <c r="N436" i="200"/>
  <c r="N435" i="200" s="1"/>
  <c r="J446" i="200"/>
  <c r="P447" i="200"/>
  <c r="P446" i="200" s="1"/>
  <c r="J54" i="200"/>
  <c r="J53" i="200" s="1"/>
  <c r="P53" i="200" s="1"/>
  <c r="E222" i="200"/>
  <c r="E217" i="200" s="1"/>
  <c r="E214" i="200" s="1"/>
  <c r="E253" i="200"/>
  <c r="P256" i="200"/>
  <c r="N299" i="200"/>
  <c r="N298" i="200"/>
  <c r="N272" i="200" s="1"/>
  <c r="N271" i="200" s="1"/>
  <c r="P314" i="200"/>
  <c r="P324" i="200"/>
  <c r="P332" i="200"/>
  <c r="P331" i="200" s="1"/>
  <c r="P330" i="200" s="1"/>
  <c r="E331" i="200"/>
  <c r="E330" i="200" s="1"/>
  <c r="J379" i="200"/>
  <c r="J378" i="200" s="1"/>
  <c r="P380" i="200"/>
  <c r="P379" i="200" s="1"/>
  <c r="P378" i="200" s="1"/>
  <c r="H388" i="200"/>
  <c r="H384" i="200" s="1"/>
  <c r="H383" i="200" s="1"/>
  <c r="P399" i="200"/>
  <c r="P398" i="200" s="1"/>
  <c r="J398" i="200"/>
  <c r="O445" i="200"/>
  <c r="O444" i="200" s="1"/>
  <c r="J226" i="200"/>
  <c r="J225" i="200" s="1"/>
  <c r="P240" i="200"/>
  <c r="P239" i="200" s="1"/>
  <c r="J260" i="200"/>
  <c r="J259" i="200" s="1"/>
  <c r="J258" i="200" s="1"/>
  <c r="O259" i="200"/>
  <c r="O258" i="200" s="1"/>
  <c r="J281" i="200"/>
  <c r="J280" i="200" s="1"/>
  <c r="E304" i="200"/>
  <c r="P306" i="200"/>
  <c r="P305" i="200" s="1"/>
  <c r="J305" i="200"/>
  <c r="J437" i="200"/>
  <c r="P438" i="200"/>
  <c r="P437" i="200" s="1"/>
  <c r="K445" i="200"/>
  <c r="K444" i="200" s="1"/>
  <c r="J238" i="200"/>
  <c r="O237" i="200"/>
  <c r="O236" i="200" s="1"/>
  <c r="J248" i="200"/>
  <c r="O280" i="200"/>
  <c r="P298" i="200"/>
  <c r="I384" i="200"/>
  <c r="I383" i="200" s="1"/>
  <c r="F384" i="200"/>
  <c r="F383" i="200" s="1"/>
  <c r="K389" i="200"/>
  <c r="K388" i="200" s="1"/>
  <c r="K384" i="200" s="1"/>
  <c r="K383" i="200" s="1"/>
  <c r="O390" i="200"/>
  <c r="K413" i="200"/>
  <c r="K410" i="200" s="1"/>
  <c r="O416" i="200"/>
  <c r="P228" i="200"/>
  <c r="P227" i="200" s="1"/>
  <c r="P226" i="200" s="1"/>
  <c r="P225" i="200" s="1"/>
  <c r="E239" i="200"/>
  <c r="E236" i="200" s="1"/>
  <c r="P270" i="200"/>
  <c r="P269" i="200" s="1"/>
  <c r="P268" i="200" s="1"/>
  <c r="P282" i="200"/>
  <c r="P287" i="200"/>
  <c r="G304" i="200"/>
  <c r="G303" i="200" s="1"/>
  <c r="P340" i="200"/>
  <c r="J357" i="200"/>
  <c r="O356" i="200"/>
  <c r="O355" i="200" s="1"/>
  <c r="E435" i="200"/>
  <c r="O351" i="200"/>
  <c r="O350" i="200" s="1"/>
  <c r="O273" i="200"/>
  <c r="O331" i="200"/>
  <c r="O330" i="200" s="1"/>
  <c r="O344" i="200"/>
  <c r="K364" i="200"/>
  <c r="K363" i="200" s="1"/>
  <c r="E455" i="200"/>
  <c r="O427" i="200"/>
  <c r="P432" i="200"/>
  <c r="P431" i="200" s="1"/>
  <c r="P430" i="200" s="1"/>
  <c r="O433" i="200"/>
  <c r="O320" i="200"/>
  <c r="O319" i="200" s="1"/>
  <c r="O318" i="200" s="1"/>
  <c r="O304" i="200" s="1"/>
  <c r="Q432" i="200"/>
  <c r="O442" i="200"/>
  <c r="O439" i="200" s="1"/>
  <c r="O436" i="200" s="1"/>
  <c r="O347" i="200"/>
  <c r="O346" i="200" s="1"/>
  <c r="P418" i="200"/>
  <c r="P417" i="200" s="1"/>
  <c r="O398" i="200"/>
  <c r="P360" i="200"/>
  <c r="P359" i="200" s="1"/>
  <c r="D28" i="172"/>
  <c r="D66" i="201" l="1"/>
  <c r="C66" i="201" s="1"/>
  <c r="C67" i="201"/>
  <c r="C102" i="201"/>
  <c r="D101" i="201"/>
  <c r="C16" i="201"/>
  <c r="D15" i="201"/>
  <c r="C15" i="201" s="1"/>
  <c r="O303" i="200"/>
  <c r="J304" i="200"/>
  <c r="J303" i="200" s="1"/>
  <c r="Q151" i="200"/>
  <c r="O151" i="200"/>
  <c r="E405" i="200"/>
  <c r="O435" i="200"/>
  <c r="J436" i="200"/>
  <c r="P214" i="200"/>
  <c r="E213" i="200"/>
  <c r="J204" i="200"/>
  <c r="J203" i="200" s="1"/>
  <c r="P205" i="200"/>
  <c r="P204" i="200" s="1"/>
  <c r="P203" i="200" s="1"/>
  <c r="E271" i="200"/>
  <c r="M462" i="200"/>
  <c r="P445" i="200"/>
  <c r="P267" i="200"/>
  <c r="P265" i="200" s="1"/>
  <c r="J265" i="200"/>
  <c r="P200" i="200"/>
  <c r="E198" i="200"/>
  <c r="F15" i="200"/>
  <c r="E49" i="200"/>
  <c r="P120" i="200"/>
  <c r="P119" i="200" s="1"/>
  <c r="P293" i="200"/>
  <c r="P290" i="200" s="1"/>
  <c r="J445" i="200"/>
  <c r="J444" i="200" s="1"/>
  <c r="J373" i="200"/>
  <c r="P158" i="200"/>
  <c r="P38" i="200"/>
  <c r="N462" i="200"/>
  <c r="N473" i="200" s="1"/>
  <c r="J232" i="200"/>
  <c r="J231" i="200" s="1"/>
  <c r="P233" i="200"/>
  <c r="P232" i="200" s="1"/>
  <c r="P231" i="200" s="1"/>
  <c r="J51" i="200"/>
  <c r="K50" i="200"/>
  <c r="K49" i="200" s="1"/>
  <c r="O16" i="200"/>
  <c r="J145" i="200"/>
  <c r="J142" i="200" s="1"/>
  <c r="P146" i="200"/>
  <c r="P145" i="200" s="1"/>
  <c r="P142" i="200" s="1"/>
  <c r="E303" i="200"/>
  <c r="P304" i="200"/>
  <c r="J118" i="200"/>
  <c r="J117" i="200" s="1"/>
  <c r="P199" i="200"/>
  <c r="I462" i="200"/>
  <c r="K15" i="200"/>
  <c r="L151" i="200"/>
  <c r="J152" i="200"/>
  <c r="J151" i="200" s="1"/>
  <c r="E242" i="200"/>
  <c r="E235" i="200" s="1"/>
  <c r="P141" i="200"/>
  <c r="P138" i="200" s="1"/>
  <c r="P40" i="200"/>
  <c r="P39" i="200" s="1"/>
  <c r="L462" i="200"/>
  <c r="J106" i="200"/>
  <c r="O105" i="200"/>
  <c r="O104" i="200" s="1"/>
  <c r="O50" i="200" s="1"/>
  <c r="P238" i="200"/>
  <c r="P237" i="200" s="1"/>
  <c r="P236" i="200" s="1"/>
  <c r="J237" i="200"/>
  <c r="J236" i="200" s="1"/>
  <c r="O339" i="200"/>
  <c r="O338" i="200" s="1"/>
  <c r="P452" i="200"/>
  <c r="J411" i="200"/>
  <c r="P412" i="200"/>
  <c r="P411" i="200" s="1"/>
  <c r="P242" i="200"/>
  <c r="P54" i="200"/>
  <c r="Q213" i="200"/>
  <c r="O213" i="200"/>
  <c r="P22" i="200"/>
  <c r="O272" i="200"/>
  <c r="O271" i="200" s="1"/>
  <c r="L271" i="200"/>
  <c r="Q426" i="200"/>
  <c r="P425" i="200"/>
  <c r="O389" i="200"/>
  <c r="O388" i="200" s="1"/>
  <c r="O384" i="200" s="1"/>
  <c r="O383" i="200" s="1"/>
  <c r="J390" i="200"/>
  <c r="P260" i="200"/>
  <c r="P259" i="200" s="1"/>
  <c r="P258" i="200" s="1"/>
  <c r="P349" i="200"/>
  <c r="P347" i="200" s="1"/>
  <c r="P346" i="200" s="1"/>
  <c r="P318" i="200"/>
  <c r="J215" i="200"/>
  <c r="P216" i="200"/>
  <c r="P215" i="200" s="1"/>
  <c r="P167" i="200"/>
  <c r="J264" i="200"/>
  <c r="O263" i="200"/>
  <c r="O262" i="200" s="1"/>
  <c r="O261" i="200" s="1"/>
  <c r="O235" i="200" s="1"/>
  <c r="G462" i="200"/>
  <c r="G15" i="200"/>
  <c r="J416" i="200"/>
  <c r="O413" i="200"/>
  <c r="O410" i="200" s="1"/>
  <c r="O406" i="200" s="1"/>
  <c r="J356" i="200"/>
  <c r="J355" i="200" s="1"/>
  <c r="J339" i="200" s="1"/>
  <c r="J338" i="200" s="1"/>
  <c r="P357" i="200"/>
  <c r="P356" i="200" s="1"/>
  <c r="P355" i="200" s="1"/>
  <c r="O426" i="200"/>
  <c r="O425" i="200" s="1"/>
  <c r="K339" i="200"/>
  <c r="K338" i="200" s="1"/>
  <c r="E384" i="200"/>
  <c r="P337" i="200"/>
  <c r="P336" i="200" s="1"/>
  <c r="P335" i="200" s="1"/>
  <c r="F304" i="200"/>
  <c r="F303" i="200" s="1"/>
  <c r="E31" i="200"/>
  <c r="E27" i="200" s="1"/>
  <c r="E16" i="200" s="1"/>
  <c r="E167" i="200"/>
  <c r="O407" i="200"/>
  <c r="J408" i="200"/>
  <c r="E157" i="200"/>
  <c r="E152" i="200" s="1"/>
  <c r="K406" i="200"/>
  <c r="K405" i="200" s="1"/>
  <c r="P339" i="200"/>
  <c r="P455" i="200"/>
  <c r="P454" i="200" s="1"/>
  <c r="E454" i="200"/>
  <c r="E452" i="200" s="1"/>
  <c r="E445" i="200" s="1"/>
  <c r="E444" i="200" s="1"/>
  <c r="P281" i="200"/>
  <c r="P280" i="200" s="1"/>
  <c r="P297" i="200"/>
  <c r="P296" i="200" s="1"/>
  <c r="J364" i="200"/>
  <c r="J363" i="200" s="1"/>
  <c r="P365" i="200"/>
  <c r="P364" i="200" s="1"/>
  <c r="P363" i="200" s="1"/>
  <c r="J318" i="200"/>
  <c r="J35" i="200"/>
  <c r="J31" i="200" s="1"/>
  <c r="J27" i="200" s="1"/>
  <c r="P36" i="200"/>
  <c r="L49" i="200"/>
  <c r="H462" i="200"/>
  <c r="F65" i="172"/>
  <c r="E65" i="172"/>
  <c r="D65" i="172"/>
  <c r="C65" i="172"/>
  <c r="C32" i="172"/>
  <c r="D30" i="172"/>
  <c r="C101" i="201" l="1"/>
  <c r="D113" i="201"/>
  <c r="Q49" i="200"/>
  <c r="O49" i="200"/>
  <c r="J50" i="200"/>
  <c r="E234" i="200"/>
  <c r="P152" i="200"/>
  <c r="E151" i="200"/>
  <c r="Q234" i="200"/>
  <c r="O234" i="200"/>
  <c r="J235" i="200"/>
  <c r="J234" i="200" s="1"/>
  <c r="L476" i="200"/>
  <c r="L473" i="200"/>
  <c r="J372" i="200"/>
  <c r="P373" i="200"/>
  <c r="J435" i="200"/>
  <c r="P436" i="200"/>
  <c r="J407" i="200"/>
  <c r="P408" i="200"/>
  <c r="P407" i="200" s="1"/>
  <c r="O405" i="200"/>
  <c r="J406" i="200"/>
  <c r="M475" i="200"/>
  <c r="M473" i="200"/>
  <c r="P118" i="200"/>
  <c r="Q339" i="200"/>
  <c r="P338" i="200"/>
  <c r="J105" i="200"/>
  <c r="J104" i="200" s="1"/>
  <c r="P106" i="200"/>
  <c r="P105" i="200" s="1"/>
  <c r="P104" i="200" s="1"/>
  <c r="J389" i="200"/>
  <c r="J388" i="200" s="1"/>
  <c r="J384" i="200" s="1"/>
  <c r="J383" i="200" s="1"/>
  <c r="P390" i="200"/>
  <c r="P389" i="200" s="1"/>
  <c r="P388" i="200" s="1"/>
  <c r="P157" i="200"/>
  <c r="J413" i="200"/>
  <c r="J410" i="200" s="1"/>
  <c r="P416" i="200"/>
  <c r="P413" i="200" s="1"/>
  <c r="P410" i="200" s="1"/>
  <c r="O462" i="200"/>
  <c r="O15" i="200"/>
  <c r="J16" i="200"/>
  <c r="E462" i="200"/>
  <c r="E15" i="200"/>
  <c r="P16" i="200"/>
  <c r="G475" i="200"/>
  <c r="G473" i="200"/>
  <c r="J272" i="200"/>
  <c r="K462" i="200"/>
  <c r="Q214" i="200"/>
  <c r="P213" i="200"/>
  <c r="P35" i="200"/>
  <c r="P31" i="200" s="1"/>
  <c r="P27" i="200" s="1"/>
  <c r="I479" i="200"/>
  <c r="I473" i="200"/>
  <c r="F462" i="200"/>
  <c r="Q304" i="200"/>
  <c r="P303" i="200"/>
  <c r="Q445" i="200"/>
  <c r="P444" i="200"/>
  <c r="J263" i="200"/>
  <c r="J262" i="200" s="1"/>
  <c r="J261" i="200" s="1"/>
  <c r="P264" i="200"/>
  <c r="P263" i="200" s="1"/>
  <c r="P262" i="200" s="1"/>
  <c r="P261" i="200" s="1"/>
  <c r="H473" i="200"/>
  <c r="H475" i="200"/>
  <c r="E383" i="200"/>
  <c r="P384" i="200"/>
  <c r="P198" i="200"/>
  <c r="D64" i="172"/>
  <c r="D63" i="172" s="1"/>
  <c r="F64" i="172"/>
  <c r="F63" i="172" s="1"/>
  <c r="D29" i="172"/>
  <c r="H27" i="172" s="1"/>
  <c r="M471" i="165"/>
  <c r="C113" i="201" l="1"/>
  <c r="H113" i="201" s="1"/>
  <c r="D160" i="201"/>
  <c r="Q436" i="200"/>
  <c r="P435" i="200"/>
  <c r="Q384" i="200"/>
  <c r="P383" i="200"/>
  <c r="J271" i="200"/>
  <c r="P272" i="200"/>
  <c r="P235" i="200"/>
  <c r="P117" i="200"/>
  <c r="Q118" i="200"/>
  <c r="Q152" i="200"/>
  <c r="P151" i="200"/>
  <c r="J49" i="200"/>
  <c r="P50" i="200"/>
  <c r="J405" i="200"/>
  <c r="P406" i="200"/>
  <c r="F479" i="200"/>
  <c r="F473" i="200"/>
  <c r="F476" i="200"/>
  <c r="E476" i="200"/>
  <c r="E473" i="200"/>
  <c r="F474" i="200"/>
  <c r="P372" i="200"/>
  <c r="Q373" i="200"/>
  <c r="Q16" i="200"/>
  <c r="P15" i="200"/>
  <c r="J462" i="200"/>
  <c r="J15" i="200"/>
  <c r="E97" i="188"/>
  <c r="D72" i="188"/>
  <c r="D36" i="188"/>
  <c r="D59" i="188"/>
  <c r="D47" i="188"/>
  <c r="D46" i="188"/>
  <c r="F461" i="165"/>
  <c r="F460" i="203" s="1"/>
  <c r="J354" i="167"/>
  <c r="I354" i="167"/>
  <c r="K67" i="184"/>
  <c r="K385" i="165"/>
  <c r="K384" i="203" s="1"/>
  <c r="E382" i="165"/>
  <c r="E381" i="203" s="1"/>
  <c r="F125" i="165"/>
  <c r="F125" i="203" s="1"/>
  <c r="F123" i="165"/>
  <c r="F123" i="203" s="1"/>
  <c r="H213" i="167"/>
  <c r="F224" i="165"/>
  <c r="F224" i="203" s="1"/>
  <c r="I221" i="165"/>
  <c r="I221" i="203" s="1"/>
  <c r="M217" i="165"/>
  <c r="M217" i="203" s="1"/>
  <c r="L217" i="165"/>
  <c r="L217" i="203" s="1"/>
  <c r="G217" i="165"/>
  <c r="G217" i="203" s="1"/>
  <c r="G241" i="165"/>
  <c r="G241" i="203" s="1"/>
  <c r="F241" i="165"/>
  <c r="F241" i="203" s="1"/>
  <c r="F72" i="165"/>
  <c r="F72" i="203" s="1"/>
  <c r="F70" i="165"/>
  <c r="F70" i="203" s="1"/>
  <c r="F62" i="165"/>
  <c r="F62" i="203" s="1"/>
  <c r="M64" i="165"/>
  <c r="M64" i="203" s="1"/>
  <c r="L64" i="165"/>
  <c r="L64" i="203" s="1"/>
  <c r="M62" i="165"/>
  <c r="M62" i="203" s="1"/>
  <c r="L62" i="165"/>
  <c r="L62" i="203" s="1"/>
  <c r="O54" i="165"/>
  <c r="O54" i="203" s="1"/>
  <c r="L54" i="165"/>
  <c r="L54" i="203" s="1"/>
  <c r="N54" i="165"/>
  <c r="N54" i="203" s="1"/>
  <c r="M54" i="165"/>
  <c r="M54" i="203" s="1"/>
  <c r="O52" i="165"/>
  <c r="O52" i="203" s="1"/>
  <c r="L52" i="165"/>
  <c r="L52" i="203" s="1"/>
  <c r="N52" i="165"/>
  <c r="N52" i="203" s="1"/>
  <c r="M52" i="165"/>
  <c r="M52" i="203" s="1"/>
  <c r="H160" i="201" l="1"/>
  <c r="C160" i="201"/>
  <c r="Q272" i="200"/>
  <c r="P271" i="200"/>
  <c r="Q406" i="200"/>
  <c r="P405" i="200"/>
  <c r="Q235" i="200"/>
  <c r="P234" i="200"/>
  <c r="P462" i="200"/>
  <c r="Q50" i="200"/>
  <c r="P49" i="200"/>
  <c r="J20" i="184"/>
  <c r="J19" i="184" s="1"/>
  <c r="O19" i="184"/>
  <c r="N19" i="184"/>
  <c r="M19" i="184"/>
  <c r="L19" i="184"/>
  <c r="K19" i="184"/>
  <c r="J104" i="167"/>
  <c r="H104" i="167"/>
  <c r="O89" i="165"/>
  <c r="O89" i="203" s="1"/>
  <c r="G72" i="165"/>
  <c r="G72" i="203" s="1"/>
  <c r="G67" i="165"/>
  <c r="G67" i="203" s="1"/>
  <c r="G62" i="165"/>
  <c r="G62" i="203" s="1"/>
  <c r="G55" i="165"/>
  <c r="G55" i="203" s="1"/>
  <c r="G54" i="165"/>
  <c r="G54" i="203" s="1"/>
  <c r="G52" i="165"/>
  <c r="G52" i="203" s="1"/>
  <c r="O200" i="165"/>
  <c r="O200" i="203" s="1"/>
  <c r="L200" i="165"/>
  <c r="L200" i="203" s="1"/>
  <c r="M200" i="165"/>
  <c r="M200" i="203" s="1"/>
  <c r="G200" i="165"/>
  <c r="G200" i="203" s="1"/>
  <c r="H200" i="165"/>
  <c r="H200" i="203" s="1"/>
  <c r="G174" i="165"/>
  <c r="G174" i="203" s="1"/>
  <c r="I174" i="165"/>
  <c r="I174" i="203" s="1"/>
  <c r="G173" i="165"/>
  <c r="G173" i="203" s="1"/>
  <c r="F173" i="165"/>
  <c r="F173" i="203" s="1"/>
  <c r="G168" i="165"/>
  <c r="G168" i="203" s="1"/>
  <c r="J45" i="184"/>
  <c r="J44" i="184" s="1"/>
  <c r="O44" i="184"/>
  <c r="N44" i="184"/>
  <c r="M44" i="184"/>
  <c r="L44" i="184"/>
  <c r="K44" i="184"/>
  <c r="G160" i="201" l="1"/>
  <c r="P476" i="200"/>
  <c r="Q462" i="200"/>
  <c r="P473" i="200"/>
  <c r="P474" i="200"/>
  <c r="J89" i="165"/>
  <c r="J89" i="203" s="1"/>
  <c r="D88" i="170"/>
  <c r="E47" i="165"/>
  <c r="E47" i="203" s="1"/>
  <c r="P89" i="165" l="1"/>
  <c r="P89" i="203" s="1"/>
  <c r="I104" i="167"/>
  <c r="G104" i="167" s="1"/>
  <c r="H44" i="167"/>
  <c r="F40" i="165"/>
  <c r="F40" i="203" s="1"/>
  <c r="D30" i="108"/>
  <c r="G18" i="165"/>
  <c r="G18" i="203" s="1"/>
  <c r="H376" i="167"/>
  <c r="H379" i="167"/>
  <c r="J71" i="184"/>
  <c r="J70" i="184" s="1"/>
  <c r="O70" i="184"/>
  <c r="N70" i="184"/>
  <c r="M70" i="184"/>
  <c r="L70" i="184"/>
  <c r="K70" i="184"/>
  <c r="J296" i="167"/>
  <c r="I296" i="167"/>
  <c r="K318" i="165"/>
  <c r="K318" i="203" s="1"/>
  <c r="O68" i="184"/>
  <c r="O66" i="184"/>
  <c r="O62" i="184"/>
  <c r="O60" i="184"/>
  <c r="O58" i="184"/>
  <c r="O56" i="184"/>
  <c r="J69" i="184"/>
  <c r="J68" i="184" s="1"/>
  <c r="N68" i="184"/>
  <c r="M68" i="184"/>
  <c r="L68" i="184"/>
  <c r="K68" i="184"/>
  <c r="K296" i="167"/>
  <c r="G297" i="167"/>
  <c r="F332" i="165"/>
  <c r="F332" i="203" s="1"/>
  <c r="H283" i="167"/>
  <c r="F313" i="165"/>
  <c r="F313" i="203" s="1"/>
  <c r="E295" i="165"/>
  <c r="E295" i="203" s="1"/>
  <c r="E298" i="165"/>
  <c r="E298" i="203" s="1"/>
  <c r="H261" i="167"/>
  <c r="F289" i="165"/>
  <c r="F289" i="203" s="1"/>
  <c r="F286" i="165"/>
  <c r="F286" i="203" s="1"/>
  <c r="M296" i="167" l="1"/>
  <c r="E376" i="165"/>
  <c r="E375" i="203" s="1"/>
  <c r="E344" i="165"/>
  <c r="E343" i="203" s="1"/>
  <c r="J336" i="167"/>
  <c r="I336" i="167"/>
  <c r="K52" i="184"/>
  <c r="K359" i="165"/>
  <c r="K358" i="203" s="1"/>
  <c r="J342" i="167"/>
  <c r="I342" i="167"/>
  <c r="J91" i="184"/>
  <c r="J90" i="184" s="1"/>
  <c r="O90" i="184"/>
  <c r="N90" i="184"/>
  <c r="M90" i="184"/>
  <c r="L90" i="184"/>
  <c r="K90" i="184"/>
  <c r="K87" i="184"/>
  <c r="K76" i="184"/>
  <c r="E409" i="165"/>
  <c r="E408" i="203" s="1"/>
  <c r="G366" i="167"/>
  <c r="G367" i="167"/>
  <c r="K395" i="165"/>
  <c r="K394" i="203" s="1"/>
  <c r="N399" i="165"/>
  <c r="N398" i="203" s="1"/>
  <c r="M399" i="165"/>
  <c r="M398" i="203" s="1"/>
  <c r="L399" i="165"/>
  <c r="L398" i="203" s="1"/>
  <c r="K399" i="165"/>
  <c r="K398" i="203" s="1"/>
  <c r="I399" i="165"/>
  <c r="I398" i="203" s="1"/>
  <c r="H399" i="165"/>
  <c r="H398" i="203" s="1"/>
  <c r="G399" i="165"/>
  <c r="G398" i="203" s="1"/>
  <c r="F399" i="165"/>
  <c r="F398" i="203" s="1"/>
  <c r="O401" i="165"/>
  <c r="E401" i="165"/>
  <c r="E400" i="203" s="1"/>
  <c r="H363" i="167"/>
  <c r="F407" i="165"/>
  <c r="F406" i="203" s="1"/>
  <c r="F34" i="197"/>
  <c r="J401" i="165" l="1"/>
  <c r="J400" i="203" s="1"/>
  <c r="O400" i="203"/>
  <c r="P401" i="165"/>
  <c r="P400" i="203" s="1"/>
  <c r="O439" i="165"/>
  <c r="O438" i="203" s="1"/>
  <c r="D17" i="170" l="1"/>
  <c r="C121" i="188"/>
  <c r="F120" i="188"/>
  <c r="E120" i="188"/>
  <c r="D120" i="188"/>
  <c r="J76" i="167"/>
  <c r="E77" i="165"/>
  <c r="E77" i="203" s="1"/>
  <c r="E76" i="165"/>
  <c r="E76" i="203" s="1"/>
  <c r="J99" i="165"/>
  <c r="J99" i="203" s="1"/>
  <c r="J113" i="167"/>
  <c r="E99" i="165"/>
  <c r="E99" i="203" s="1"/>
  <c r="E78" i="165"/>
  <c r="E78" i="203" s="1"/>
  <c r="E98" i="165"/>
  <c r="E98" i="203" s="1"/>
  <c r="E71" i="165"/>
  <c r="E71" i="203" s="1"/>
  <c r="E65" i="165"/>
  <c r="E65" i="203" s="1"/>
  <c r="E59" i="165"/>
  <c r="E59" i="203" s="1"/>
  <c r="E58" i="165"/>
  <c r="E58" i="203" s="1"/>
  <c r="E140" i="165"/>
  <c r="E140" i="203" s="1"/>
  <c r="E24" i="165"/>
  <c r="E24" i="203" s="1"/>
  <c r="H76" i="167" l="1"/>
  <c r="H113" i="167"/>
  <c r="I113" i="167"/>
  <c r="P99" i="165"/>
  <c r="P99" i="203" s="1"/>
  <c r="G113" i="167" l="1"/>
  <c r="H169" i="165"/>
  <c r="H169" i="203" s="1"/>
  <c r="H168" i="165"/>
  <c r="H168" i="203" s="1"/>
  <c r="H154" i="165"/>
  <c r="H154" i="203" s="1"/>
  <c r="D115" i="188"/>
  <c r="E141" i="165" l="1"/>
  <c r="E141" i="203" s="1"/>
  <c r="E134" i="165"/>
  <c r="E133" i="165"/>
  <c r="E133" i="203" s="1"/>
  <c r="E129" i="165"/>
  <c r="E129" i="203" s="1"/>
  <c r="E126" i="165"/>
  <c r="E126" i="203" s="1"/>
  <c r="E125" i="165"/>
  <c r="E125" i="203" s="1"/>
  <c r="E124" i="165"/>
  <c r="E124" i="203" s="1"/>
  <c r="J31" i="184"/>
  <c r="J30" i="184" s="1"/>
  <c r="O30" i="184"/>
  <c r="N30" i="184"/>
  <c r="M30" i="184"/>
  <c r="L30" i="184"/>
  <c r="K30" i="184"/>
  <c r="J29" i="184"/>
  <c r="J28" i="184" s="1"/>
  <c r="O28" i="184"/>
  <c r="N28" i="184"/>
  <c r="M28" i="184"/>
  <c r="L28" i="184"/>
  <c r="K28" i="184"/>
  <c r="J27" i="184"/>
  <c r="J26" i="184" s="1"/>
  <c r="O26" i="184"/>
  <c r="N26" i="184"/>
  <c r="M26" i="184"/>
  <c r="L26" i="184"/>
  <c r="K26" i="184"/>
  <c r="J25" i="184"/>
  <c r="J24" i="184" s="1"/>
  <c r="O24" i="184"/>
  <c r="N24" i="184"/>
  <c r="M24" i="184"/>
  <c r="L24" i="184"/>
  <c r="K24" i="184"/>
  <c r="J23" i="184"/>
  <c r="J22" i="184" s="1"/>
  <c r="O22" i="184"/>
  <c r="N22" i="184"/>
  <c r="M22" i="184"/>
  <c r="L22" i="184"/>
  <c r="K22" i="184"/>
  <c r="E123" i="165"/>
  <c r="E123" i="203" s="1"/>
  <c r="E120" i="165"/>
  <c r="E120" i="203" s="1"/>
  <c r="O288" i="165"/>
  <c r="O288" i="203" s="1"/>
  <c r="O241" i="165"/>
  <c r="O241" i="203" s="1"/>
  <c r="E251" i="165"/>
  <c r="E261" i="165"/>
  <c r="E261" i="203" s="1"/>
  <c r="H242" i="165"/>
  <c r="H242" i="203" s="1"/>
  <c r="H241" i="165"/>
  <c r="H241" i="203" s="1"/>
  <c r="E241" i="165"/>
  <c r="E241" i="203" s="1"/>
  <c r="E257" i="165"/>
  <c r="E257" i="203" s="1"/>
  <c r="E256" i="165"/>
  <c r="E256" i="203" s="1"/>
  <c r="E255" i="165"/>
  <c r="E255" i="203" s="1"/>
  <c r="E248" i="165"/>
  <c r="E248" i="203" s="1"/>
  <c r="E246" i="165"/>
  <c r="E246" i="203" s="1"/>
  <c r="E245" i="165"/>
  <c r="E245" i="203" s="1"/>
  <c r="H250" i="165"/>
  <c r="H250" i="203" s="1"/>
  <c r="G250" i="165"/>
  <c r="G250" i="203" s="1"/>
  <c r="M17" i="107"/>
  <c r="I18" i="107"/>
  <c r="P18" i="107"/>
  <c r="P17" i="107"/>
  <c r="E229" i="165"/>
  <c r="E229" i="203" s="1"/>
  <c r="F225" i="165"/>
  <c r="F225" i="203" s="1"/>
  <c r="H224" i="165"/>
  <c r="H224" i="203" s="1"/>
  <c r="E224" i="165"/>
  <c r="E224" i="203" s="1"/>
  <c r="H221" i="165"/>
  <c r="H221" i="203" s="1"/>
  <c r="E221" i="165"/>
  <c r="E221" i="203" s="1"/>
  <c r="H220" i="165"/>
  <c r="H220" i="203" s="1"/>
  <c r="E220" i="165"/>
  <c r="E220" i="203" s="1"/>
  <c r="H219" i="165"/>
  <c r="H219" i="203" s="1"/>
  <c r="E217" i="165"/>
  <c r="E217" i="203" s="1"/>
  <c r="H217" i="165"/>
  <c r="H217" i="203" s="1"/>
  <c r="O224" i="165"/>
  <c r="O224" i="203" s="1"/>
  <c r="O217" i="165"/>
  <c r="O217" i="203" s="1"/>
  <c r="O221" i="165"/>
  <c r="O221" i="203" s="1"/>
  <c r="O220" i="165"/>
  <c r="O220" i="203" s="1"/>
  <c r="O219" i="165"/>
  <c r="O219" i="203" s="1"/>
  <c r="G116" i="167"/>
  <c r="O103" i="165"/>
  <c r="O103" i="203" s="1"/>
  <c r="I100" i="165"/>
  <c r="I100" i="203" s="1"/>
  <c r="N100" i="165"/>
  <c r="N100" i="203" s="1"/>
  <c r="M100" i="165"/>
  <c r="M100" i="203" s="1"/>
  <c r="L100" i="165"/>
  <c r="L100" i="203" s="1"/>
  <c r="K100" i="165"/>
  <c r="K100" i="203" s="1"/>
  <c r="H100" i="165"/>
  <c r="H100" i="203" s="1"/>
  <c r="G100" i="165"/>
  <c r="G100" i="203" s="1"/>
  <c r="F100" i="165"/>
  <c r="F100" i="203" s="1"/>
  <c r="O67" i="165"/>
  <c r="O67" i="203" s="1"/>
  <c r="O64" i="165"/>
  <c r="O64" i="203" s="1"/>
  <c r="O62" i="165"/>
  <c r="O62" i="203" s="1"/>
  <c r="N200" i="165"/>
  <c r="N200" i="203" s="1"/>
  <c r="N168" i="165"/>
  <c r="N168" i="203" s="1"/>
  <c r="O94" i="165"/>
  <c r="O91" i="165"/>
  <c r="I64" i="165"/>
  <c r="I64" i="203" s="1"/>
  <c r="E108" i="165"/>
  <c r="E108" i="203" s="1"/>
  <c r="O15" i="184"/>
  <c r="N15" i="184"/>
  <c r="M15" i="184"/>
  <c r="L15" i="184"/>
  <c r="K15" i="184"/>
  <c r="J15" i="184"/>
  <c r="J109" i="167"/>
  <c r="I109" i="167"/>
  <c r="G109" i="167" s="1"/>
  <c r="K109" i="167"/>
  <c r="J14" i="184"/>
  <c r="J13" i="184" s="1"/>
  <c r="O13" i="184"/>
  <c r="N13" i="184"/>
  <c r="M13" i="184"/>
  <c r="L13" i="184"/>
  <c r="K13" i="184"/>
  <c r="E251" i="203" l="1"/>
  <c r="H231" i="167"/>
  <c r="E134" i="203"/>
  <c r="K138" i="167"/>
  <c r="E219" i="165"/>
  <c r="E219" i="203" s="1"/>
  <c r="E242" i="165"/>
  <c r="J103" i="165"/>
  <c r="J103" i="203" s="1"/>
  <c r="H127" i="167"/>
  <c r="E225" i="165"/>
  <c r="E225" i="203" s="1"/>
  <c r="E250" i="165"/>
  <c r="M21" i="184"/>
  <c r="O21" i="184"/>
  <c r="N21" i="184"/>
  <c r="J21" i="184"/>
  <c r="K21" i="184"/>
  <c r="L21" i="184"/>
  <c r="E103" i="165"/>
  <c r="E103" i="203" s="1"/>
  <c r="M109" i="167"/>
  <c r="J94" i="184"/>
  <c r="J93" i="184" s="1"/>
  <c r="O93" i="184"/>
  <c r="N93" i="184"/>
  <c r="M93" i="184"/>
  <c r="L93" i="184"/>
  <c r="K93" i="184"/>
  <c r="E52" i="165"/>
  <c r="E52" i="203" s="1"/>
  <c r="I56" i="165"/>
  <c r="I56" i="203" s="1"/>
  <c r="I55" i="165"/>
  <c r="I55" i="203" s="1"/>
  <c r="E67" i="165"/>
  <c r="E62" i="165"/>
  <c r="E62" i="203" s="1"/>
  <c r="E68" i="165"/>
  <c r="E68" i="203" s="1"/>
  <c r="E64" i="165"/>
  <c r="E64" i="203" s="1"/>
  <c r="E72" i="165"/>
  <c r="E72" i="203" s="1"/>
  <c r="E70" i="165"/>
  <c r="E70" i="203" s="1"/>
  <c r="H52" i="165"/>
  <c r="H52" i="203" s="1"/>
  <c r="H72" i="165"/>
  <c r="H72" i="203" s="1"/>
  <c r="H70" i="165"/>
  <c r="H70" i="203" s="1"/>
  <c r="H67" i="165"/>
  <c r="H67" i="203" s="1"/>
  <c r="H62" i="165"/>
  <c r="H62" i="203" s="1"/>
  <c r="H56" i="165"/>
  <c r="H56" i="203" s="1"/>
  <c r="H55" i="165"/>
  <c r="H55" i="203" s="1"/>
  <c r="H54" i="165"/>
  <c r="H54" i="203" s="1"/>
  <c r="E101" i="165"/>
  <c r="E101" i="203" s="1"/>
  <c r="G70" i="165"/>
  <c r="G70" i="203" s="1"/>
  <c r="G56" i="165"/>
  <c r="G56" i="203" s="1"/>
  <c r="D117" i="170"/>
  <c r="M45" i="167"/>
  <c r="G46" i="167"/>
  <c r="E48" i="165"/>
  <c r="E48" i="203" s="1"/>
  <c r="E32" i="165"/>
  <c r="E32" i="203" s="1"/>
  <c r="E46" i="165"/>
  <c r="E46" i="203" s="1"/>
  <c r="E41" i="165"/>
  <c r="E41" i="203" s="1"/>
  <c r="M25" i="167"/>
  <c r="H28" i="167"/>
  <c r="E21" i="165"/>
  <c r="E21" i="203" s="1"/>
  <c r="E34" i="165"/>
  <c r="E34" i="203" s="1"/>
  <c r="E40" i="165"/>
  <c r="E40" i="203" s="1"/>
  <c r="E29" i="165"/>
  <c r="E29" i="203" s="1"/>
  <c r="E26" i="165"/>
  <c r="E26" i="203" s="1"/>
  <c r="E37" i="165"/>
  <c r="E37" i="203" s="1"/>
  <c r="D27" i="108"/>
  <c r="E242" i="203" l="1"/>
  <c r="H224" i="167"/>
  <c r="E67" i="203"/>
  <c r="H85" i="167"/>
  <c r="E250" i="203"/>
  <c r="H229" i="167"/>
  <c r="E55" i="165"/>
  <c r="E55" i="203" s="1"/>
  <c r="E56" i="165"/>
  <c r="E56" i="203" s="1"/>
  <c r="P103" i="165"/>
  <c r="P103" i="203" s="1"/>
  <c r="E54" i="165"/>
  <c r="E54" i="203" s="1"/>
  <c r="E43" i="165"/>
  <c r="E43" i="203" s="1"/>
  <c r="E18" i="165"/>
  <c r="E18" i="203" s="1"/>
  <c r="M28" i="107" l="1"/>
  <c r="E460" i="165"/>
  <c r="E459" i="203" s="1"/>
  <c r="E462" i="165"/>
  <c r="E461" i="203" s="1"/>
  <c r="E468" i="165"/>
  <c r="E467" i="203" s="1"/>
  <c r="E454" i="165"/>
  <c r="E453" i="203" s="1"/>
  <c r="E445" i="165"/>
  <c r="E444" i="203" s="1"/>
  <c r="E433" i="165"/>
  <c r="E432" i="203" s="1"/>
  <c r="E342" i="165"/>
  <c r="E341" i="203" s="1"/>
  <c r="E307" i="165"/>
  <c r="E307" i="203" s="1"/>
  <c r="E275" i="165"/>
  <c r="E275" i="203" s="1"/>
  <c r="E448" i="165"/>
  <c r="E447" i="203" s="1"/>
  <c r="E441" i="165"/>
  <c r="E440" i="203" s="1"/>
  <c r="J82" i="184"/>
  <c r="J81" i="184" s="1"/>
  <c r="O81" i="184"/>
  <c r="N81" i="184"/>
  <c r="M81" i="184"/>
  <c r="L81" i="184"/>
  <c r="K81" i="184"/>
  <c r="G362" i="167"/>
  <c r="N394" i="165"/>
  <c r="N393" i="203" s="1"/>
  <c r="M394" i="165"/>
  <c r="M393" i="203" s="1"/>
  <c r="L394" i="165"/>
  <c r="L393" i="203" s="1"/>
  <c r="K394" i="165"/>
  <c r="K393" i="203" s="1"/>
  <c r="I394" i="165"/>
  <c r="I393" i="203" s="1"/>
  <c r="H394" i="165"/>
  <c r="H393" i="203" s="1"/>
  <c r="G394" i="165"/>
  <c r="G393" i="203" s="1"/>
  <c r="F394" i="165"/>
  <c r="F393" i="203" s="1"/>
  <c r="E394" i="165"/>
  <c r="E393" i="203" s="1"/>
  <c r="O395" i="165"/>
  <c r="O394" i="203" s="1"/>
  <c r="E407" i="165"/>
  <c r="E406" i="203" s="1"/>
  <c r="E400" i="165"/>
  <c r="E399" i="203" s="1"/>
  <c r="E398" i="165"/>
  <c r="E397" i="203" s="1"/>
  <c r="G337" i="167"/>
  <c r="O361" i="165"/>
  <c r="N360" i="165"/>
  <c r="M360" i="165"/>
  <c r="L360" i="165"/>
  <c r="K360" i="165"/>
  <c r="I360" i="165"/>
  <c r="H360" i="165"/>
  <c r="G360" i="165"/>
  <c r="F360" i="165"/>
  <c r="E360" i="165"/>
  <c r="J76" i="184"/>
  <c r="J75" i="184" s="1"/>
  <c r="O75" i="184"/>
  <c r="N75" i="184"/>
  <c r="M75" i="184"/>
  <c r="L75" i="184"/>
  <c r="K75" i="184"/>
  <c r="J89" i="184"/>
  <c r="J88" i="184" s="1"/>
  <c r="O88" i="184"/>
  <c r="N88" i="184"/>
  <c r="M88" i="184"/>
  <c r="L88" i="184"/>
  <c r="K88" i="184"/>
  <c r="J87" i="184"/>
  <c r="J86" i="184" s="1"/>
  <c r="O86" i="184"/>
  <c r="N86" i="184"/>
  <c r="M86" i="184"/>
  <c r="L86" i="184"/>
  <c r="K86" i="184"/>
  <c r="G343" i="167"/>
  <c r="G332" i="167"/>
  <c r="O349" i="165"/>
  <c r="O348" i="203" s="1"/>
  <c r="N348" i="165"/>
  <c r="N347" i="203" s="1"/>
  <c r="M348" i="165"/>
  <c r="M347" i="203" s="1"/>
  <c r="L348" i="165"/>
  <c r="L347" i="203" s="1"/>
  <c r="I348" i="165"/>
  <c r="I347" i="203" s="1"/>
  <c r="H348" i="165"/>
  <c r="H347" i="203" s="1"/>
  <c r="G348" i="165"/>
  <c r="G347" i="203" s="1"/>
  <c r="F348" i="165"/>
  <c r="F347" i="203" s="1"/>
  <c r="J41" i="184"/>
  <c r="J40" i="184" s="1"/>
  <c r="O40" i="184"/>
  <c r="N40" i="184"/>
  <c r="M40" i="184"/>
  <c r="L40" i="184"/>
  <c r="K40" i="184"/>
  <c r="J52" i="184"/>
  <c r="J51" i="184" s="1"/>
  <c r="J50" i="184" s="1"/>
  <c r="O51" i="184"/>
  <c r="O50" i="184" s="1"/>
  <c r="N51" i="184"/>
  <c r="N50" i="184" s="1"/>
  <c r="M51" i="184"/>
  <c r="M50" i="184" s="1"/>
  <c r="L51" i="184"/>
  <c r="L50" i="184" s="1"/>
  <c r="K51" i="184"/>
  <c r="K50" i="184" s="1"/>
  <c r="G336" i="167"/>
  <c r="E357" i="165"/>
  <c r="F357" i="165"/>
  <c r="G357" i="165"/>
  <c r="H357" i="165"/>
  <c r="I357" i="165"/>
  <c r="K357" i="165"/>
  <c r="L357" i="165"/>
  <c r="M357" i="165"/>
  <c r="N357" i="165"/>
  <c r="O359" i="165"/>
  <c r="O358" i="203" s="1"/>
  <c r="J34" i="184"/>
  <c r="J33" i="184" s="1"/>
  <c r="J32" i="184" s="1"/>
  <c r="O33" i="184"/>
  <c r="O32" i="184" s="1"/>
  <c r="N33" i="184"/>
  <c r="N32" i="184" s="1"/>
  <c r="M33" i="184"/>
  <c r="M32" i="184" s="1"/>
  <c r="L33" i="184"/>
  <c r="L32" i="184" s="1"/>
  <c r="K33" i="184"/>
  <c r="K32" i="184" s="1"/>
  <c r="G333" i="167"/>
  <c r="N352" i="165"/>
  <c r="N351" i="203" s="1"/>
  <c r="M352" i="165"/>
  <c r="M351" i="203" s="1"/>
  <c r="L352" i="165"/>
  <c r="L351" i="203" s="1"/>
  <c r="K352" i="165"/>
  <c r="K351" i="203" s="1"/>
  <c r="I352" i="165"/>
  <c r="I351" i="203" s="1"/>
  <c r="H352" i="165"/>
  <c r="H351" i="203" s="1"/>
  <c r="G352" i="165"/>
  <c r="G351" i="203" s="1"/>
  <c r="F352" i="165"/>
  <c r="F351" i="203" s="1"/>
  <c r="E352" i="165"/>
  <c r="E351" i="203" s="1"/>
  <c r="O353" i="165"/>
  <c r="O352" i="203" s="1"/>
  <c r="J96" i="184"/>
  <c r="J95" i="184" s="1"/>
  <c r="J92" i="184" s="1"/>
  <c r="O95" i="184"/>
  <c r="O92" i="184" s="1"/>
  <c r="N95" i="184"/>
  <c r="N92" i="184" s="1"/>
  <c r="M95" i="184"/>
  <c r="M92" i="184" s="1"/>
  <c r="L95" i="184"/>
  <c r="L92" i="184" s="1"/>
  <c r="K95" i="184"/>
  <c r="K92" i="184" s="1"/>
  <c r="J18" i="184"/>
  <c r="J17" i="184" s="1"/>
  <c r="J12" i="184" s="1"/>
  <c r="O17" i="184"/>
  <c r="O12" i="184" s="1"/>
  <c r="N17" i="184"/>
  <c r="N12" i="184" s="1"/>
  <c r="M17" i="184"/>
  <c r="M12" i="184" s="1"/>
  <c r="L17" i="184"/>
  <c r="L12" i="184" s="1"/>
  <c r="K17" i="184"/>
  <c r="K12" i="184" s="1"/>
  <c r="J85" i="184"/>
  <c r="J84" i="184" s="1"/>
  <c r="O84" i="184"/>
  <c r="N84" i="184"/>
  <c r="M84" i="184"/>
  <c r="L84" i="184"/>
  <c r="K84" i="184"/>
  <c r="J65" i="184"/>
  <c r="J64" i="184" s="1"/>
  <c r="O64" i="184"/>
  <c r="N64" i="184"/>
  <c r="M64" i="184"/>
  <c r="L64" i="184"/>
  <c r="K64" i="184"/>
  <c r="G301" i="167"/>
  <c r="O323" i="165"/>
  <c r="O323" i="203" s="1"/>
  <c r="O322" i="165"/>
  <c r="O322" i="203" s="1"/>
  <c r="J61" i="184"/>
  <c r="J60" i="184" s="1"/>
  <c r="N60" i="184"/>
  <c r="M60" i="184"/>
  <c r="L60" i="184"/>
  <c r="K60" i="184"/>
  <c r="J74" i="184"/>
  <c r="J73" i="184" s="1"/>
  <c r="O73" i="184"/>
  <c r="N73" i="184"/>
  <c r="M73" i="184"/>
  <c r="L73" i="184"/>
  <c r="K73" i="184"/>
  <c r="J59" i="184"/>
  <c r="J58" i="184" s="1"/>
  <c r="N58" i="184"/>
  <c r="M58" i="184"/>
  <c r="L58" i="184"/>
  <c r="K58" i="184"/>
  <c r="J63" i="184"/>
  <c r="J62" i="184" s="1"/>
  <c r="N62" i="184"/>
  <c r="M62" i="184"/>
  <c r="L62" i="184"/>
  <c r="K62" i="184"/>
  <c r="O54" i="184"/>
  <c r="J57" i="184"/>
  <c r="J56" i="184" s="1"/>
  <c r="N56" i="184"/>
  <c r="M56" i="184"/>
  <c r="L56" i="184"/>
  <c r="K56" i="184"/>
  <c r="J55" i="184"/>
  <c r="J54" i="184" s="1"/>
  <c r="N54" i="184"/>
  <c r="M54" i="184"/>
  <c r="L54" i="184"/>
  <c r="K54" i="184"/>
  <c r="J67" i="184"/>
  <c r="J66" i="184" s="1"/>
  <c r="N66" i="184"/>
  <c r="M66" i="184"/>
  <c r="L66" i="184"/>
  <c r="K66" i="184"/>
  <c r="E337" i="165"/>
  <c r="G354" i="167"/>
  <c r="O385" i="165"/>
  <c r="O384" i="203" s="1"/>
  <c r="N384" i="165"/>
  <c r="N383" i="203" s="1"/>
  <c r="M384" i="165"/>
  <c r="M383" i="203" s="1"/>
  <c r="L384" i="165"/>
  <c r="L383" i="203" s="1"/>
  <c r="I384" i="165"/>
  <c r="I383" i="203" s="1"/>
  <c r="H384" i="165"/>
  <c r="H383" i="203" s="1"/>
  <c r="G384" i="165"/>
  <c r="G383" i="203" s="1"/>
  <c r="F384" i="165"/>
  <c r="F383" i="203" s="1"/>
  <c r="E384" i="165"/>
  <c r="E383" i="203" s="1"/>
  <c r="E332" i="165"/>
  <c r="E332" i="203" s="1"/>
  <c r="G293" i="167"/>
  <c r="E317" i="165"/>
  <c r="E317" i="203" s="1"/>
  <c r="E316" i="165"/>
  <c r="E316" i="203" s="1"/>
  <c r="E315" i="165"/>
  <c r="E315" i="203" s="1"/>
  <c r="E313" i="165"/>
  <c r="E313" i="203" s="1"/>
  <c r="E312" i="165"/>
  <c r="E312" i="203" s="1"/>
  <c r="E309" i="165"/>
  <c r="E309" i="203" s="1"/>
  <c r="E380" i="165"/>
  <c r="E379" i="203" s="1"/>
  <c r="J39" i="184"/>
  <c r="J38" i="184" s="1"/>
  <c r="O38" i="184"/>
  <c r="N38" i="184"/>
  <c r="M38" i="184"/>
  <c r="L38" i="184"/>
  <c r="K38" i="184"/>
  <c r="K36" i="184"/>
  <c r="G192" i="167"/>
  <c r="J49" i="184"/>
  <c r="J48" i="184" s="1"/>
  <c r="O48" i="184"/>
  <c r="N48" i="184"/>
  <c r="M48" i="184"/>
  <c r="L48" i="184"/>
  <c r="K48" i="184"/>
  <c r="J47" i="184"/>
  <c r="J46" i="184" s="1"/>
  <c r="O46" i="184"/>
  <c r="N46" i="184"/>
  <c r="M46" i="184"/>
  <c r="L46" i="184"/>
  <c r="K46" i="184"/>
  <c r="E200" i="165"/>
  <c r="E200" i="203" s="1"/>
  <c r="E210" i="165"/>
  <c r="E210" i="203" s="1"/>
  <c r="J43" i="184"/>
  <c r="J42" i="184" s="1"/>
  <c r="O42" i="184"/>
  <c r="N42" i="184"/>
  <c r="M42" i="184"/>
  <c r="L42" i="184"/>
  <c r="K42" i="184"/>
  <c r="K193" i="167"/>
  <c r="E171" i="165"/>
  <c r="E171" i="203" s="1"/>
  <c r="H165" i="167"/>
  <c r="E166" i="165"/>
  <c r="E166" i="203" s="1"/>
  <c r="E177" i="165"/>
  <c r="E177" i="203" s="1"/>
  <c r="E164" i="165"/>
  <c r="E164" i="203" s="1"/>
  <c r="E198" i="165"/>
  <c r="E198" i="203" s="1"/>
  <c r="E182" i="165"/>
  <c r="E182" i="203" s="1"/>
  <c r="E175" i="165"/>
  <c r="E175" i="203" s="1"/>
  <c r="H174" i="165"/>
  <c r="H174" i="203" s="1"/>
  <c r="E174" i="165"/>
  <c r="H173" i="165"/>
  <c r="H173" i="203" s="1"/>
  <c r="E173" i="165"/>
  <c r="E173" i="203" s="1"/>
  <c r="E169" i="165"/>
  <c r="E169" i="203" s="1"/>
  <c r="H164" i="167"/>
  <c r="H162" i="167"/>
  <c r="E168" i="165"/>
  <c r="E168" i="203" s="1"/>
  <c r="E165" i="165"/>
  <c r="E165" i="203" s="1"/>
  <c r="E163" i="165"/>
  <c r="E163" i="203" s="1"/>
  <c r="H161" i="167"/>
  <c r="H160" i="167"/>
  <c r="H159" i="167"/>
  <c r="E162" i="165"/>
  <c r="E162" i="203" s="1"/>
  <c r="E161" i="165"/>
  <c r="E161" i="203" s="1"/>
  <c r="E201" i="165"/>
  <c r="E201" i="203" s="1"/>
  <c r="E180" i="165"/>
  <c r="E178" i="165"/>
  <c r="E178" i="203" s="1"/>
  <c r="E160" i="165"/>
  <c r="E160" i="203" s="1"/>
  <c r="E159" i="165"/>
  <c r="E159" i="203" s="1"/>
  <c r="E156" i="165"/>
  <c r="E156" i="203" s="1"/>
  <c r="E154" i="165"/>
  <c r="E154" i="203" s="1"/>
  <c r="E414" i="165"/>
  <c r="E413" i="203" s="1"/>
  <c r="E417" i="165"/>
  <c r="E416" i="203" s="1"/>
  <c r="E419" i="165"/>
  <c r="E418" i="203" s="1"/>
  <c r="H333" i="165"/>
  <c r="H333" i="203" s="1"/>
  <c r="E333" i="165"/>
  <c r="E333" i="203" s="1"/>
  <c r="O275" i="165"/>
  <c r="O275" i="203" s="1"/>
  <c r="E285" i="165"/>
  <c r="E285" i="203" s="1"/>
  <c r="E337" i="203" l="1"/>
  <c r="E336" i="165"/>
  <c r="N356" i="165"/>
  <c r="N355" i="203" s="1"/>
  <c r="N356" i="203"/>
  <c r="E179" i="165"/>
  <c r="E179" i="203" s="1"/>
  <c r="E180" i="203"/>
  <c r="M356" i="165"/>
  <c r="M355" i="203" s="1"/>
  <c r="M356" i="203"/>
  <c r="L356" i="165"/>
  <c r="L355" i="203" s="1"/>
  <c r="L356" i="203"/>
  <c r="H173" i="167"/>
  <c r="E174" i="203"/>
  <c r="K356" i="165"/>
  <c r="K355" i="203" s="1"/>
  <c r="K356" i="203"/>
  <c r="I356" i="165"/>
  <c r="I355" i="203" s="1"/>
  <c r="I356" i="203"/>
  <c r="H356" i="165"/>
  <c r="H355" i="203" s="1"/>
  <c r="H356" i="203"/>
  <c r="G356" i="165"/>
  <c r="G355" i="203" s="1"/>
  <c r="G356" i="203"/>
  <c r="F356" i="165"/>
  <c r="F355" i="203" s="1"/>
  <c r="F356" i="203"/>
  <c r="E356" i="165"/>
  <c r="E355" i="203" s="1"/>
  <c r="E356" i="203"/>
  <c r="L83" i="184"/>
  <c r="H171" i="167"/>
  <c r="H347" i="165"/>
  <c r="H346" i="203" s="1"/>
  <c r="K35" i="184"/>
  <c r="G347" i="165"/>
  <c r="G346" i="203" s="1"/>
  <c r="I347" i="165"/>
  <c r="I346" i="203" s="1"/>
  <c r="L347" i="165"/>
  <c r="L346" i="203" s="1"/>
  <c r="E399" i="165"/>
  <c r="E398" i="203" s="1"/>
  <c r="E391" i="165"/>
  <c r="E390" i="203" s="1"/>
  <c r="J359" i="165"/>
  <c r="J358" i="203" s="1"/>
  <c r="M347" i="165"/>
  <c r="M346" i="203" s="1"/>
  <c r="J323" i="165"/>
  <c r="J323" i="203" s="1"/>
  <c r="N347" i="165"/>
  <c r="N346" i="203" s="1"/>
  <c r="J385" i="165"/>
  <c r="J384" i="203" s="1"/>
  <c r="H182" i="167"/>
  <c r="J349" i="165"/>
  <c r="J348" i="203" s="1"/>
  <c r="J353" i="165"/>
  <c r="J352" i="203" s="1"/>
  <c r="J361" i="165"/>
  <c r="J360" i="165" s="1"/>
  <c r="H196" i="167"/>
  <c r="H163" i="167"/>
  <c r="H280" i="167"/>
  <c r="H281" i="167"/>
  <c r="F347" i="165"/>
  <c r="F346" i="203" s="1"/>
  <c r="H170" i="167"/>
  <c r="K177" i="167"/>
  <c r="H176" i="167"/>
  <c r="K180" i="167"/>
  <c r="M193" i="167"/>
  <c r="J395" i="165"/>
  <c r="H183" i="167"/>
  <c r="H184" i="167"/>
  <c r="N53" i="184"/>
  <c r="J53" i="184"/>
  <c r="O53" i="184"/>
  <c r="K53" i="184"/>
  <c r="L53" i="184"/>
  <c r="M53" i="184"/>
  <c r="K83" i="184"/>
  <c r="M83" i="184"/>
  <c r="N83" i="184"/>
  <c r="O83" i="184"/>
  <c r="J83" i="184"/>
  <c r="O394" i="165"/>
  <c r="O393" i="203" s="1"/>
  <c r="O360" i="165"/>
  <c r="K186" i="167"/>
  <c r="E172" i="165"/>
  <c r="E172" i="203" s="1"/>
  <c r="E158" i="165"/>
  <c r="E158" i="203" s="1"/>
  <c r="E199" i="165"/>
  <c r="E199" i="203" s="1"/>
  <c r="P395" i="165" l="1"/>
  <c r="P394" i="203" s="1"/>
  <c r="J394" i="203"/>
  <c r="P361" i="165"/>
  <c r="P353" i="165"/>
  <c r="P352" i="203" s="1"/>
  <c r="P359" i="165"/>
  <c r="P358" i="203" s="1"/>
  <c r="P323" i="165"/>
  <c r="P323" i="203" s="1"/>
  <c r="P385" i="165"/>
  <c r="P384" i="203" s="1"/>
  <c r="P349" i="165"/>
  <c r="P348" i="203" s="1"/>
  <c r="P394" i="165"/>
  <c r="P393" i="203" s="1"/>
  <c r="J394" i="165"/>
  <c r="J393" i="203" s="1"/>
  <c r="K97" i="184"/>
  <c r="P98" i="184" s="1"/>
  <c r="J37" i="184"/>
  <c r="J36" i="184" s="1"/>
  <c r="J35" i="184" s="1"/>
  <c r="L36" i="184"/>
  <c r="L35" i="184" s="1"/>
  <c r="M36" i="184"/>
  <c r="M35" i="184" s="1"/>
  <c r="N36" i="184"/>
  <c r="N35" i="184" s="1"/>
  <c r="O36" i="184"/>
  <c r="O35" i="184" s="1"/>
  <c r="G248" i="167"/>
  <c r="O280" i="165"/>
  <c r="O280" i="203" s="1"/>
  <c r="N278" i="165"/>
  <c r="N278" i="203" s="1"/>
  <c r="M278" i="165"/>
  <c r="M278" i="203" s="1"/>
  <c r="L278" i="165"/>
  <c r="L278" i="203" s="1"/>
  <c r="K278" i="165"/>
  <c r="K278" i="203" s="1"/>
  <c r="I278" i="165"/>
  <c r="I278" i="203" s="1"/>
  <c r="H278" i="165"/>
  <c r="H278" i="203" s="1"/>
  <c r="G278" i="165"/>
  <c r="G278" i="203" s="1"/>
  <c r="F278" i="165"/>
  <c r="F278" i="203" s="1"/>
  <c r="E278" i="165"/>
  <c r="E278" i="203" s="1"/>
  <c r="E301" i="165"/>
  <c r="E301" i="203" s="1"/>
  <c r="E289" i="165"/>
  <c r="E289" i="203" s="1"/>
  <c r="E288" i="165"/>
  <c r="E288" i="203" s="1"/>
  <c r="E287" i="165"/>
  <c r="E287" i="203" s="1"/>
  <c r="E286" i="165"/>
  <c r="E286" i="203" s="1"/>
  <c r="E283" i="165"/>
  <c r="E283" i="203" s="1"/>
  <c r="E145" i="165"/>
  <c r="E142" i="165" l="1"/>
  <c r="E142" i="203" s="1"/>
  <c r="E145" i="203"/>
  <c r="J280" i="165"/>
  <c r="J280" i="203" s="1"/>
  <c r="P360" i="165"/>
  <c r="J97" i="184"/>
  <c r="O97" i="184"/>
  <c r="N97" i="184"/>
  <c r="M97" i="184"/>
  <c r="L97" i="184"/>
  <c r="P280" i="165" l="1"/>
  <c r="P280" i="203" s="1"/>
  <c r="I17" i="165"/>
  <c r="I17" i="203" s="1"/>
  <c r="L17" i="165"/>
  <c r="L17" i="203" s="1"/>
  <c r="M17" i="165"/>
  <c r="M17" i="203" s="1"/>
  <c r="N17" i="165"/>
  <c r="N17" i="203" s="1"/>
  <c r="G17" i="165"/>
  <c r="G17" i="203" s="1"/>
  <c r="K17" i="165"/>
  <c r="K17" i="203" s="1"/>
  <c r="O19" i="165"/>
  <c r="O20" i="165"/>
  <c r="O20" i="203" s="1"/>
  <c r="O21" i="165"/>
  <c r="O21" i="203" s="1"/>
  <c r="G23" i="165"/>
  <c r="G23" i="203" s="1"/>
  <c r="H23" i="165"/>
  <c r="H23" i="203" s="1"/>
  <c r="I23" i="165"/>
  <c r="I23" i="203" s="1"/>
  <c r="K23" i="165"/>
  <c r="K23" i="203" s="1"/>
  <c r="L23" i="165"/>
  <c r="L23" i="203" s="1"/>
  <c r="M23" i="165"/>
  <c r="M23" i="203" s="1"/>
  <c r="N23" i="165"/>
  <c r="N23" i="203" s="1"/>
  <c r="O23" i="165"/>
  <c r="O23" i="203" s="1"/>
  <c r="F23" i="165"/>
  <c r="F23" i="203" s="1"/>
  <c r="J24" i="165"/>
  <c r="J24" i="203" s="1"/>
  <c r="G25" i="165"/>
  <c r="G25" i="203" s="1"/>
  <c r="H25" i="165"/>
  <c r="H25" i="203" s="1"/>
  <c r="I25" i="165"/>
  <c r="I25" i="203" s="1"/>
  <c r="L25" i="165"/>
  <c r="L25" i="203" s="1"/>
  <c r="M25" i="165"/>
  <c r="M25" i="203" s="1"/>
  <c r="N25" i="165"/>
  <c r="N25" i="203" s="1"/>
  <c r="G28" i="165"/>
  <c r="G28" i="203" s="1"/>
  <c r="H28" i="165"/>
  <c r="H28" i="203" s="1"/>
  <c r="I28" i="165"/>
  <c r="I28" i="203" s="1"/>
  <c r="L28" i="165"/>
  <c r="L28" i="203" s="1"/>
  <c r="M28" i="165"/>
  <c r="M28" i="203" s="1"/>
  <c r="N28" i="165"/>
  <c r="N28" i="203" s="1"/>
  <c r="F28" i="165"/>
  <c r="F28" i="203" s="1"/>
  <c r="E30" i="165"/>
  <c r="E30" i="203" s="1"/>
  <c r="J30" i="165"/>
  <c r="J30" i="203" s="1"/>
  <c r="O32" i="165"/>
  <c r="O32" i="203" s="1"/>
  <c r="O33" i="165"/>
  <c r="O34" i="165"/>
  <c r="O34" i="203" s="1"/>
  <c r="G35" i="165"/>
  <c r="G35" i="203" s="1"/>
  <c r="H35" i="165"/>
  <c r="H35" i="203" s="1"/>
  <c r="I35" i="165"/>
  <c r="I35" i="203" s="1"/>
  <c r="K35" i="165"/>
  <c r="K35" i="203" s="1"/>
  <c r="M35" i="165"/>
  <c r="M35" i="203" s="1"/>
  <c r="N35" i="165"/>
  <c r="N35" i="203" s="1"/>
  <c r="O35" i="165"/>
  <c r="O35" i="203" s="1"/>
  <c r="F35" i="165"/>
  <c r="F35" i="203" s="1"/>
  <c r="J37" i="165"/>
  <c r="J37" i="203" s="1"/>
  <c r="G39" i="165"/>
  <c r="G39" i="203" s="1"/>
  <c r="H39" i="165"/>
  <c r="H39" i="203" s="1"/>
  <c r="I39" i="165"/>
  <c r="I39" i="203" s="1"/>
  <c r="L39" i="165"/>
  <c r="L39" i="203" s="1"/>
  <c r="M39" i="165"/>
  <c r="M39" i="203" s="1"/>
  <c r="N39" i="165"/>
  <c r="N39" i="203" s="1"/>
  <c r="O41" i="165"/>
  <c r="O41" i="203" s="1"/>
  <c r="F42" i="165"/>
  <c r="F42" i="203" s="1"/>
  <c r="G42" i="165"/>
  <c r="G42" i="203" s="1"/>
  <c r="H42" i="165"/>
  <c r="H42" i="203" s="1"/>
  <c r="I42" i="165"/>
  <c r="I42" i="203" s="1"/>
  <c r="L42" i="165"/>
  <c r="L42" i="203" s="1"/>
  <c r="M42" i="165"/>
  <c r="M42" i="203" s="1"/>
  <c r="N42" i="165"/>
  <c r="N42" i="203" s="1"/>
  <c r="E42" i="165"/>
  <c r="E42" i="203" s="1"/>
  <c r="K42" i="165"/>
  <c r="K42" i="203" s="1"/>
  <c r="G45" i="165"/>
  <c r="G45" i="203" s="1"/>
  <c r="H45" i="165"/>
  <c r="H45" i="203" s="1"/>
  <c r="I45" i="165"/>
  <c r="I45" i="203" s="1"/>
  <c r="L45" i="165"/>
  <c r="L45" i="203" s="1"/>
  <c r="M45" i="165"/>
  <c r="M45" i="203" s="1"/>
  <c r="N45" i="165"/>
  <c r="N45" i="203" s="1"/>
  <c r="O46" i="165"/>
  <c r="O46" i="203" s="1"/>
  <c r="K47" i="165"/>
  <c r="K47" i="203" s="1"/>
  <c r="O48" i="165"/>
  <c r="O48" i="203" s="1"/>
  <c r="I53" i="165"/>
  <c r="I53" i="203" s="1"/>
  <c r="M53" i="165"/>
  <c r="M53" i="203" s="1"/>
  <c r="O55" i="165"/>
  <c r="O55" i="203" s="1"/>
  <c r="O56" i="165"/>
  <c r="O56" i="203" s="1"/>
  <c r="H57" i="165"/>
  <c r="H57" i="203" s="1"/>
  <c r="I57" i="165"/>
  <c r="I57" i="203" s="1"/>
  <c r="K57" i="165"/>
  <c r="K57" i="203" s="1"/>
  <c r="L57" i="165"/>
  <c r="L57" i="203" s="1"/>
  <c r="M57" i="165"/>
  <c r="M57" i="203" s="1"/>
  <c r="N57" i="165"/>
  <c r="N57" i="203" s="1"/>
  <c r="O58" i="165"/>
  <c r="O58" i="203" s="1"/>
  <c r="J59" i="165"/>
  <c r="J59" i="203" s="1"/>
  <c r="F60" i="165"/>
  <c r="F60" i="203" s="1"/>
  <c r="G60" i="165"/>
  <c r="G60" i="203" s="1"/>
  <c r="H60" i="165"/>
  <c r="H60" i="203" s="1"/>
  <c r="I60" i="165"/>
  <c r="I60" i="203" s="1"/>
  <c r="K60" i="165"/>
  <c r="K60" i="203" s="1"/>
  <c r="L60" i="165"/>
  <c r="L60" i="203" s="1"/>
  <c r="M60" i="165"/>
  <c r="M60" i="203" s="1"/>
  <c r="N60" i="165"/>
  <c r="N60" i="203" s="1"/>
  <c r="E61" i="165"/>
  <c r="E61" i="203" s="1"/>
  <c r="O61" i="165"/>
  <c r="O61" i="203" s="1"/>
  <c r="J62" i="165"/>
  <c r="J62" i="203" s="1"/>
  <c r="I63" i="165"/>
  <c r="I63" i="203" s="1"/>
  <c r="L63" i="165"/>
  <c r="L63" i="203" s="1"/>
  <c r="M63" i="165"/>
  <c r="M63" i="203" s="1"/>
  <c r="N63" i="165"/>
  <c r="N63" i="203" s="1"/>
  <c r="H63" i="165"/>
  <c r="H63" i="203" s="1"/>
  <c r="K63" i="165"/>
  <c r="K63" i="203" s="1"/>
  <c r="J65" i="165"/>
  <c r="J65" i="203" s="1"/>
  <c r="I66" i="165"/>
  <c r="I66" i="203" s="1"/>
  <c r="L66" i="165"/>
  <c r="L66" i="203" s="1"/>
  <c r="M66" i="165"/>
  <c r="M66" i="203" s="1"/>
  <c r="N66" i="165"/>
  <c r="N66" i="203" s="1"/>
  <c r="G66" i="165"/>
  <c r="G66" i="203" s="1"/>
  <c r="O68" i="165"/>
  <c r="O68" i="203" s="1"/>
  <c r="I69" i="165"/>
  <c r="I69" i="203" s="1"/>
  <c r="K69" i="165"/>
  <c r="K69" i="203" s="1"/>
  <c r="L69" i="165"/>
  <c r="L69" i="203" s="1"/>
  <c r="M69" i="165"/>
  <c r="M69" i="203" s="1"/>
  <c r="N69" i="165"/>
  <c r="N69" i="203" s="1"/>
  <c r="H69" i="165"/>
  <c r="H69" i="203" s="1"/>
  <c r="O70" i="165"/>
  <c r="O70" i="203" s="1"/>
  <c r="O71" i="165"/>
  <c r="O71" i="203" s="1"/>
  <c r="O72" i="165"/>
  <c r="O72" i="203" s="1"/>
  <c r="F73" i="165"/>
  <c r="F73" i="203" s="1"/>
  <c r="G73" i="165"/>
  <c r="G73" i="203" s="1"/>
  <c r="H73" i="165"/>
  <c r="H73" i="203" s="1"/>
  <c r="I73" i="165"/>
  <c r="I73" i="203" s="1"/>
  <c r="K73" i="165"/>
  <c r="K73" i="203" s="1"/>
  <c r="L73" i="165"/>
  <c r="L73" i="203" s="1"/>
  <c r="M73" i="165"/>
  <c r="M73" i="203" s="1"/>
  <c r="N73" i="165"/>
  <c r="N73" i="203" s="1"/>
  <c r="E74" i="165"/>
  <c r="E74" i="203" s="1"/>
  <c r="O74" i="165"/>
  <c r="O74" i="203" s="1"/>
  <c r="E75" i="165"/>
  <c r="E75" i="203" s="1"/>
  <c r="O75" i="165"/>
  <c r="O75" i="203" s="1"/>
  <c r="O76" i="165"/>
  <c r="O76" i="203" s="1"/>
  <c r="O77" i="165"/>
  <c r="O77" i="203" s="1"/>
  <c r="O78" i="165"/>
  <c r="O78" i="203" s="1"/>
  <c r="E79" i="165"/>
  <c r="E79" i="203" s="1"/>
  <c r="O79" i="165"/>
  <c r="O79" i="203" s="1"/>
  <c r="G80" i="165"/>
  <c r="G80" i="203" s="1"/>
  <c r="H80" i="165"/>
  <c r="H80" i="203" s="1"/>
  <c r="I80" i="165"/>
  <c r="I80" i="203" s="1"/>
  <c r="K80" i="165"/>
  <c r="K80" i="203" s="1"/>
  <c r="L80" i="165"/>
  <c r="L80" i="203" s="1"/>
  <c r="M80" i="165"/>
  <c r="M80" i="203" s="1"/>
  <c r="N80" i="165"/>
  <c r="N80" i="203" s="1"/>
  <c r="E81" i="165"/>
  <c r="E81" i="203" s="1"/>
  <c r="O81" i="165"/>
  <c r="O81" i="203" s="1"/>
  <c r="F82" i="165"/>
  <c r="O82" i="165"/>
  <c r="F83" i="165"/>
  <c r="F83" i="203" s="1"/>
  <c r="G83" i="165"/>
  <c r="G83" i="203" s="1"/>
  <c r="H83" i="165"/>
  <c r="H83" i="203" s="1"/>
  <c r="I83" i="165"/>
  <c r="I83" i="203" s="1"/>
  <c r="L83" i="165"/>
  <c r="L83" i="203" s="1"/>
  <c r="M83" i="165"/>
  <c r="M83" i="203" s="1"/>
  <c r="N83" i="165"/>
  <c r="N83" i="203" s="1"/>
  <c r="K83" i="165"/>
  <c r="K83" i="203" s="1"/>
  <c r="E85" i="165"/>
  <c r="E85" i="203" s="1"/>
  <c r="O85" i="165"/>
  <c r="F86" i="165"/>
  <c r="F86" i="203" s="1"/>
  <c r="G86" i="165"/>
  <c r="G86" i="203" s="1"/>
  <c r="H86" i="165"/>
  <c r="H86" i="203" s="1"/>
  <c r="I86" i="165"/>
  <c r="I86" i="203" s="1"/>
  <c r="K86" i="165"/>
  <c r="K86" i="203" s="1"/>
  <c r="L86" i="165"/>
  <c r="L86" i="203" s="1"/>
  <c r="M86" i="165"/>
  <c r="M86" i="203" s="1"/>
  <c r="N86" i="165"/>
  <c r="N86" i="203" s="1"/>
  <c r="E87" i="165"/>
  <c r="E87" i="203" s="1"/>
  <c r="O87" i="165"/>
  <c r="E88" i="165"/>
  <c r="E88" i="203" s="1"/>
  <c r="O88" i="165"/>
  <c r="J91" i="165"/>
  <c r="G92" i="165"/>
  <c r="H92" i="165"/>
  <c r="I92" i="165"/>
  <c r="L92" i="165"/>
  <c r="M92" i="165"/>
  <c r="N92" i="165"/>
  <c r="K92" i="165"/>
  <c r="J94" i="165"/>
  <c r="O95" i="165"/>
  <c r="O95" i="203" s="1"/>
  <c r="F96" i="165"/>
  <c r="F96" i="203" s="1"/>
  <c r="G96" i="165"/>
  <c r="G96" i="203" s="1"/>
  <c r="H96" i="165"/>
  <c r="H96" i="203" s="1"/>
  <c r="I96" i="165"/>
  <c r="I96" i="203" s="1"/>
  <c r="K96" i="165"/>
  <c r="K96" i="203" s="1"/>
  <c r="L96" i="165"/>
  <c r="L96" i="203" s="1"/>
  <c r="M96" i="165"/>
  <c r="M96" i="203" s="1"/>
  <c r="N96" i="165"/>
  <c r="N96" i="203" s="1"/>
  <c r="E96" i="165"/>
  <c r="E96" i="203" s="1"/>
  <c r="O97" i="165"/>
  <c r="O98" i="165"/>
  <c r="O98" i="203" s="1"/>
  <c r="O101" i="165"/>
  <c r="O101" i="203" s="1"/>
  <c r="E102" i="165"/>
  <c r="O102" i="165"/>
  <c r="F105" i="165"/>
  <c r="F105" i="203" s="1"/>
  <c r="G105" i="165"/>
  <c r="G105" i="203" s="1"/>
  <c r="H105" i="165"/>
  <c r="H105" i="203" s="1"/>
  <c r="I105" i="165"/>
  <c r="I105" i="203" s="1"/>
  <c r="L105" i="165"/>
  <c r="L105" i="203" s="1"/>
  <c r="M105" i="165"/>
  <c r="M105" i="203" s="1"/>
  <c r="N105" i="165"/>
  <c r="N105" i="203" s="1"/>
  <c r="E106" i="165"/>
  <c r="E106" i="203" s="1"/>
  <c r="K106" i="165"/>
  <c r="K106" i="203" s="1"/>
  <c r="F107" i="165"/>
  <c r="F107" i="203" s="1"/>
  <c r="G107" i="165"/>
  <c r="G107" i="203" s="1"/>
  <c r="H107" i="165"/>
  <c r="H107" i="203" s="1"/>
  <c r="I107" i="165"/>
  <c r="I107" i="203" s="1"/>
  <c r="L107" i="165"/>
  <c r="L107" i="203" s="1"/>
  <c r="M107" i="165"/>
  <c r="M107" i="203" s="1"/>
  <c r="N107" i="165"/>
  <c r="N107" i="203" s="1"/>
  <c r="O108" i="165"/>
  <c r="O108" i="203" s="1"/>
  <c r="F110" i="165"/>
  <c r="G110" i="165"/>
  <c r="H110" i="165"/>
  <c r="I110" i="165"/>
  <c r="K110" i="165"/>
  <c r="L110" i="165"/>
  <c r="M110" i="165"/>
  <c r="N110" i="165"/>
  <c r="O111" i="165"/>
  <c r="H119" i="165"/>
  <c r="H119" i="203" s="1"/>
  <c r="I119" i="165"/>
  <c r="I119" i="203" s="1"/>
  <c r="K119" i="165"/>
  <c r="K119" i="203" s="1"/>
  <c r="L119" i="165"/>
  <c r="L119" i="203" s="1"/>
  <c r="M119" i="165"/>
  <c r="M119" i="203" s="1"/>
  <c r="N119" i="165"/>
  <c r="N119" i="203" s="1"/>
  <c r="G119" i="165"/>
  <c r="G119" i="203" s="1"/>
  <c r="O120" i="165"/>
  <c r="O120" i="203" s="1"/>
  <c r="E121" i="165"/>
  <c r="E121" i="203" s="1"/>
  <c r="O121" i="165"/>
  <c r="O121" i="203" s="1"/>
  <c r="O123" i="165"/>
  <c r="O123" i="203" s="1"/>
  <c r="O124" i="165"/>
  <c r="O124" i="203" s="1"/>
  <c r="O126" i="165"/>
  <c r="O126" i="203" s="1"/>
  <c r="F127" i="165"/>
  <c r="F127" i="203" s="1"/>
  <c r="K127" i="165"/>
  <c r="K127" i="203" s="1"/>
  <c r="G128" i="165"/>
  <c r="G128" i="203" s="1"/>
  <c r="H128" i="165"/>
  <c r="H128" i="203" s="1"/>
  <c r="I128" i="165"/>
  <c r="I128" i="203" s="1"/>
  <c r="L128" i="165"/>
  <c r="L128" i="203" s="1"/>
  <c r="M128" i="165"/>
  <c r="M128" i="203" s="1"/>
  <c r="N128" i="165"/>
  <c r="N128" i="203" s="1"/>
  <c r="K128" i="165"/>
  <c r="K128" i="203" s="1"/>
  <c r="F130" i="165"/>
  <c r="F130" i="203" s="1"/>
  <c r="G130" i="165"/>
  <c r="G130" i="203" s="1"/>
  <c r="H130" i="165"/>
  <c r="H130" i="203" s="1"/>
  <c r="I130" i="165"/>
  <c r="I130" i="203" s="1"/>
  <c r="K130" i="165"/>
  <c r="K130" i="203" s="1"/>
  <c r="L130" i="165"/>
  <c r="L130" i="203" s="1"/>
  <c r="M130" i="165"/>
  <c r="M130" i="203" s="1"/>
  <c r="N130" i="165"/>
  <c r="N130" i="203" s="1"/>
  <c r="E131" i="165"/>
  <c r="E131" i="203" s="1"/>
  <c r="O131" i="165"/>
  <c r="O131" i="203" s="1"/>
  <c r="F132" i="165"/>
  <c r="F132" i="203" s="1"/>
  <c r="G132" i="165"/>
  <c r="G132" i="203" s="1"/>
  <c r="H132" i="165"/>
  <c r="H132" i="203" s="1"/>
  <c r="I132" i="165"/>
  <c r="I132" i="203" s="1"/>
  <c r="K132" i="165"/>
  <c r="K132" i="203" s="1"/>
  <c r="L132" i="165"/>
  <c r="L132" i="203" s="1"/>
  <c r="M132" i="165"/>
  <c r="M132" i="203" s="1"/>
  <c r="N132" i="165"/>
  <c r="N132" i="203" s="1"/>
  <c r="O133" i="165"/>
  <c r="O133" i="203" s="1"/>
  <c r="O134" i="165"/>
  <c r="O134" i="203" s="1"/>
  <c r="F135" i="165"/>
  <c r="F135" i="203" s="1"/>
  <c r="G135" i="165"/>
  <c r="G135" i="203" s="1"/>
  <c r="H135" i="165"/>
  <c r="H135" i="203" s="1"/>
  <c r="I135" i="165"/>
  <c r="I135" i="203" s="1"/>
  <c r="L135" i="165"/>
  <c r="L135" i="203" s="1"/>
  <c r="M135" i="165"/>
  <c r="M135" i="203" s="1"/>
  <c r="N135" i="165"/>
  <c r="N135" i="203" s="1"/>
  <c r="E136" i="165"/>
  <c r="K136" i="165"/>
  <c r="K136" i="203" s="1"/>
  <c r="O137" i="165"/>
  <c r="O137" i="203" s="1"/>
  <c r="F139" i="165"/>
  <c r="F139" i="203" s="1"/>
  <c r="G139" i="165"/>
  <c r="G139" i="203" s="1"/>
  <c r="H139" i="165"/>
  <c r="H139" i="203" s="1"/>
  <c r="I139" i="165"/>
  <c r="I139" i="203" s="1"/>
  <c r="K139" i="165"/>
  <c r="K139" i="203" s="1"/>
  <c r="L139" i="165"/>
  <c r="L139" i="203" s="1"/>
  <c r="M139" i="165"/>
  <c r="M139" i="203" s="1"/>
  <c r="N139" i="165"/>
  <c r="N139" i="203" s="1"/>
  <c r="O139" i="165"/>
  <c r="O139" i="203" s="1"/>
  <c r="E139" i="165"/>
  <c r="E139" i="203" s="1"/>
  <c r="J140" i="165"/>
  <c r="J140" i="203" s="1"/>
  <c r="O141" i="165"/>
  <c r="O141" i="203" s="1"/>
  <c r="F143" i="165"/>
  <c r="F143" i="203" s="1"/>
  <c r="G143" i="165"/>
  <c r="G143" i="203" s="1"/>
  <c r="H143" i="165"/>
  <c r="H143" i="203" s="1"/>
  <c r="I143" i="165"/>
  <c r="I143" i="203" s="1"/>
  <c r="K143" i="165"/>
  <c r="K143" i="203" s="1"/>
  <c r="L143" i="165"/>
  <c r="L143" i="203" s="1"/>
  <c r="M143" i="165"/>
  <c r="M143" i="203" s="1"/>
  <c r="N143" i="165"/>
  <c r="N143" i="203" s="1"/>
  <c r="E144" i="165"/>
  <c r="E144" i="203" s="1"/>
  <c r="O144" i="165"/>
  <c r="F145" i="165"/>
  <c r="G145" i="165"/>
  <c r="G145" i="203" s="1"/>
  <c r="H145" i="165"/>
  <c r="I145" i="165"/>
  <c r="L145" i="165"/>
  <c r="M145" i="165"/>
  <c r="M145" i="203" s="1"/>
  <c r="N145" i="165"/>
  <c r="K145" i="165"/>
  <c r="E147" i="165"/>
  <c r="E147" i="203" s="1"/>
  <c r="O147" i="165"/>
  <c r="F149" i="165"/>
  <c r="G149" i="165"/>
  <c r="G149" i="203" s="1"/>
  <c r="H149" i="165"/>
  <c r="I149" i="165"/>
  <c r="I149" i="203" s="1"/>
  <c r="K149" i="165"/>
  <c r="L149" i="165"/>
  <c r="M149" i="165"/>
  <c r="N149" i="165"/>
  <c r="N149" i="203" s="1"/>
  <c r="E149" i="165"/>
  <c r="O149" i="165"/>
  <c r="H153" i="165"/>
  <c r="H153" i="203" s="1"/>
  <c r="I153" i="165"/>
  <c r="I153" i="203" s="1"/>
  <c r="L153" i="165"/>
  <c r="L153" i="203" s="1"/>
  <c r="M153" i="165"/>
  <c r="M153" i="203" s="1"/>
  <c r="N153" i="165"/>
  <c r="N153" i="203" s="1"/>
  <c r="G153" i="165"/>
  <c r="G153" i="203" s="1"/>
  <c r="E155" i="165"/>
  <c r="E155" i="203" s="1"/>
  <c r="O155" i="165"/>
  <c r="O155" i="203" s="1"/>
  <c r="J156" i="165"/>
  <c r="J156" i="203" s="1"/>
  <c r="G158" i="165"/>
  <c r="G158" i="203" s="1"/>
  <c r="H158" i="165"/>
  <c r="H158" i="203" s="1"/>
  <c r="I158" i="165"/>
  <c r="I158" i="203" s="1"/>
  <c r="K158" i="165"/>
  <c r="K158" i="203" s="1"/>
  <c r="L158" i="165"/>
  <c r="L158" i="203" s="1"/>
  <c r="M158" i="165"/>
  <c r="M158" i="203" s="1"/>
  <c r="N158" i="165"/>
  <c r="N158" i="203" s="1"/>
  <c r="O159" i="165"/>
  <c r="O159" i="203" s="1"/>
  <c r="O160" i="165"/>
  <c r="O160" i="203" s="1"/>
  <c r="O161" i="165"/>
  <c r="O161" i="203" s="1"/>
  <c r="O162" i="165"/>
  <c r="O162" i="203" s="1"/>
  <c r="O163" i="165"/>
  <c r="O163" i="203" s="1"/>
  <c r="O164" i="165"/>
  <c r="O164" i="203" s="1"/>
  <c r="O165" i="165"/>
  <c r="O165" i="203" s="1"/>
  <c r="O166" i="165"/>
  <c r="O166" i="203" s="1"/>
  <c r="I167" i="165"/>
  <c r="I167" i="203" s="1"/>
  <c r="K167" i="165"/>
  <c r="K167" i="203" s="1"/>
  <c r="L167" i="165"/>
  <c r="L167" i="203" s="1"/>
  <c r="M167" i="165"/>
  <c r="M167" i="203" s="1"/>
  <c r="O168" i="165"/>
  <c r="O168" i="203" s="1"/>
  <c r="O169" i="165"/>
  <c r="O169" i="203" s="1"/>
  <c r="F170" i="165"/>
  <c r="F170" i="203" s="1"/>
  <c r="G170" i="165"/>
  <c r="G170" i="203" s="1"/>
  <c r="H170" i="165"/>
  <c r="H170" i="203" s="1"/>
  <c r="I170" i="165"/>
  <c r="I170" i="203" s="1"/>
  <c r="K170" i="165"/>
  <c r="K170" i="203" s="1"/>
  <c r="L170" i="165"/>
  <c r="L170" i="203" s="1"/>
  <c r="M170" i="165"/>
  <c r="M170" i="203" s="1"/>
  <c r="N170" i="165"/>
  <c r="N170" i="203" s="1"/>
  <c r="O171" i="165"/>
  <c r="O171" i="203" s="1"/>
  <c r="I172" i="165"/>
  <c r="I172" i="203" s="1"/>
  <c r="L172" i="165"/>
  <c r="L172" i="203" s="1"/>
  <c r="M172" i="165"/>
  <c r="M172" i="203" s="1"/>
  <c r="N172" i="165"/>
  <c r="N172" i="203" s="1"/>
  <c r="K172" i="165"/>
  <c r="K172" i="203" s="1"/>
  <c r="O174" i="165"/>
  <c r="O174" i="203" s="1"/>
  <c r="O175" i="165"/>
  <c r="O175" i="203" s="1"/>
  <c r="F176" i="165"/>
  <c r="F176" i="203" s="1"/>
  <c r="G176" i="165"/>
  <c r="G176" i="203" s="1"/>
  <c r="H176" i="165"/>
  <c r="H176" i="203" s="1"/>
  <c r="I176" i="165"/>
  <c r="I176" i="203" s="1"/>
  <c r="K176" i="165"/>
  <c r="K176" i="203" s="1"/>
  <c r="L176" i="165"/>
  <c r="L176" i="203" s="1"/>
  <c r="M176" i="165"/>
  <c r="M176" i="203" s="1"/>
  <c r="N176" i="165"/>
  <c r="N176" i="203" s="1"/>
  <c r="O177" i="165"/>
  <c r="O177" i="203" s="1"/>
  <c r="O178" i="165"/>
  <c r="O178" i="203" s="1"/>
  <c r="O180" i="165"/>
  <c r="O182" i="165"/>
  <c r="O182" i="203" s="1"/>
  <c r="F183" i="165"/>
  <c r="G183" i="165"/>
  <c r="H183" i="165"/>
  <c r="I183" i="165"/>
  <c r="K183" i="165"/>
  <c r="L183" i="165"/>
  <c r="M183" i="165"/>
  <c r="N183" i="165"/>
  <c r="E184" i="165"/>
  <c r="O184" i="165"/>
  <c r="E188" i="165"/>
  <c r="O188" i="165"/>
  <c r="E190" i="165"/>
  <c r="O190" i="165"/>
  <c r="E193" i="165"/>
  <c r="O193" i="165"/>
  <c r="O196" i="165"/>
  <c r="I199" i="165"/>
  <c r="I199" i="203" s="1"/>
  <c r="L199" i="165"/>
  <c r="L199" i="203" s="1"/>
  <c r="O201" i="165"/>
  <c r="O201" i="203" s="1"/>
  <c r="F205" i="165"/>
  <c r="F205" i="203" s="1"/>
  <c r="G205" i="165"/>
  <c r="G205" i="203" s="1"/>
  <c r="H205" i="165"/>
  <c r="H205" i="203" s="1"/>
  <c r="I205" i="165"/>
  <c r="I205" i="203" s="1"/>
  <c r="L205" i="165"/>
  <c r="L205" i="203" s="1"/>
  <c r="M205" i="165"/>
  <c r="M205" i="203" s="1"/>
  <c r="N205" i="165"/>
  <c r="N205" i="203" s="1"/>
  <c r="I216" i="165"/>
  <c r="I216" i="203" s="1"/>
  <c r="L216" i="165"/>
  <c r="L216" i="203" s="1"/>
  <c r="M216" i="165"/>
  <c r="M216" i="203" s="1"/>
  <c r="N216" i="165"/>
  <c r="N216" i="203" s="1"/>
  <c r="K216" i="165"/>
  <c r="K216" i="203" s="1"/>
  <c r="J220" i="165"/>
  <c r="J220" i="203" s="1"/>
  <c r="O222" i="165"/>
  <c r="O222" i="203" s="1"/>
  <c r="I223" i="165"/>
  <c r="I223" i="203" s="1"/>
  <c r="L223" i="165"/>
  <c r="L223" i="203" s="1"/>
  <c r="M223" i="165"/>
  <c r="M223" i="203" s="1"/>
  <c r="N223" i="165"/>
  <c r="N223" i="203" s="1"/>
  <c r="J224" i="165"/>
  <c r="J224" i="203" s="1"/>
  <c r="G228" i="165"/>
  <c r="G228" i="203" s="1"/>
  <c r="H228" i="165"/>
  <c r="H228" i="203" s="1"/>
  <c r="I228" i="165"/>
  <c r="I228" i="203" s="1"/>
  <c r="K228" i="165"/>
  <c r="K228" i="203" s="1"/>
  <c r="L228" i="165"/>
  <c r="L228" i="203" s="1"/>
  <c r="M228" i="165"/>
  <c r="M228" i="203" s="1"/>
  <c r="N228" i="165"/>
  <c r="N228" i="203" s="1"/>
  <c r="O229" i="165"/>
  <c r="O229" i="203" s="1"/>
  <c r="I238" i="165"/>
  <c r="I238" i="203" s="1"/>
  <c r="K238" i="165"/>
  <c r="K238" i="203" s="1"/>
  <c r="L238" i="165"/>
  <c r="L238" i="203" s="1"/>
  <c r="M238" i="165"/>
  <c r="M238" i="203" s="1"/>
  <c r="N238" i="165"/>
  <c r="N238" i="203" s="1"/>
  <c r="F239" i="165"/>
  <c r="F239" i="203" s="1"/>
  <c r="G239" i="165"/>
  <c r="G239" i="203" s="1"/>
  <c r="H239" i="165"/>
  <c r="H239" i="203" s="1"/>
  <c r="O239" i="165"/>
  <c r="O239" i="203" s="1"/>
  <c r="I240" i="165"/>
  <c r="I240" i="203" s="1"/>
  <c r="M240" i="165"/>
  <c r="M240" i="203" s="1"/>
  <c r="N240" i="165"/>
  <c r="N240" i="203" s="1"/>
  <c r="O242" i="165"/>
  <c r="O242" i="203" s="1"/>
  <c r="G244" i="165"/>
  <c r="G244" i="203" s="1"/>
  <c r="H244" i="165"/>
  <c r="H244" i="203" s="1"/>
  <c r="I244" i="165"/>
  <c r="I244" i="203" s="1"/>
  <c r="K244" i="165"/>
  <c r="K244" i="203" s="1"/>
  <c r="L244" i="165"/>
  <c r="L244" i="203" s="1"/>
  <c r="M244" i="165"/>
  <c r="M244" i="203" s="1"/>
  <c r="N244" i="165"/>
  <c r="N244" i="203" s="1"/>
  <c r="O245" i="165"/>
  <c r="O245" i="203" s="1"/>
  <c r="O246" i="165"/>
  <c r="O246" i="203" s="1"/>
  <c r="F247" i="165"/>
  <c r="F247" i="203" s="1"/>
  <c r="G247" i="165"/>
  <c r="G247" i="203" s="1"/>
  <c r="H247" i="165"/>
  <c r="H247" i="203" s="1"/>
  <c r="I247" i="165"/>
  <c r="I247" i="203" s="1"/>
  <c r="K247" i="165"/>
  <c r="K247" i="203" s="1"/>
  <c r="L247" i="165"/>
  <c r="L247" i="203" s="1"/>
  <c r="M247" i="165"/>
  <c r="M247" i="203" s="1"/>
  <c r="N247" i="165"/>
  <c r="N247" i="203" s="1"/>
  <c r="O248" i="165"/>
  <c r="O248" i="203" s="1"/>
  <c r="I249" i="165"/>
  <c r="I249" i="203" s="1"/>
  <c r="M249" i="165"/>
  <c r="M249" i="203" s="1"/>
  <c r="N249" i="165"/>
  <c r="N249" i="203" s="1"/>
  <c r="O251" i="165"/>
  <c r="O251" i="203" s="1"/>
  <c r="H252" i="165"/>
  <c r="I252" i="165"/>
  <c r="K252" i="165"/>
  <c r="L252" i="165"/>
  <c r="M252" i="165"/>
  <c r="N252" i="165"/>
  <c r="O253" i="165"/>
  <c r="H254" i="165"/>
  <c r="H254" i="203" s="1"/>
  <c r="I254" i="165"/>
  <c r="I254" i="203" s="1"/>
  <c r="L254" i="165"/>
  <c r="L254" i="203" s="1"/>
  <c r="M254" i="165"/>
  <c r="M254" i="203" s="1"/>
  <c r="N254" i="165"/>
  <c r="N254" i="203" s="1"/>
  <c r="O255" i="165"/>
  <c r="O255" i="203" s="1"/>
  <c r="O256" i="165"/>
  <c r="O256" i="203" s="1"/>
  <c r="O258" i="165"/>
  <c r="O258" i="203" s="1"/>
  <c r="F260" i="165"/>
  <c r="F260" i="203" s="1"/>
  <c r="G260" i="165"/>
  <c r="G260" i="203" s="1"/>
  <c r="H260" i="165"/>
  <c r="H260" i="203" s="1"/>
  <c r="I260" i="165"/>
  <c r="I260" i="203" s="1"/>
  <c r="K260" i="165"/>
  <c r="K260" i="203" s="1"/>
  <c r="L260" i="165"/>
  <c r="L260" i="203" s="1"/>
  <c r="M260" i="165"/>
  <c r="M260" i="203" s="1"/>
  <c r="N260" i="165"/>
  <c r="N260" i="203" s="1"/>
  <c r="O261" i="165"/>
  <c r="O261" i="203" s="1"/>
  <c r="F264" i="165"/>
  <c r="F264" i="203" s="1"/>
  <c r="G264" i="165"/>
  <c r="G264" i="203" s="1"/>
  <c r="H264" i="165"/>
  <c r="H264" i="203" s="1"/>
  <c r="I264" i="165"/>
  <c r="I264" i="203" s="1"/>
  <c r="L264" i="165"/>
  <c r="L264" i="203" s="1"/>
  <c r="M264" i="165"/>
  <c r="M264" i="203" s="1"/>
  <c r="N264" i="165"/>
  <c r="N264" i="203" s="1"/>
  <c r="E265" i="165"/>
  <c r="E265" i="203" s="1"/>
  <c r="K265" i="165"/>
  <c r="K265" i="203" s="1"/>
  <c r="F266" i="165"/>
  <c r="F266" i="203" s="1"/>
  <c r="G266" i="165"/>
  <c r="G266" i="203" s="1"/>
  <c r="H266" i="165"/>
  <c r="H266" i="203" s="1"/>
  <c r="I266" i="165"/>
  <c r="I266" i="203" s="1"/>
  <c r="K266" i="165"/>
  <c r="K266" i="203" s="1"/>
  <c r="L266" i="165"/>
  <c r="L266" i="203" s="1"/>
  <c r="M266" i="165"/>
  <c r="M266" i="203" s="1"/>
  <c r="N266" i="165"/>
  <c r="N266" i="203" s="1"/>
  <c r="E267" i="165"/>
  <c r="E267" i="203" s="1"/>
  <c r="O267" i="165"/>
  <c r="O267" i="203" s="1"/>
  <c r="O268" i="165"/>
  <c r="O268" i="203" s="1"/>
  <c r="H274" i="165"/>
  <c r="H274" i="203" s="1"/>
  <c r="I274" i="165"/>
  <c r="I274" i="203" s="1"/>
  <c r="K274" i="165"/>
  <c r="K274" i="203" s="1"/>
  <c r="L274" i="165"/>
  <c r="L274" i="203" s="1"/>
  <c r="M274" i="165"/>
  <c r="M274" i="203" s="1"/>
  <c r="N274" i="165"/>
  <c r="N274" i="203" s="1"/>
  <c r="E276" i="165"/>
  <c r="E276" i="203" s="1"/>
  <c r="O276" i="165"/>
  <c r="O276" i="203" s="1"/>
  <c r="E277" i="165"/>
  <c r="E277" i="203" s="1"/>
  <c r="J277" i="165"/>
  <c r="J277" i="203" s="1"/>
  <c r="G282" i="165"/>
  <c r="G282" i="203" s="1"/>
  <c r="H282" i="165"/>
  <c r="H282" i="203" s="1"/>
  <c r="I282" i="165"/>
  <c r="I282" i="203" s="1"/>
  <c r="L282" i="165"/>
  <c r="L282" i="203" s="1"/>
  <c r="M282" i="165"/>
  <c r="M282" i="203" s="1"/>
  <c r="N282" i="165"/>
  <c r="N282" i="203" s="1"/>
  <c r="E284" i="165"/>
  <c r="E284" i="203" s="1"/>
  <c r="O284" i="165"/>
  <c r="O284" i="203" s="1"/>
  <c r="O285" i="165"/>
  <c r="O285" i="203" s="1"/>
  <c r="O286" i="165"/>
  <c r="O286" i="203" s="1"/>
  <c r="O287" i="165"/>
  <c r="O287" i="203" s="1"/>
  <c r="O290" i="165"/>
  <c r="O290" i="203" s="1"/>
  <c r="F292" i="165"/>
  <c r="F292" i="203" s="1"/>
  <c r="G292" i="165"/>
  <c r="G292" i="203" s="1"/>
  <c r="H292" i="165"/>
  <c r="H292" i="203" s="1"/>
  <c r="I292" i="165"/>
  <c r="I292" i="203" s="1"/>
  <c r="K292" i="165"/>
  <c r="K292" i="203" s="1"/>
  <c r="L292" i="165"/>
  <c r="L292" i="203" s="1"/>
  <c r="M292" i="165"/>
  <c r="M292" i="203" s="1"/>
  <c r="N292" i="165"/>
  <c r="N292" i="203" s="1"/>
  <c r="O293" i="165"/>
  <c r="O293" i="203" s="1"/>
  <c r="O295" i="165"/>
  <c r="O295" i="203" s="1"/>
  <c r="E296" i="165"/>
  <c r="K296" i="165"/>
  <c r="F297" i="165"/>
  <c r="F297" i="203" s="1"/>
  <c r="G297" i="165"/>
  <c r="G297" i="203" s="1"/>
  <c r="H297" i="165"/>
  <c r="H297" i="203" s="1"/>
  <c r="I297" i="165"/>
  <c r="I297" i="203" s="1"/>
  <c r="K297" i="165"/>
  <c r="K297" i="203" s="1"/>
  <c r="L297" i="165"/>
  <c r="L297" i="203" s="1"/>
  <c r="M297" i="165"/>
  <c r="M297" i="203" s="1"/>
  <c r="N297" i="165"/>
  <c r="N297" i="203" s="1"/>
  <c r="O298" i="165"/>
  <c r="O298" i="203" s="1"/>
  <c r="O301" i="165"/>
  <c r="O301" i="203" s="1"/>
  <c r="I306" i="165"/>
  <c r="I306" i="203" s="1"/>
  <c r="L306" i="165"/>
  <c r="L306" i="203" s="1"/>
  <c r="M306" i="165"/>
  <c r="M306" i="203" s="1"/>
  <c r="N306" i="165"/>
  <c r="N306" i="203" s="1"/>
  <c r="O307" i="165"/>
  <c r="O307" i="203" s="1"/>
  <c r="O308" i="165"/>
  <c r="O308" i="203" s="1"/>
  <c r="O309" i="165"/>
  <c r="O309" i="203" s="1"/>
  <c r="G311" i="165"/>
  <c r="G311" i="203" s="1"/>
  <c r="H311" i="165"/>
  <c r="H311" i="203" s="1"/>
  <c r="I311" i="165"/>
  <c r="I311" i="203" s="1"/>
  <c r="L311" i="165"/>
  <c r="L311" i="203" s="1"/>
  <c r="M311" i="165"/>
  <c r="M311" i="203" s="1"/>
  <c r="N311" i="165"/>
  <c r="N311" i="203" s="1"/>
  <c r="O312" i="165"/>
  <c r="O312" i="203" s="1"/>
  <c r="E314" i="165"/>
  <c r="O314" i="165"/>
  <c r="J314" i="165" s="1"/>
  <c r="O315" i="165"/>
  <c r="O315" i="203" s="1"/>
  <c r="O316" i="165"/>
  <c r="O316" i="203" s="1"/>
  <c r="O317" i="165"/>
  <c r="O317" i="203" s="1"/>
  <c r="G321" i="165"/>
  <c r="G321" i="203" s="1"/>
  <c r="H321" i="165"/>
  <c r="H321" i="203" s="1"/>
  <c r="I321" i="165"/>
  <c r="I321" i="203" s="1"/>
  <c r="L321" i="165"/>
  <c r="L321" i="203" s="1"/>
  <c r="M321" i="165"/>
  <c r="M321" i="203" s="1"/>
  <c r="N321" i="165"/>
  <c r="N321" i="203" s="1"/>
  <c r="F322" i="165"/>
  <c r="F322" i="203" s="1"/>
  <c r="E325" i="165"/>
  <c r="E325" i="203" s="1"/>
  <c r="O325" i="165"/>
  <c r="O325" i="203" s="1"/>
  <c r="O326" i="165"/>
  <c r="O326" i="203" s="1"/>
  <c r="F327" i="165"/>
  <c r="F327" i="203" s="1"/>
  <c r="G327" i="165"/>
  <c r="G327" i="203" s="1"/>
  <c r="H327" i="165"/>
  <c r="H327" i="203" s="1"/>
  <c r="I327" i="165"/>
  <c r="I327" i="203" s="1"/>
  <c r="K327" i="165"/>
  <c r="K327" i="203" s="1"/>
  <c r="M327" i="165"/>
  <c r="M327" i="203" s="1"/>
  <c r="N327" i="165"/>
  <c r="N327" i="203" s="1"/>
  <c r="E329" i="165"/>
  <c r="O329" i="165"/>
  <c r="I331" i="165"/>
  <c r="I331" i="203" s="1"/>
  <c r="K331" i="165"/>
  <c r="K331" i="203" s="1"/>
  <c r="L331" i="165"/>
  <c r="L331" i="203" s="1"/>
  <c r="M331" i="165"/>
  <c r="M331" i="203" s="1"/>
  <c r="N331" i="165"/>
  <c r="N331" i="203" s="1"/>
  <c r="O332" i="165"/>
  <c r="O332" i="203" s="1"/>
  <c r="O333" i="165"/>
  <c r="O333" i="203" s="1"/>
  <c r="F334" i="165"/>
  <c r="F334" i="203" s="1"/>
  <c r="G334" i="165"/>
  <c r="G334" i="203" s="1"/>
  <c r="H334" i="165"/>
  <c r="H334" i="203" s="1"/>
  <c r="O334" i="165"/>
  <c r="O334" i="203" s="1"/>
  <c r="G336" i="203"/>
  <c r="H336" i="203"/>
  <c r="I336" i="203"/>
  <c r="K336" i="203"/>
  <c r="L336" i="203"/>
  <c r="M336" i="203"/>
  <c r="N336" i="203"/>
  <c r="O337" i="165"/>
  <c r="O337" i="203" s="1"/>
  <c r="I341" i="165"/>
  <c r="I340" i="203" s="1"/>
  <c r="K341" i="165"/>
  <c r="K340" i="203" s="1"/>
  <c r="L341" i="165"/>
  <c r="L340" i="203" s="1"/>
  <c r="M341" i="165"/>
  <c r="M340" i="203" s="1"/>
  <c r="N341" i="165"/>
  <c r="N340" i="203" s="1"/>
  <c r="O342" i="165"/>
  <c r="O341" i="203" s="1"/>
  <c r="E343" i="165"/>
  <c r="E342" i="203" s="1"/>
  <c r="O343" i="165"/>
  <c r="O342" i="203" s="1"/>
  <c r="O344" i="165"/>
  <c r="O343" i="203" s="1"/>
  <c r="F345" i="165"/>
  <c r="F344" i="203" s="1"/>
  <c r="G345" i="165"/>
  <c r="G344" i="203" s="1"/>
  <c r="H345" i="165"/>
  <c r="H344" i="203" s="1"/>
  <c r="I345" i="165"/>
  <c r="I344" i="203" s="1"/>
  <c r="L345" i="165"/>
  <c r="L344" i="203" s="1"/>
  <c r="M345" i="165"/>
  <c r="M344" i="203" s="1"/>
  <c r="N345" i="165"/>
  <c r="N344" i="203" s="1"/>
  <c r="E350" i="165"/>
  <c r="E349" i="203" s="1"/>
  <c r="K350" i="165"/>
  <c r="K349" i="203" s="1"/>
  <c r="F365" i="165"/>
  <c r="F364" i="203" s="1"/>
  <c r="G365" i="165"/>
  <c r="G364" i="203" s="1"/>
  <c r="H365" i="165"/>
  <c r="H364" i="203" s="1"/>
  <c r="I365" i="165"/>
  <c r="I364" i="203" s="1"/>
  <c r="L365" i="165"/>
  <c r="L364" i="203" s="1"/>
  <c r="M365" i="165"/>
  <c r="M364" i="203" s="1"/>
  <c r="N365" i="165"/>
  <c r="N364" i="203" s="1"/>
  <c r="I379" i="165"/>
  <c r="I378" i="203" s="1"/>
  <c r="L379" i="165"/>
  <c r="L378" i="203" s="1"/>
  <c r="M379" i="165"/>
  <c r="M378" i="203" s="1"/>
  <c r="N379" i="165"/>
  <c r="N378" i="203" s="1"/>
  <c r="K379" i="165"/>
  <c r="K378" i="203" s="1"/>
  <c r="O381" i="165"/>
  <c r="O380" i="203" s="1"/>
  <c r="O382" i="165"/>
  <c r="O381" i="203" s="1"/>
  <c r="K386" i="165"/>
  <c r="K385" i="203" s="1"/>
  <c r="H390" i="165"/>
  <c r="H389" i="203" s="1"/>
  <c r="I390" i="165"/>
  <c r="I389" i="203" s="1"/>
  <c r="K390" i="165"/>
  <c r="K389" i="203" s="1"/>
  <c r="L390" i="165"/>
  <c r="L389" i="203" s="1"/>
  <c r="M390" i="165"/>
  <c r="M389" i="203" s="1"/>
  <c r="N390" i="165"/>
  <c r="N389" i="203" s="1"/>
  <c r="O391" i="165"/>
  <c r="O390" i="203" s="1"/>
  <c r="E392" i="165"/>
  <c r="E391" i="203" s="1"/>
  <c r="O392" i="165"/>
  <c r="O391" i="203" s="1"/>
  <c r="G397" i="165"/>
  <c r="G396" i="203" s="1"/>
  <c r="H397" i="165"/>
  <c r="H396" i="203" s="1"/>
  <c r="I397" i="165"/>
  <c r="I396" i="203" s="1"/>
  <c r="K397" i="165"/>
  <c r="K396" i="203" s="1"/>
  <c r="L397" i="165"/>
  <c r="L396" i="203" s="1"/>
  <c r="M397" i="165"/>
  <c r="M396" i="203" s="1"/>
  <c r="N397" i="165"/>
  <c r="N396" i="203" s="1"/>
  <c r="O398" i="165"/>
  <c r="O397" i="203" s="1"/>
  <c r="O400" i="165"/>
  <c r="O399" i="203" s="1"/>
  <c r="E402" i="165"/>
  <c r="E401" i="203" s="1"/>
  <c r="O402" i="165"/>
  <c r="O401" i="203" s="1"/>
  <c r="F403" i="165"/>
  <c r="F402" i="203" s="1"/>
  <c r="G403" i="165"/>
  <c r="G402" i="203" s="1"/>
  <c r="H403" i="165"/>
  <c r="H402" i="203" s="1"/>
  <c r="I403" i="165"/>
  <c r="I402" i="203" s="1"/>
  <c r="L403" i="165"/>
  <c r="L402" i="203" s="1"/>
  <c r="M403" i="165"/>
  <c r="M402" i="203" s="1"/>
  <c r="N403" i="165"/>
  <c r="N402" i="203" s="1"/>
  <c r="O404" i="165"/>
  <c r="O403" i="203" s="1"/>
  <c r="G406" i="165"/>
  <c r="G405" i="203" s="1"/>
  <c r="H406" i="165"/>
  <c r="H405" i="203" s="1"/>
  <c r="I406" i="165"/>
  <c r="I405" i="203" s="1"/>
  <c r="K406" i="165"/>
  <c r="K405" i="203" s="1"/>
  <c r="L406" i="165"/>
  <c r="L405" i="203" s="1"/>
  <c r="M406" i="165"/>
  <c r="M405" i="203" s="1"/>
  <c r="N406" i="165"/>
  <c r="N405" i="203" s="1"/>
  <c r="O407" i="165"/>
  <c r="O406" i="203" s="1"/>
  <c r="G412" i="165"/>
  <c r="G411" i="203" s="1"/>
  <c r="H412" i="165"/>
  <c r="H411" i="203" s="1"/>
  <c r="I412" i="165"/>
  <c r="I411" i="203" s="1"/>
  <c r="L412" i="165"/>
  <c r="L411" i="203" s="1"/>
  <c r="M412" i="165"/>
  <c r="M411" i="203" s="1"/>
  <c r="N412" i="165"/>
  <c r="N411" i="203" s="1"/>
  <c r="F413" i="165"/>
  <c r="F412" i="203" s="1"/>
  <c r="K413" i="165"/>
  <c r="K412" i="203" s="1"/>
  <c r="O414" i="165"/>
  <c r="O413" i="203" s="1"/>
  <c r="G416" i="165"/>
  <c r="G415" i="203" s="1"/>
  <c r="H416" i="165"/>
  <c r="H415" i="203" s="1"/>
  <c r="I416" i="165"/>
  <c r="I415" i="203" s="1"/>
  <c r="L416" i="165"/>
  <c r="L415" i="203" s="1"/>
  <c r="M416" i="165"/>
  <c r="M415" i="203" s="1"/>
  <c r="N416" i="165"/>
  <c r="N415" i="203" s="1"/>
  <c r="K417" i="165"/>
  <c r="K416" i="203" s="1"/>
  <c r="O419" i="165"/>
  <c r="O418" i="203" s="1"/>
  <c r="O420" i="165"/>
  <c r="F421" i="165"/>
  <c r="E421" i="165" s="1"/>
  <c r="K421" i="165"/>
  <c r="F422" i="165"/>
  <c r="G422" i="165"/>
  <c r="H422" i="165"/>
  <c r="I422" i="165"/>
  <c r="K422" i="165"/>
  <c r="L422" i="165"/>
  <c r="M422" i="165"/>
  <c r="N422" i="165"/>
  <c r="O423" i="165"/>
  <c r="J423" i="165" s="1"/>
  <c r="I432" i="165"/>
  <c r="I431" i="203" s="1"/>
  <c r="L432" i="165"/>
  <c r="L431" i="203" s="1"/>
  <c r="M432" i="165"/>
  <c r="M431" i="203" s="1"/>
  <c r="N432" i="165"/>
  <c r="N431" i="203" s="1"/>
  <c r="E434" i="165"/>
  <c r="E433" i="203" s="1"/>
  <c r="O434" i="165"/>
  <c r="O433" i="203" s="1"/>
  <c r="E438" i="165"/>
  <c r="E437" i="203" s="1"/>
  <c r="F438" i="165"/>
  <c r="F437" i="203" s="1"/>
  <c r="G438" i="165"/>
  <c r="G437" i="203" s="1"/>
  <c r="H438" i="165"/>
  <c r="H437" i="203" s="1"/>
  <c r="I438" i="165"/>
  <c r="I437" i="203" s="1"/>
  <c r="K438" i="165"/>
  <c r="K437" i="203" s="1"/>
  <c r="M438" i="165"/>
  <c r="M437" i="203" s="1"/>
  <c r="N438" i="165"/>
  <c r="N437" i="203" s="1"/>
  <c r="I444" i="165"/>
  <c r="I443" i="203" s="1"/>
  <c r="L444" i="165"/>
  <c r="L443" i="203" s="1"/>
  <c r="M444" i="165"/>
  <c r="M443" i="203" s="1"/>
  <c r="N444" i="165"/>
  <c r="N443" i="203" s="1"/>
  <c r="G447" i="165"/>
  <c r="G446" i="203" s="1"/>
  <c r="H447" i="165"/>
  <c r="H446" i="203" s="1"/>
  <c r="I447" i="165"/>
  <c r="I446" i="203" s="1"/>
  <c r="K447" i="165"/>
  <c r="K446" i="203" s="1"/>
  <c r="L447" i="165"/>
  <c r="L446" i="203" s="1"/>
  <c r="M447" i="165"/>
  <c r="M446" i="203" s="1"/>
  <c r="N447" i="165"/>
  <c r="N446" i="203" s="1"/>
  <c r="O448" i="165"/>
  <c r="O447" i="203" s="1"/>
  <c r="F449" i="165"/>
  <c r="F448" i="203" s="1"/>
  <c r="G449" i="165"/>
  <c r="G448" i="203" s="1"/>
  <c r="H449" i="165"/>
  <c r="H448" i="203" s="1"/>
  <c r="I449" i="165"/>
  <c r="I448" i="203" s="1"/>
  <c r="K449" i="165"/>
  <c r="K448" i="203" s="1"/>
  <c r="L449" i="165"/>
  <c r="L448" i="203" s="1"/>
  <c r="M449" i="165"/>
  <c r="M448" i="203" s="1"/>
  <c r="N449" i="165"/>
  <c r="N448" i="203" s="1"/>
  <c r="E449" i="165"/>
  <c r="E448" i="203" s="1"/>
  <c r="H453" i="165"/>
  <c r="H452" i="203" s="1"/>
  <c r="I453" i="165"/>
  <c r="I452" i="203" s="1"/>
  <c r="K453" i="165"/>
  <c r="K452" i="203" s="1"/>
  <c r="L453" i="165"/>
  <c r="L452" i="203" s="1"/>
  <c r="M453" i="165"/>
  <c r="M452" i="203" s="1"/>
  <c r="N453" i="165"/>
  <c r="N452" i="203" s="1"/>
  <c r="O454" i="165"/>
  <c r="O453" i="203" s="1"/>
  <c r="E455" i="165"/>
  <c r="E454" i="203" s="1"/>
  <c r="O455" i="165"/>
  <c r="O454" i="203" s="1"/>
  <c r="F457" i="165"/>
  <c r="F456" i="203" s="1"/>
  <c r="G457" i="165"/>
  <c r="G456" i="203" s="1"/>
  <c r="H457" i="165"/>
  <c r="H456" i="203" s="1"/>
  <c r="I457" i="165"/>
  <c r="I456" i="203" s="1"/>
  <c r="K457" i="165"/>
  <c r="K456" i="203" s="1"/>
  <c r="L457" i="165"/>
  <c r="L456" i="203" s="1"/>
  <c r="M457" i="165"/>
  <c r="M456" i="203" s="1"/>
  <c r="N457" i="165"/>
  <c r="N456" i="203" s="1"/>
  <c r="E458" i="165"/>
  <c r="E457" i="203" s="1"/>
  <c r="O458" i="165"/>
  <c r="O457" i="203" s="1"/>
  <c r="O460" i="165"/>
  <c r="O459" i="203" s="1"/>
  <c r="G461" i="165"/>
  <c r="G460" i="203" s="1"/>
  <c r="H461" i="165"/>
  <c r="H460" i="203" s="1"/>
  <c r="I461" i="165"/>
  <c r="I460" i="203" s="1"/>
  <c r="K461" i="165"/>
  <c r="K460" i="203" s="1"/>
  <c r="L461" i="165"/>
  <c r="L460" i="203" s="1"/>
  <c r="M461" i="165"/>
  <c r="M460" i="203" s="1"/>
  <c r="N461" i="165"/>
  <c r="N460" i="203" s="1"/>
  <c r="O462" i="165"/>
  <c r="O461" i="203" s="1"/>
  <c r="G464" i="165"/>
  <c r="G463" i="203" s="1"/>
  <c r="H464" i="165"/>
  <c r="H463" i="203" s="1"/>
  <c r="I464" i="165"/>
  <c r="I463" i="203" s="1"/>
  <c r="K464" i="165"/>
  <c r="K463" i="203" s="1"/>
  <c r="L464" i="165"/>
  <c r="L463" i="203" s="1"/>
  <c r="M464" i="165"/>
  <c r="M463" i="203" s="1"/>
  <c r="N464" i="165"/>
  <c r="N463" i="203" s="1"/>
  <c r="F465" i="165"/>
  <c r="O465" i="165"/>
  <c r="O464" i="203" s="1"/>
  <c r="F467" i="165"/>
  <c r="F466" i="203" s="1"/>
  <c r="G467" i="165"/>
  <c r="G466" i="203" s="1"/>
  <c r="H467" i="165"/>
  <c r="H466" i="203" s="1"/>
  <c r="I467" i="165"/>
  <c r="I466" i="203" s="1"/>
  <c r="K467" i="165"/>
  <c r="K466" i="203" s="1"/>
  <c r="L467" i="165"/>
  <c r="L466" i="203" s="1"/>
  <c r="M467" i="165"/>
  <c r="M466" i="203" s="1"/>
  <c r="N467" i="165"/>
  <c r="N466" i="203" s="1"/>
  <c r="O468" i="165"/>
  <c r="O467" i="203" s="1"/>
  <c r="O148" i="165" l="1"/>
  <c r="O148" i="203" s="1"/>
  <c r="O149" i="203"/>
  <c r="K142" i="165"/>
  <c r="K142" i="203" s="1"/>
  <c r="K145" i="203"/>
  <c r="J88" i="165"/>
  <c r="J88" i="203" s="1"/>
  <c r="O88" i="203"/>
  <c r="J85" i="165"/>
  <c r="J85" i="203" s="1"/>
  <c r="O85" i="203"/>
  <c r="J87" i="165"/>
  <c r="J87" i="203" s="1"/>
  <c r="O87" i="203"/>
  <c r="O179" i="165"/>
  <c r="O179" i="203" s="1"/>
  <c r="O180" i="203"/>
  <c r="M148" i="165"/>
  <c r="M148" i="203" s="1"/>
  <c r="M149" i="203"/>
  <c r="L142" i="165"/>
  <c r="L142" i="203" s="1"/>
  <c r="L145" i="203"/>
  <c r="E148" i="165"/>
  <c r="E148" i="203" s="1"/>
  <c r="E149" i="203"/>
  <c r="L148" i="165"/>
  <c r="L148" i="203" s="1"/>
  <c r="L149" i="203"/>
  <c r="I142" i="165"/>
  <c r="I142" i="203" s="1"/>
  <c r="I145" i="203"/>
  <c r="O96" i="165"/>
  <c r="O96" i="203" s="1"/>
  <c r="O97" i="203"/>
  <c r="K148" i="165"/>
  <c r="K148" i="203" s="1"/>
  <c r="K149" i="203"/>
  <c r="H142" i="165"/>
  <c r="H142" i="203" s="1"/>
  <c r="H145" i="203"/>
  <c r="N142" i="165"/>
  <c r="N142" i="203" s="1"/>
  <c r="N145" i="203"/>
  <c r="H148" i="165"/>
  <c r="H148" i="203" s="1"/>
  <c r="H149" i="203"/>
  <c r="F142" i="165"/>
  <c r="F142" i="203" s="1"/>
  <c r="F145" i="203"/>
  <c r="O143" i="165"/>
  <c r="O143" i="203" s="1"/>
  <c r="O144" i="203"/>
  <c r="E135" i="165"/>
  <c r="E135" i="203" s="1"/>
  <c r="E136" i="203"/>
  <c r="E465" i="165"/>
  <c r="E464" i="203" s="1"/>
  <c r="F464" i="203"/>
  <c r="F148" i="165"/>
  <c r="F148" i="203" s="1"/>
  <c r="F149" i="203"/>
  <c r="E82" i="165"/>
  <c r="E82" i="203" s="1"/>
  <c r="F82" i="203"/>
  <c r="N442" i="203"/>
  <c r="N441" i="203" s="1"/>
  <c r="J147" i="165"/>
  <c r="J147" i="203" s="1"/>
  <c r="O147" i="203"/>
  <c r="J82" i="165"/>
  <c r="J82" i="203" s="1"/>
  <c r="O82" i="203"/>
  <c r="J33" i="165"/>
  <c r="O33" i="203"/>
  <c r="J164" i="165"/>
  <c r="J164" i="203" s="1"/>
  <c r="I138" i="165"/>
  <c r="I138" i="203" s="1"/>
  <c r="J101" i="165"/>
  <c r="J95" i="165"/>
  <c r="J76" i="165"/>
  <c r="L320" i="165"/>
  <c r="L320" i="203" s="1"/>
  <c r="J295" i="165"/>
  <c r="J295" i="203" s="1"/>
  <c r="J174" i="165"/>
  <c r="J163" i="165"/>
  <c r="J163" i="203" s="1"/>
  <c r="K105" i="165"/>
  <c r="K105" i="203" s="1"/>
  <c r="J98" i="165"/>
  <c r="J98" i="203" s="1"/>
  <c r="J75" i="165"/>
  <c r="J72" i="165"/>
  <c r="J72" i="203" s="1"/>
  <c r="J46" i="165"/>
  <c r="J46" i="203" s="1"/>
  <c r="I320" i="165"/>
  <c r="I320" i="203" s="1"/>
  <c r="J190" i="165"/>
  <c r="P190" i="165" s="1"/>
  <c r="J162" i="165"/>
  <c r="G138" i="165"/>
  <c r="G138" i="203" s="1"/>
  <c r="J71" i="165"/>
  <c r="J71" i="203" s="1"/>
  <c r="M44" i="165"/>
  <c r="M44" i="203" s="1"/>
  <c r="N31" i="165"/>
  <c r="J23" i="165"/>
  <c r="J23" i="203" s="1"/>
  <c r="J165" i="165"/>
  <c r="J165" i="203" s="1"/>
  <c r="J333" i="165"/>
  <c r="J333" i="203" s="1"/>
  <c r="H320" i="165"/>
  <c r="H320" i="203" s="1"/>
  <c r="J177" i="165"/>
  <c r="J161" i="165"/>
  <c r="J161" i="203" s="1"/>
  <c r="E153" i="165"/>
  <c r="E153" i="203" s="1"/>
  <c r="J70" i="165"/>
  <c r="N320" i="165"/>
  <c r="N320" i="203" s="1"/>
  <c r="E176" i="165"/>
  <c r="E176" i="203" s="1"/>
  <c r="O57" i="165"/>
  <c r="O57" i="203" s="1"/>
  <c r="M320" i="165"/>
  <c r="M320" i="203" s="1"/>
  <c r="J287" i="165"/>
  <c r="J21" i="165"/>
  <c r="J460" i="165"/>
  <c r="G320" i="165"/>
  <c r="G320" i="203" s="1"/>
  <c r="J160" i="165"/>
  <c r="J137" i="165"/>
  <c r="I44" i="165"/>
  <c r="I44" i="203" s="1"/>
  <c r="J41" i="165"/>
  <c r="J41" i="203" s="1"/>
  <c r="K31" i="165"/>
  <c r="K31" i="203" s="1"/>
  <c r="E100" i="165"/>
  <c r="E100" i="203" s="1"/>
  <c r="J77" i="165"/>
  <c r="K45" i="165"/>
  <c r="K45" i="203" s="1"/>
  <c r="J458" i="165"/>
  <c r="O406" i="165"/>
  <c r="K384" i="165"/>
  <c r="K383" i="203" s="1"/>
  <c r="O127" i="165"/>
  <c r="O127" i="203" s="1"/>
  <c r="J56" i="165"/>
  <c r="J56" i="203" s="1"/>
  <c r="G44" i="165"/>
  <c r="G44" i="203" s="1"/>
  <c r="H31" i="165"/>
  <c r="O176" i="165"/>
  <c r="J126" i="165"/>
  <c r="J126" i="203" s="1"/>
  <c r="J55" i="165"/>
  <c r="O399" i="165"/>
  <c r="O398" i="203" s="1"/>
  <c r="E327" i="165"/>
  <c r="E327" i="203" s="1"/>
  <c r="E432" i="165"/>
  <c r="E431" i="203" s="1"/>
  <c r="J392" i="165"/>
  <c r="N138" i="165"/>
  <c r="N138" i="203" s="1"/>
  <c r="J239" i="165"/>
  <c r="O461" i="165"/>
  <c r="O460" i="203" s="1"/>
  <c r="M138" i="165"/>
  <c r="M138" i="203" s="1"/>
  <c r="J391" i="165"/>
  <c r="J390" i="203" s="1"/>
  <c r="J329" i="165"/>
  <c r="P329" i="165" s="1"/>
  <c r="E239" i="165"/>
  <c r="L138" i="165"/>
  <c r="L138" i="203" s="1"/>
  <c r="J121" i="165"/>
  <c r="J121" i="203" s="1"/>
  <c r="J78" i="165"/>
  <c r="J68" i="165"/>
  <c r="I76" i="167"/>
  <c r="G76" i="167" s="1"/>
  <c r="J48" i="165"/>
  <c r="J48" i="203" s="1"/>
  <c r="O80" i="165"/>
  <c r="M51" i="165"/>
  <c r="M51" i="203" s="1"/>
  <c r="I51" i="165"/>
  <c r="I51" i="203" s="1"/>
  <c r="J79" i="165"/>
  <c r="J102" i="165"/>
  <c r="O100" i="165"/>
  <c r="O100" i="203" s="1"/>
  <c r="E348" i="165"/>
  <c r="E347" i="203" s="1"/>
  <c r="K348" i="165"/>
  <c r="K347" i="203" s="1"/>
  <c r="O173" i="165"/>
  <c r="O173" i="203" s="1"/>
  <c r="P65" i="165"/>
  <c r="P65" i="203" s="1"/>
  <c r="N104" i="165"/>
  <c r="N104" i="203" s="1"/>
  <c r="O43" i="165"/>
  <c r="O43" i="203" s="1"/>
  <c r="P277" i="165"/>
  <c r="P277" i="203" s="1"/>
  <c r="K39" i="165"/>
  <c r="K39" i="203" s="1"/>
  <c r="O93" i="165"/>
  <c r="J93" i="165" s="1"/>
  <c r="O47" i="165"/>
  <c r="O47" i="203" s="1"/>
  <c r="E83" i="165"/>
  <c r="E83" i="203" s="1"/>
  <c r="G69" i="165"/>
  <c r="G69" i="203" s="1"/>
  <c r="H22" i="165"/>
  <c r="H22" i="203" s="1"/>
  <c r="P30" i="165"/>
  <c r="P30" i="203" s="1"/>
  <c r="J149" i="165"/>
  <c r="J149" i="203" s="1"/>
  <c r="F104" i="165"/>
  <c r="F104" i="203" s="1"/>
  <c r="J462" i="165"/>
  <c r="J461" i="203" s="1"/>
  <c r="E138" i="165"/>
  <c r="E138" i="203" s="1"/>
  <c r="I122" i="165"/>
  <c r="I122" i="203" s="1"/>
  <c r="I118" i="203" s="1"/>
  <c r="I117" i="203" s="1"/>
  <c r="O106" i="165"/>
  <c r="O106" i="203" s="1"/>
  <c r="J97" i="165"/>
  <c r="G53" i="165"/>
  <c r="G53" i="203" s="1"/>
  <c r="E28" i="165"/>
  <c r="E28" i="203" s="1"/>
  <c r="N463" i="165"/>
  <c r="N462" i="203" s="1"/>
  <c r="O453" i="165"/>
  <c r="O452" i="203" s="1"/>
  <c r="J454" i="165"/>
  <c r="J453" i="203" s="1"/>
  <c r="N446" i="165"/>
  <c r="N445" i="203" s="1"/>
  <c r="H444" i="165"/>
  <c r="H443" i="203" s="1"/>
  <c r="H442" i="203" s="1"/>
  <c r="H441" i="203" s="1"/>
  <c r="L438" i="165"/>
  <c r="L437" i="203" s="1"/>
  <c r="I437" i="165"/>
  <c r="I436" i="203" s="1"/>
  <c r="E437" i="165"/>
  <c r="E436" i="203" s="1"/>
  <c r="H432" i="165"/>
  <c r="H431" i="203" s="1"/>
  <c r="I418" i="165"/>
  <c r="I417" i="203" s="1"/>
  <c r="K405" i="165"/>
  <c r="K404" i="203" s="1"/>
  <c r="G310" i="165"/>
  <c r="G310" i="203" s="1"/>
  <c r="I243" i="165"/>
  <c r="I243" i="203" s="1"/>
  <c r="N466" i="165"/>
  <c r="N465" i="203" s="1"/>
  <c r="I466" i="165"/>
  <c r="I465" i="203" s="1"/>
  <c r="M463" i="165"/>
  <c r="H463" i="165"/>
  <c r="H462" i="203" s="1"/>
  <c r="N456" i="165"/>
  <c r="N455" i="203" s="1"/>
  <c r="I456" i="165"/>
  <c r="I455" i="203" s="1"/>
  <c r="G453" i="165"/>
  <c r="G452" i="203" s="1"/>
  <c r="M446" i="165"/>
  <c r="M445" i="203" s="1"/>
  <c r="M442" i="203" s="1"/>
  <c r="M441" i="203" s="1"/>
  <c r="H446" i="165"/>
  <c r="H445" i="203" s="1"/>
  <c r="G444" i="165"/>
  <c r="G443" i="203" s="1"/>
  <c r="N437" i="165"/>
  <c r="N436" i="203" s="1"/>
  <c r="H437" i="165"/>
  <c r="H436" i="203" s="1"/>
  <c r="J434" i="165"/>
  <c r="J433" i="203" s="1"/>
  <c r="N405" i="165"/>
  <c r="N404" i="203" s="1"/>
  <c r="I405" i="165"/>
  <c r="I404" i="203" s="1"/>
  <c r="K403" i="165"/>
  <c r="K402" i="203" s="1"/>
  <c r="N383" i="165"/>
  <c r="N382" i="203" s="1"/>
  <c r="N377" i="203" s="1"/>
  <c r="N376" i="203" s="1"/>
  <c r="H383" i="165"/>
  <c r="H382" i="203" s="1"/>
  <c r="H379" i="165"/>
  <c r="H378" i="203" s="1"/>
  <c r="H377" i="203" s="1"/>
  <c r="H376" i="203" s="1"/>
  <c r="I351" i="165"/>
  <c r="I350" i="203" s="1"/>
  <c r="J343" i="165"/>
  <c r="J342" i="203" s="1"/>
  <c r="G341" i="165"/>
  <c r="G340" i="203" s="1"/>
  <c r="K335" i="165"/>
  <c r="K335" i="203" s="1"/>
  <c r="J334" i="165"/>
  <c r="J334" i="203" s="1"/>
  <c r="M324" i="165"/>
  <c r="M324" i="203" s="1"/>
  <c r="G324" i="165"/>
  <c r="G324" i="203" s="1"/>
  <c r="L310" i="165"/>
  <c r="L310" i="203" s="1"/>
  <c r="E297" i="165"/>
  <c r="E297" i="203" s="1"/>
  <c r="K294" i="165"/>
  <c r="K294" i="203" s="1"/>
  <c r="J290" i="165"/>
  <c r="J290" i="203" s="1"/>
  <c r="J285" i="165"/>
  <c r="J285" i="203" s="1"/>
  <c r="J284" i="165"/>
  <c r="J284" i="203" s="1"/>
  <c r="N281" i="165"/>
  <c r="N281" i="203" s="1"/>
  <c r="H281" i="165"/>
  <c r="H281" i="203" s="1"/>
  <c r="E260" i="165"/>
  <c r="E260" i="203" s="1"/>
  <c r="K259" i="165"/>
  <c r="K259" i="203" s="1"/>
  <c r="F259" i="165"/>
  <c r="F259" i="203" s="1"/>
  <c r="G254" i="165"/>
  <c r="G254" i="203" s="1"/>
  <c r="O250" i="165"/>
  <c r="O250" i="203" s="1"/>
  <c r="K249" i="165"/>
  <c r="K249" i="203" s="1"/>
  <c r="J248" i="165"/>
  <c r="J248" i="203" s="1"/>
  <c r="J245" i="165"/>
  <c r="J245" i="203" s="1"/>
  <c r="E467" i="165"/>
  <c r="E466" i="203" s="1"/>
  <c r="K466" i="165"/>
  <c r="K465" i="203" s="1"/>
  <c r="I463" i="165"/>
  <c r="I462" i="203" s="1"/>
  <c r="K456" i="165"/>
  <c r="K455" i="203" s="1"/>
  <c r="I446" i="165"/>
  <c r="I445" i="203" s="1"/>
  <c r="I442" i="203" s="1"/>
  <c r="I441" i="203" s="1"/>
  <c r="K418" i="165"/>
  <c r="K417" i="203" s="1"/>
  <c r="L396" i="165"/>
  <c r="L395" i="203" s="1"/>
  <c r="F390" i="165"/>
  <c r="F389" i="203" s="1"/>
  <c r="O354" i="165"/>
  <c r="O353" i="203" s="1"/>
  <c r="F351" i="165"/>
  <c r="F350" i="203" s="1"/>
  <c r="H341" i="165"/>
  <c r="H340" i="203" s="1"/>
  <c r="O336" i="203"/>
  <c r="L335" i="165"/>
  <c r="L335" i="203" s="1"/>
  <c r="E334" i="165"/>
  <c r="E334" i="203" s="1"/>
  <c r="M310" i="165"/>
  <c r="M310" i="203" s="1"/>
  <c r="G306" i="165"/>
  <c r="G306" i="203" s="1"/>
  <c r="I281" i="165"/>
  <c r="I281" i="203" s="1"/>
  <c r="K254" i="165"/>
  <c r="K254" i="203" s="1"/>
  <c r="O464" i="165"/>
  <c r="O463" i="203" s="1"/>
  <c r="M466" i="165"/>
  <c r="M465" i="203" s="1"/>
  <c r="H466" i="165"/>
  <c r="H465" i="203" s="1"/>
  <c r="F464" i="165"/>
  <c r="F463" i="203" s="1"/>
  <c r="L463" i="165"/>
  <c r="G463" i="165"/>
  <c r="G462" i="203" s="1"/>
  <c r="O457" i="165"/>
  <c r="O456" i="203" s="1"/>
  <c r="M456" i="165"/>
  <c r="M455" i="203" s="1"/>
  <c r="H456" i="165"/>
  <c r="H455" i="203" s="1"/>
  <c r="J455" i="165"/>
  <c r="J454" i="203" s="1"/>
  <c r="F453" i="165"/>
  <c r="F452" i="203" s="1"/>
  <c r="O449" i="165"/>
  <c r="O448" i="203" s="1"/>
  <c r="O413" i="165"/>
  <c r="O412" i="203" s="1"/>
  <c r="J407" i="165"/>
  <c r="J406" i="203" s="1"/>
  <c r="M383" i="165"/>
  <c r="M382" i="203" s="1"/>
  <c r="M377" i="203" s="1"/>
  <c r="M376" i="203" s="1"/>
  <c r="G383" i="165"/>
  <c r="G382" i="203" s="1"/>
  <c r="J381" i="165"/>
  <c r="J380" i="203" s="1"/>
  <c r="K330" i="165"/>
  <c r="K330" i="203" s="1"/>
  <c r="O327" i="165"/>
  <c r="O327" i="203" s="1"/>
  <c r="F324" i="165"/>
  <c r="F324" i="203" s="1"/>
  <c r="J317" i="165"/>
  <c r="J317" i="203" s="1"/>
  <c r="J315" i="165"/>
  <c r="J315" i="203" s="1"/>
  <c r="P314" i="165"/>
  <c r="F311" i="165"/>
  <c r="F311" i="203" s="1"/>
  <c r="J301" i="165"/>
  <c r="J301" i="203" s="1"/>
  <c r="N294" i="165"/>
  <c r="N294" i="203" s="1"/>
  <c r="I294" i="165"/>
  <c r="I294" i="203" s="1"/>
  <c r="O296" i="165"/>
  <c r="F294" i="165"/>
  <c r="F294" i="203" s="1"/>
  <c r="K264" i="165"/>
  <c r="K264" i="203" s="1"/>
  <c r="O265" i="165"/>
  <c r="O265" i="203" s="1"/>
  <c r="M263" i="165"/>
  <c r="M263" i="203" s="1"/>
  <c r="G263" i="165"/>
  <c r="G263" i="203" s="1"/>
  <c r="N259" i="165"/>
  <c r="N259" i="203" s="1"/>
  <c r="I259" i="165"/>
  <c r="I259" i="203" s="1"/>
  <c r="J258" i="165"/>
  <c r="J258" i="203" s="1"/>
  <c r="F254" i="165"/>
  <c r="F254" i="203" s="1"/>
  <c r="G252" i="165"/>
  <c r="J251" i="165"/>
  <c r="J251" i="203" s="1"/>
  <c r="H249" i="165"/>
  <c r="H249" i="203" s="1"/>
  <c r="P220" i="165"/>
  <c r="P220" i="203" s="1"/>
  <c r="K199" i="165"/>
  <c r="K199" i="203" s="1"/>
  <c r="O119" i="165"/>
  <c r="O119" i="203" s="1"/>
  <c r="E107" i="165"/>
  <c r="E107" i="203" s="1"/>
  <c r="I104" i="165"/>
  <c r="I104" i="203" s="1"/>
  <c r="F466" i="165"/>
  <c r="F465" i="203" s="1"/>
  <c r="F456" i="165"/>
  <c r="F455" i="203" s="1"/>
  <c r="N418" i="165"/>
  <c r="N417" i="203" s="1"/>
  <c r="J404" i="165"/>
  <c r="G396" i="165"/>
  <c r="G395" i="203" s="1"/>
  <c r="O380" i="165"/>
  <c r="O379" i="203" s="1"/>
  <c r="E379" i="165"/>
  <c r="E378" i="203" s="1"/>
  <c r="L351" i="165"/>
  <c r="L350" i="203" s="1"/>
  <c r="G335" i="165"/>
  <c r="G335" i="203" s="1"/>
  <c r="K321" i="165"/>
  <c r="K321" i="203" s="1"/>
  <c r="J267" i="165"/>
  <c r="J267" i="203" s="1"/>
  <c r="G262" i="165"/>
  <c r="G262" i="203" s="1"/>
  <c r="N243" i="165"/>
  <c r="N243" i="203" s="1"/>
  <c r="H240" i="165"/>
  <c r="H240" i="203" s="1"/>
  <c r="L240" i="165"/>
  <c r="L240" i="203" s="1"/>
  <c r="E216" i="165"/>
  <c r="E216" i="203" s="1"/>
  <c r="N204" i="165"/>
  <c r="N204" i="203" s="1"/>
  <c r="H204" i="165"/>
  <c r="H204" i="203" s="1"/>
  <c r="J193" i="165"/>
  <c r="E183" i="165"/>
  <c r="J468" i="165"/>
  <c r="J467" i="203" s="1"/>
  <c r="L466" i="165"/>
  <c r="L465" i="203" s="1"/>
  <c r="G466" i="165"/>
  <c r="G465" i="203" s="1"/>
  <c r="K463" i="165"/>
  <c r="K462" i="203" s="1"/>
  <c r="L456" i="165"/>
  <c r="L455" i="203" s="1"/>
  <c r="G456" i="165"/>
  <c r="G455" i="203" s="1"/>
  <c r="E453" i="165"/>
  <c r="E452" i="203" s="1"/>
  <c r="O433" i="165"/>
  <c r="O432" i="203" s="1"/>
  <c r="K432" i="165"/>
  <c r="K431" i="203" s="1"/>
  <c r="E422" i="165"/>
  <c r="J420" i="165"/>
  <c r="O417" i="165"/>
  <c r="O416" i="203" s="1"/>
  <c r="J414" i="165"/>
  <c r="J413" i="203" s="1"/>
  <c r="F412" i="165"/>
  <c r="F411" i="203" s="1"/>
  <c r="E413" i="165"/>
  <c r="E412" i="203" s="1"/>
  <c r="M396" i="165"/>
  <c r="M395" i="203" s="1"/>
  <c r="H396" i="165"/>
  <c r="H395" i="203" s="1"/>
  <c r="N396" i="165"/>
  <c r="N395" i="203" s="1"/>
  <c r="G390" i="165"/>
  <c r="G389" i="203" s="1"/>
  <c r="G331" i="165"/>
  <c r="G331" i="203" s="1"/>
  <c r="H331" i="165"/>
  <c r="H331" i="203" s="1"/>
  <c r="N330" i="165"/>
  <c r="N330" i="203" s="1"/>
  <c r="I330" i="165"/>
  <c r="I330" i="203" s="1"/>
  <c r="J326" i="165"/>
  <c r="J326" i="203" s="1"/>
  <c r="J322" i="165"/>
  <c r="J322" i="203" s="1"/>
  <c r="H310" i="165"/>
  <c r="H310" i="203" s="1"/>
  <c r="J308" i="165"/>
  <c r="J308" i="203" s="1"/>
  <c r="H306" i="165"/>
  <c r="H306" i="203" s="1"/>
  <c r="O279" i="165"/>
  <c r="O279" i="203" s="1"/>
  <c r="J276" i="165"/>
  <c r="J276" i="203" s="1"/>
  <c r="L263" i="165"/>
  <c r="L263" i="203" s="1"/>
  <c r="F263" i="165"/>
  <c r="F263" i="203" s="1"/>
  <c r="F252" i="165"/>
  <c r="F228" i="165"/>
  <c r="F228" i="203" s="1"/>
  <c r="K227" i="165"/>
  <c r="K227" i="203" s="1"/>
  <c r="K223" i="165"/>
  <c r="K223" i="203" s="1"/>
  <c r="H223" i="165"/>
  <c r="H223" i="203" s="1"/>
  <c r="N218" i="165"/>
  <c r="N218" i="203" s="1"/>
  <c r="J222" i="165"/>
  <c r="J222" i="203" s="1"/>
  <c r="O203" i="165"/>
  <c r="O203" i="203" s="1"/>
  <c r="J169" i="165"/>
  <c r="J169" i="203" s="1"/>
  <c r="E167" i="165"/>
  <c r="E167" i="203" s="1"/>
  <c r="G167" i="165"/>
  <c r="G167" i="203" s="1"/>
  <c r="O154" i="165"/>
  <c r="O154" i="203" s="1"/>
  <c r="M142" i="165"/>
  <c r="M142" i="203" s="1"/>
  <c r="G142" i="165"/>
  <c r="G142" i="203" s="1"/>
  <c r="J141" i="165"/>
  <c r="J141" i="203" s="1"/>
  <c r="O138" i="165"/>
  <c r="O138" i="203" s="1"/>
  <c r="K138" i="165"/>
  <c r="K138" i="203" s="1"/>
  <c r="F138" i="165"/>
  <c r="F138" i="203" s="1"/>
  <c r="J134" i="165"/>
  <c r="O130" i="165"/>
  <c r="O130" i="203" s="1"/>
  <c r="J131" i="165"/>
  <c r="J131" i="203" s="1"/>
  <c r="J124" i="165"/>
  <c r="J124" i="203" s="1"/>
  <c r="J242" i="165"/>
  <c r="O240" i="165"/>
  <c r="O240" i="203" s="1"/>
  <c r="F240" i="165"/>
  <c r="F240" i="203" s="1"/>
  <c r="F238" i="165"/>
  <c r="F238" i="203" s="1"/>
  <c r="M237" i="165"/>
  <c r="M237" i="203" s="1"/>
  <c r="O228" i="165"/>
  <c r="O228" i="203" s="1"/>
  <c r="L227" i="165"/>
  <c r="L227" i="203" s="1"/>
  <c r="G227" i="165"/>
  <c r="G227" i="203" s="1"/>
  <c r="P224" i="165"/>
  <c r="P224" i="203" s="1"/>
  <c r="I218" i="165"/>
  <c r="I218" i="203" s="1"/>
  <c r="F216" i="165"/>
  <c r="F216" i="203" s="1"/>
  <c r="I204" i="165"/>
  <c r="I204" i="203" s="1"/>
  <c r="O202" i="165"/>
  <c r="O202" i="203" s="1"/>
  <c r="J200" i="165"/>
  <c r="J200" i="203" s="1"/>
  <c r="J184" i="165"/>
  <c r="J175" i="165"/>
  <c r="J175" i="203" s="1"/>
  <c r="N148" i="165"/>
  <c r="N148" i="203" s="1"/>
  <c r="I148" i="165"/>
  <c r="I148" i="203" s="1"/>
  <c r="P147" i="165"/>
  <c r="P147" i="203" s="1"/>
  <c r="K135" i="165"/>
  <c r="K135" i="203" s="1"/>
  <c r="O136" i="165"/>
  <c r="E132" i="165"/>
  <c r="E132" i="203" s="1"/>
  <c r="F128" i="165"/>
  <c r="F128" i="203" s="1"/>
  <c r="E127" i="165"/>
  <c r="E127" i="203" s="1"/>
  <c r="E69" i="165"/>
  <c r="E69" i="203" s="1"/>
  <c r="F66" i="165"/>
  <c r="F66" i="203" s="1"/>
  <c r="O60" i="165"/>
  <c r="O60" i="203" s="1"/>
  <c r="J61" i="165"/>
  <c r="J61" i="203" s="1"/>
  <c r="N44" i="165"/>
  <c r="N44" i="203" s="1"/>
  <c r="H44" i="165"/>
  <c r="H44" i="203" s="1"/>
  <c r="L38" i="165"/>
  <c r="L38" i="203" s="1"/>
  <c r="F39" i="165"/>
  <c r="F39" i="203" s="1"/>
  <c r="I31" i="165"/>
  <c r="I31" i="203" s="1"/>
  <c r="K28" i="165"/>
  <c r="K28" i="203" s="1"/>
  <c r="O29" i="165"/>
  <c r="O29" i="203" s="1"/>
  <c r="J20" i="165"/>
  <c r="J20" i="203" s="1"/>
  <c r="F92" i="165"/>
  <c r="K66" i="165"/>
  <c r="K66" i="203" s="1"/>
  <c r="E60" i="165"/>
  <c r="E60" i="203" s="1"/>
  <c r="N53" i="165"/>
  <c r="N53" i="203" s="1"/>
  <c r="F45" i="165"/>
  <c r="F45" i="203" s="1"/>
  <c r="E45" i="165"/>
  <c r="E45" i="203" s="1"/>
  <c r="O26" i="165"/>
  <c r="O26" i="203" s="1"/>
  <c r="M22" i="165"/>
  <c r="M22" i="203" s="1"/>
  <c r="P24" i="165"/>
  <c r="P24" i="203" s="1"/>
  <c r="H17" i="165"/>
  <c r="H17" i="203" s="1"/>
  <c r="O447" i="165"/>
  <c r="O446" i="203" s="1"/>
  <c r="L446" i="165"/>
  <c r="L445" i="203" s="1"/>
  <c r="L442" i="203" s="1"/>
  <c r="G446" i="165"/>
  <c r="G445" i="203" s="1"/>
  <c r="E444" i="165"/>
  <c r="E443" i="203" s="1"/>
  <c r="M437" i="165"/>
  <c r="M436" i="203" s="1"/>
  <c r="G437" i="165"/>
  <c r="G436" i="203" s="1"/>
  <c r="G432" i="165"/>
  <c r="G431" i="203" s="1"/>
  <c r="O422" i="165"/>
  <c r="M418" i="165"/>
  <c r="M417" i="203" s="1"/>
  <c r="H418" i="165"/>
  <c r="H417" i="203" s="1"/>
  <c r="M405" i="165"/>
  <c r="M404" i="203" s="1"/>
  <c r="H405" i="165"/>
  <c r="H404" i="203" s="1"/>
  <c r="E403" i="165"/>
  <c r="E402" i="203" s="1"/>
  <c r="J402" i="165"/>
  <c r="J401" i="203" s="1"/>
  <c r="K396" i="165"/>
  <c r="K395" i="203" s="1"/>
  <c r="O397" i="165"/>
  <c r="O396" i="203" s="1"/>
  <c r="L383" i="165"/>
  <c r="L382" i="203" s="1"/>
  <c r="L377" i="203" s="1"/>
  <c r="F383" i="165"/>
  <c r="F382" i="203" s="1"/>
  <c r="G379" i="165"/>
  <c r="G378" i="203" s="1"/>
  <c r="G377" i="203" s="1"/>
  <c r="G376" i="203" s="1"/>
  <c r="K365" i="165"/>
  <c r="K364" i="203" s="1"/>
  <c r="N351" i="165"/>
  <c r="N350" i="203" s="1"/>
  <c r="H351" i="165"/>
  <c r="H350" i="203" s="1"/>
  <c r="K345" i="165"/>
  <c r="K344" i="203" s="1"/>
  <c r="N335" i="165"/>
  <c r="N335" i="203" s="1"/>
  <c r="I335" i="165"/>
  <c r="I335" i="203" s="1"/>
  <c r="F331" i="165"/>
  <c r="F331" i="203" s="1"/>
  <c r="M330" i="165"/>
  <c r="M330" i="203" s="1"/>
  <c r="L327" i="165"/>
  <c r="L327" i="203" s="1"/>
  <c r="I324" i="165"/>
  <c r="I324" i="203" s="1"/>
  <c r="O318" i="165"/>
  <c r="O318" i="203" s="1"/>
  <c r="J316" i="165"/>
  <c r="J316" i="203" s="1"/>
  <c r="O313" i="165"/>
  <c r="O313" i="203" s="1"/>
  <c r="K311" i="165"/>
  <c r="K311" i="203" s="1"/>
  <c r="J309" i="165"/>
  <c r="J309" i="203" s="1"/>
  <c r="J307" i="165"/>
  <c r="J307" i="203" s="1"/>
  <c r="F306" i="165"/>
  <c r="F306" i="203" s="1"/>
  <c r="M294" i="165"/>
  <c r="M294" i="203" s="1"/>
  <c r="H294" i="165"/>
  <c r="H294" i="203" s="1"/>
  <c r="J293" i="165"/>
  <c r="J293" i="203" s="1"/>
  <c r="J286" i="165"/>
  <c r="J286" i="203" s="1"/>
  <c r="M281" i="165"/>
  <c r="M281" i="203" s="1"/>
  <c r="G281" i="165"/>
  <c r="G281" i="203" s="1"/>
  <c r="O274" i="165"/>
  <c r="O274" i="203" s="1"/>
  <c r="E264" i="165"/>
  <c r="E264" i="203" s="1"/>
  <c r="I263" i="165"/>
  <c r="I263" i="203" s="1"/>
  <c r="O260" i="165"/>
  <c r="O260" i="203" s="1"/>
  <c r="M259" i="165"/>
  <c r="M259" i="203" s="1"/>
  <c r="H259" i="165"/>
  <c r="H259" i="203" s="1"/>
  <c r="E249" i="165"/>
  <c r="E249" i="203" s="1"/>
  <c r="G249" i="165"/>
  <c r="G249" i="203" s="1"/>
  <c r="E247" i="165"/>
  <c r="E247" i="203" s="1"/>
  <c r="M243" i="165"/>
  <c r="M243" i="203" s="1"/>
  <c r="G240" i="165"/>
  <c r="G240" i="203" s="1"/>
  <c r="K240" i="165"/>
  <c r="K240" i="203" s="1"/>
  <c r="H238" i="165"/>
  <c r="H238" i="203" s="1"/>
  <c r="O238" i="165"/>
  <c r="O238" i="203" s="1"/>
  <c r="N227" i="165"/>
  <c r="N227" i="203" s="1"/>
  <c r="I227" i="165"/>
  <c r="I227" i="203" s="1"/>
  <c r="G223" i="165"/>
  <c r="G223" i="203" s="1"/>
  <c r="M218" i="165"/>
  <c r="M218" i="203" s="1"/>
  <c r="J219" i="165"/>
  <c r="J219" i="203" s="1"/>
  <c r="H216" i="165"/>
  <c r="H216" i="203" s="1"/>
  <c r="M204" i="165"/>
  <c r="M204" i="203" s="1"/>
  <c r="G204" i="165"/>
  <c r="G204" i="203" s="1"/>
  <c r="J201" i="165"/>
  <c r="J201" i="203" s="1"/>
  <c r="N199" i="165"/>
  <c r="N199" i="203" s="1"/>
  <c r="H199" i="165"/>
  <c r="H199" i="203" s="1"/>
  <c r="J188" i="165"/>
  <c r="J178" i="165"/>
  <c r="J178" i="203" s="1"/>
  <c r="G148" i="165"/>
  <c r="G148" i="203" s="1"/>
  <c r="E130" i="165"/>
  <c r="E130" i="203" s="1"/>
  <c r="M122" i="165"/>
  <c r="M122" i="203" s="1"/>
  <c r="M118" i="203" s="1"/>
  <c r="M117" i="203" s="1"/>
  <c r="G122" i="165"/>
  <c r="G122" i="203" s="1"/>
  <c r="G118" i="203" s="1"/>
  <c r="G117" i="203" s="1"/>
  <c r="O110" i="165"/>
  <c r="J111" i="165"/>
  <c r="E73" i="165"/>
  <c r="E73" i="203" s="1"/>
  <c r="H66" i="165"/>
  <c r="H66" i="203" s="1"/>
  <c r="G63" i="165"/>
  <c r="G63" i="203" s="1"/>
  <c r="L44" i="165"/>
  <c r="L44" i="203" s="1"/>
  <c r="N38" i="165"/>
  <c r="N38" i="203" s="1"/>
  <c r="H38" i="165"/>
  <c r="H38" i="203" s="1"/>
  <c r="L35" i="165"/>
  <c r="L35" i="203" s="1"/>
  <c r="M31" i="165"/>
  <c r="M31" i="203" s="1"/>
  <c r="G31" i="165"/>
  <c r="G31" i="203" s="1"/>
  <c r="F25" i="165"/>
  <c r="F25" i="203" s="1"/>
  <c r="J19" i="165"/>
  <c r="K446" i="165"/>
  <c r="K445" i="203" s="1"/>
  <c r="K444" i="165"/>
  <c r="K443" i="203" s="1"/>
  <c r="J439" i="165"/>
  <c r="J438" i="203" s="1"/>
  <c r="Q438" i="203" s="1"/>
  <c r="K437" i="165"/>
  <c r="K436" i="203" s="1"/>
  <c r="F437" i="165"/>
  <c r="F436" i="203" s="1"/>
  <c r="F432" i="165"/>
  <c r="F431" i="203" s="1"/>
  <c r="J422" i="165"/>
  <c r="L418" i="165"/>
  <c r="L417" i="203" s="1"/>
  <c r="G418" i="165"/>
  <c r="G417" i="203" s="1"/>
  <c r="F406" i="165"/>
  <c r="F405" i="203" s="1"/>
  <c r="L405" i="165"/>
  <c r="L404" i="203" s="1"/>
  <c r="G405" i="165"/>
  <c r="G404" i="203" s="1"/>
  <c r="I396" i="165"/>
  <c r="I395" i="203" s="1"/>
  <c r="O390" i="165"/>
  <c r="O389" i="203" s="1"/>
  <c r="I383" i="165"/>
  <c r="I382" i="203" s="1"/>
  <c r="I377" i="203" s="1"/>
  <c r="I376" i="203" s="1"/>
  <c r="J382" i="165"/>
  <c r="J381" i="203" s="1"/>
  <c r="F379" i="165"/>
  <c r="F378" i="203" s="1"/>
  <c r="F377" i="203" s="1"/>
  <c r="F376" i="203" s="1"/>
  <c r="E365" i="165"/>
  <c r="E364" i="203" s="1"/>
  <c r="M351" i="165"/>
  <c r="M350" i="203" s="1"/>
  <c r="G351" i="165"/>
  <c r="G350" i="203" s="1"/>
  <c r="E345" i="165"/>
  <c r="E344" i="203" s="1"/>
  <c r="J344" i="165"/>
  <c r="J343" i="203" s="1"/>
  <c r="J342" i="165"/>
  <c r="J341" i="203" s="1"/>
  <c r="M335" i="165"/>
  <c r="M335" i="203" s="1"/>
  <c r="H335" i="165"/>
  <c r="H335" i="203" s="1"/>
  <c r="J332" i="165"/>
  <c r="J332" i="203" s="1"/>
  <c r="L330" i="165"/>
  <c r="L330" i="203" s="1"/>
  <c r="N324" i="165"/>
  <c r="N324" i="203" s="1"/>
  <c r="K324" i="165"/>
  <c r="K324" i="203" s="1"/>
  <c r="H324" i="165"/>
  <c r="H324" i="203" s="1"/>
  <c r="N310" i="165"/>
  <c r="N310" i="203" s="1"/>
  <c r="I310" i="165"/>
  <c r="I310" i="203" s="1"/>
  <c r="K306" i="165"/>
  <c r="K306" i="203" s="1"/>
  <c r="J298" i="165"/>
  <c r="J298" i="203" s="1"/>
  <c r="L294" i="165"/>
  <c r="L294" i="203" s="1"/>
  <c r="G294" i="165"/>
  <c r="G294" i="203" s="1"/>
  <c r="O289" i="165"/>
  <c r="O289" i="203" s="1"/>
  <c r="K282" i="165"/>
  <c r="K282" i="203" s="1"/>
  <c r="L281" i="165"/>
  <c r="L281" i="203" s="1"/>
  <c r="G274" i="165"/>
  <c r="G274" i="203" s="1"/>
  <c r="O266" i="165"/>
  <c r="O266" i="203" s="1"/>
  <c r="N263" i="165"/>
  <c r="N263" i="203" s="1"/>
  <c r="H263" i="165"/>
  <c r="H263" i="203" s="1"/>
  <c r="J261" i="165"/>
  <c r="J261" i="203" s="1"/>
  <c r="L259" i="165"/>
  <c r="L259" i="203" s="1"/>
  <c r="G259" i="165"/>
  <c r="G259" i="203" s="1"/>
  <c r="J255" i="165"/>
  <c r="J255" i="203" s="1"/>
  <c r="O252" i="165"/>
  <c r="F249" i="165"/>
  <c r="F249" i="203" s="1"/>
  <c r="O244" i="165"/>
  <c r="O244" i="203" s="1"/>
  <c r="F244" i="165"/>
  <c r="F244" i="203" s="1"/>
  <c r="G238" i="165"/>
  <c r="G238" i="203" s="1"/>
  <c r="N237" i="165"/>
  <c r="N237" i="203" s="1"/>
  <c r="I237" i="165"/>
  <c r="I237" i="203" s="1"/>
  <c r="M227" i="165"/>
  <c r="M227" i="203" s="1"/>
  <c r="H227" i="165"/>
  <c r="H227" i="203" s="1"/>
  <c r="F223" i="165"/>
  <c r="F223" i="203" s="1"/>
  <c r="L218" i="165"/>
  <c r="L218" i="203" s="1"/>
  <c r="J221" i="165"/>
  <c r="J221" i="203" s="1"/>
  <c r="G216" i="165"/>
  <c r="G216" i="203" s="1"/>
  <c r="K205" i="165"/>
  <c r="K205" i="203" s="1"/>
  <c r="L204" i="165"/>
  <c r="L204" i="203" s="1"/>
  <c r="F204" i="165"/>
  <c r="F204" i="203" s="1"/>
  <c r="M199" i="165"/>
  <c r="M199" i="203" s="1"/>
  <c r="G199" i="165"/>
  <c r="G199" i="203" s="1"/>
  <c r="O198" i="165"/>
  <c r="O198" i="203" s="1"/>
  <c r="J196" i="165"/>
  <c r="J182" i="165"/>
  <c r="J182" i="203" s="1"/>
  <c r="H172" i="165"/>
  <c r="H172" i="203" s="1"/>
  <c r="O170" i="165"/>
  <c r="O170" i="203" s="1"/>
  <c r="N167" i="165"/>
  <c r="N167" i="203" s="1"/>
  <c r="J166" i="165"/>
  <c r="J166" i="203" s="1"/>
  <c r="J155" i="165"/>
  <c r="J155" i="203" s="1"/>
  <c r="F153" i="165"/>
  <c r="F153" i="203" s="1"/>
  <c r="J139" i="165"/>
  <c r="J139" i="203" s="1"/>
  <c r="H138" i="165"/>
  <c r="H138" i="203" s="1"/>
  <c r="O132" i="165"/>
  <c r="O132" i="203" s="1"/>
  <c r="J133" i="165"/>
  <c r="J133" i="203" s="1"/>
  <c r="F119" i="165"/>
  <c r="F119" i="203" s="1"/>
  <c r="E110" i="165"/>
  <c r="M104" i="165"/>
  <c r="M104" i="203" s="1"/>
  <c r="G104" i="165"/>
  <c r="G104" i="203" s="1"/>
  <c r="E105" i="165"/>
  <c r="E105" i="203" s="1"/>
  <c r="O69" i="165"/>
  <c r="O69" i="203" s="1"/>
  <c r="F57" i="165"/>
  <c r="F57" i="203" s="1"/>
  <c r="O53" i="165"/>
  <c r="O53" i="203" s="1"/>
  <c r="J32" i="165"/>
  <c r="J32" i="203" s="1"/>
  <c r="K25" i="165"/>
  <c r="K25" i="203" s="1"/>
  <c r="O167" i="165"/>
  <c r="O167" i="203" s="1"/>
  <c r="I157" i="165"/>
  <c r="I157" i="203" s="1"/>
  <c r="P156" i="165"/>
  <c r="P156" i="203" s="1"/>
  <c r="N122" i="165"/>
  <c r="N122" i="203" s="1"/>
  <c r="N118" i="203" s="1"/>
  <c r="N117" i="203" s="1"/>
  <c r="H122" i="165"/>
  <c r="H122" i="203" s="1"/>
  <c r="H118" i="203" s="1"/>
  <c r="H117" i="203" s="1"/>
  <c r="L104" i="165"/>
  <c r="L104" i="203" s="1"/>
  <c r="P94" i="165"/>
  <c r="P91" i="165"/>
  <c r="P88" i="165"/>
  <c r="P88" i="203" s="1"/>
  <c r="P85" i="165"/>
  <c r="P85" i="203" s="1"/>
  <c r="P82" i="165"/>
  <c r="P82" i="203" s="1"/>
  <c r="O73" i="165"/>
  <c r="O73" i="203" s="1"/>
  <c r="F69" i="165"/>
  <c r="F69" i="203" s="1"/>
  <c r="G57" i="165"/>
  <c r="G57" i="203" s="1"/>
  <c r="H53" i="165"/>
  <c r="H53" i="203" s="1"/>
  <c r="L53" i="165"/>
  <c r="L53" i="203" s="1"/>
  <c r="M38" i="165"/>
  <c r="M38" i="203" s="1"/>
  <c r="G38" i="165"/>
  <c r="G38" i="203" s="1"/>
  <c r="O31" i="165"/>
  <c r="O31" i="203" s="1"/>
  <c r="L22" i="165"/>
  <c r="L22" i="203" s="1"/>
  <c r="G22" i="165"/>
  <c r="G22" i="203" s="1"/>
  <c r="G172" i="165"/>
  <c r="G172" i="203" s="1"/>
  <c r="E170" i="165"/>
  <c r="E170" i="203" s="1"/>
  <c r="H167" i="165"/>
  <c r="H167" i="203" s="1"/>
  <c r="O158" i="165"/>
  <c r="O158" i="203" s="1"/>
  <c r="L157" i="165"/>
  <c r="L157" i="203" s="1"/>
  <c r="L122" i="165"/>
  <c r="L122" i="203" s="1"/>
  <c r="L118" i="203" s="1"/>
  <c r="L117" i="203" s="1"/>
  <c r="H104" i="165"/>
  <c r="H104" i="203" s="1"/>
  <c r="E86" i="165"/>
  <c r="E86" i="203" s="1"/>
  <c r="P72" i="165"/>
  <c r="P72" i="203" s="1"/>
  <c r="F63" i="165"/>
  <c r="F63" i="203" s="1"/>
  <c r="P62" i="165"/>
  <c r="P62" i="203" s="1"/>
  <c r="J54" i="165"/>
  <c r="J54" i="203" s="1"/>
  <c r="I38" i="165"/>
  <c r="I38" i="203" s="1"/>
  <c r="N22" i="165"/>
  <c r="N22" i="203" s="1"/>
  <c r="I22" i="165"/>
  <c r="I22" i="203" s="1"/>
  <c r="P41" i="165"/>
  <c r="P41" i="203" s="1"/>
  <c r="E17" i="165"/>
  <c r="E17" i="203" s="1"/>
  <c r="O40" i="165"/>
  <c r="O40" i="203" s="1"/>
  <c r="J36" i="165"/>
  <c r="J36" i="203" s="1"/>
  <c r="J34" i="165"/>
  <c r="J34" i="203" s="1"/>
  <c r="O18" i="165"/>
  <c r="O18" i="203" s="1"/>
  <c r="F31" i="165"/>
  <c r="F31" i="203" s="1"/>
  <c r="E23" i="165"/>
  <c r="E23" i="203" s="1"/>
  <c r="F17" i="165"/>
  <c r="F17" i="203" s="1"/>
  <c r="O107" i="165"/>
  <c r="O107" i="203" s="1"/>
  <c r="J108" i="165"/>
  <c r="J108" i="203" s="1"/>
  <c r="E53" i="165"/>
  <c r="E53" i="203" s="1"/>
  <c r="J86" i="165"/>
  <c r="J86" i="203" s="1"/>
  <c r="P87" i="165"/>
  <c r="P87" i="203" s="1"/>
  <c r="J81" i="165"/>
  <c r="J81" i="203" s="1"/>
  <c r="F80" i="165"/>
  <c r="F80" i="203" s="1"/>
  <c r="J74" i="165"/>
  <c r="J74" i="203" s="1"/>
  <c r="J58" i="165"/>
  <c r="J58" i="203" s="1"/>
  <c r="K53" i="165"/>
  <c r="K53" i="203" s="1"/>
  <c r="K107" i="165"/>
  <c r="K107" i="203" s="1"/>
  <c r="E57" i="165"/>
  <c r="E57" i="203" s="1"/>
  <c r="O86" i="165"/>
  <c r="O86" i="203" s="1"/>
  <c r="O84" i="165"/>
  <c r="O84" i="203" s="1"/>
  <c r="F53" i="165"/>
  <c r="F53" i="203" s="1"/>
  <c r="J144" i="165"/>
  <c r="O129" i="165"/>
  <c r="O129" i="203" s="1"/>
  <c r="J120" i="165"/>
  <c r="J120" i="203" s="1"/>
  <c r="E143" i="165"/>
  <c r="E143" i="203" s="1"/>
  <c r="O146" i="165"/>
  <c r="O146" i="203" s="1"/>
  <c r="P140" i="165"/>
  <c r="P140" i="203" s="1"/>
  <c r="O125" i="165"/>
  <c r="O125" i="203" s="1"/>
  <c r="J123" i="165"/>
  <c r="J123" i="203" s="1"/>
  <c r="P161" i="165"/>
  <c r="P161" i="203" s="1"/>
  <c r="F158" i="165"/>
  <c r="F158" i="203" s="1"/>
  <c r="O206" i="165"/>
  <c r="O206" i="203" s="1"/>
  <c r="F172" i="165"/>
  <c r="F172" i="203" s="1"/>
  <c r="J171" i="165"/>
  <c r="J171" i="203" s="1"/>
  <c r="F167" i="165"/>
  <c r="F167" i="203" s="1"/>
  <c r="K153" i="165"/>
  <c r="K153" i="203" s="1"/>
  <c r="F199" i="165"/>
  <c r="F199" i="203" s="1"/>
  <c r="O183" i="165"/>
  <c r="J168" i="165"/>
  <c r="J168" i="203" s="1"/>
  <c r="J180" i="165"/>
  <c r="J159" i="165"/>
  <c r="J159" i="203" s="1"/>
  <c r="J229" i="165"/>
  <c r="J229" i="203" s="1"/>
  <c r="O225" i="165"/>
  <c r="O225" i="203" s="1"/>
  <c r="J268" i="165"/>
  <c r="J268" i="203" s="1"/>
  <c r="O257" i="165"/>
  <c r="O257" i="203" s="1"/>
  <c r="J256" i="165"/>
  <c r="J256" i="203" s="1"/>
  <c r="L249" i="165"/>
  <c r="L249" i="203" s="1"/>
  <c r="E266" i="165"/>
  <c r="E266" i="203" s="1"/>
  <c r="O247" i="165"/>
  <c r="O247" i="203" s="1"/>
  <c r="J241" i="165"/>
  <c r="J241" i="203" s="1"/>
  <c r="J253" i="165"/>
  <c r="J246" i="165"/>
  <c r="J246" i="203" s="1"/>
  <c r="O297" i="165"/>
  <c r="O297" i="203" s="1"/>
  <c r="E292" i="165"/>
  <c r="E292" i="203" s="1"/>
  <c r="F282" i="165"/>
  <c r="F282" i="203" s="1"/>
  <c r="J275" i="165"/>
  <c r="J275" i="203" s="1"/>
  <c r="O283" i="165"/>
  <c r="O283" i="203" s="1"/>
  <c r="O292" i="165"/>
  <c r="O292" i="203" s="1"/>
  <c r="F274" i="165"/>
  <c r="F274" i="203" s="1"/>
  <c r="F336" i="203"/>
  <c r="O331" i="165"/>
  <c r="O331" i="203" s="1"/>
  <c r="F321" i="165"/>
  <c r="F321" i="203" s="1"/>
  <c r="J312" i="165"/>
  <c r="J312" i="203" s="1"/>
  <c r="O306" i="165"/>
  <c r="O306" i="203" s="1"/>
  <c r="J328" i="165"/>
  <c r="J325" i="165"/>
  <c r="J325" i="203" s="1"/>
  <c r="J337" i="165"/>
  <c r="J337" i="203" s="1"/>
  <c r="E341" i="165"/>
  <c r="E340" i="203" s="1"/>
  <c r="O350" i="165"/>
  <c r="O349" i="203" s="1"/>
  <c r="O366" i="165"/>
  <c r="O365" i="203" s="1"/>
  <c r="O346" i="165"/>
  <c r="O345" i="203" s="1"/>
  <c r="O341" i="165"/>
  <c r="O340" i="203" s="1"/>
  <c r="O358" i="165"/>
  <c r="F341" i="165"/>
  <c r="F340" i="203" s="1"/>
  <c r="O386" i="165"/>
  <c r="O385" i="203" s="1"/>
  <c r="E397" i="165"/>
  <c r="E396" i="203" s="1"/>
  <c r="O403" i="165"/>
  <c r="O402" i="203" s="1"/>
  <c r="J400" i="165"/>
  <c r="J399" i="203" s="1"/>
  <c r="F397" i="165"/>
  <c r="F396" i="203" s="1"/>
  <c r="J398" i="165"/>
  <c r="J397" i="203" s="1"/>
  <c r="E416" i="165"/>
  <c r="E415" i="203" s="1"/>
  <c r="K416" i="165"/>
  <c r="K415" i="203" s="1"/>
  <c r="P423" i="165"/>
  <c r="F416" i="165"/>
  <c r="F415" i="203" s="1"/>
  <c r="F418" i="165"/>
  <c r="F417" i="203" s="1"/>
  <c r="K412" i="165"/>
  <c r="K411" i="203" s="1"/>
  <c r="O421" i="165"/>
  <c r="J419" i="165"/>
  <c r="J418" i="203" s="1"/>
  <c r="O438" i="165"/>
  <c r="O437" i="203" s="1"/>
  <c r="J448" i="165"/>
  <c r="J447" i="203" s="1"/>
  <c r="O445" i="165"/>
  <c r="O444" i="203" s="1"/>
  <c r="F447" i="165"/>
  <c r="F446" i="203" s="1"/>
  <c r="F444" i="165"/>
  <c r="F443" i="203" s="1"/>
  <c r="O467" i="165"/>
  <c r="O466" i="203" s="1"/>
  <c r="E457" i="165"/>
  <c r="E456" i="203" s="1"/>
  <c r="J465" i="165"/>
  <c r="J464" i="203" s="1"/>
  <c r="L376" i="203" l="1"/>
  <c r="L441" i="203"/>
  <c r="O405" i="165"/>
  <c r="O404" i="203" s="1"/>
  <c r="O405" i="203"/>
  <c r="P68" i="165"/>
  <c r="P68" i="203" s="1"/>
  <c r="J68" i="203"/>
  <c r="J457" i="165"/>
  <c r="J456" i="203" s="1"/>
  <c r="J457" i="203"/>
  <c r="P287" i="165"/>
  <c r="P287" i="203" s="1"/>
  <c r="J287" i="203"/>
  <c r="M459" i="165"/>
  <c r="M458" i="203" s="1"/>
  <c r="M451" i="203" s="1"/>
  <c r="M450" i="203" s="1"/>
  <c r="M462" i="203"/>
  <c r="P78" i="165"/>
  <c r="P78" i="203" s="1"/>
  <c r="J78" i="203"/>
  <c r="N27" i="165"/>
  <c r="N27" i="203" s="1"/>
  <c r="N16" i="203" s="1"/>
  <c r="N31" i="203"/>
  <c r="L459" i="165"/>
  <c r="L458" i="203" s="1"/>
  <c r="L451" i="203" s="1"/>
  <c r="L450" i="203" s="1"/>
  <c r="L462" i="203"/>
  <c r="P392" i="165"/>
  <c r="P391" i="203" s="1"/>
  <c r="J391" i="203"/>
  <c r="F442" i="203"/>
  <c r="F441" i="203" s="1"/>
  <c r="K442" i="203"/>
  <c r="K441" i="203" s="1"/>
  <c r="P77" i="165"/>
  <c r="P77" i="203" s="1"/>
  <c r="J77" i="203"/>
  <c r="P174" i="165"/>
  <c r="P174" i="203" s="1"/>
  <c r="J174" i="203"/>
  <c r="I173" i="167"/>
  <c r="J242" i="203"/>
  <c r="I224" i="167"/>
  <c r="P404" i="165"/>
  <c r="P403" i="203" s="1"/>
  <c r="J403" i="203"/>
  <c r="P55" i="165"/>
  <c r="P55" i="203" s="1"/>
  <c r="J55" i="203"/>
  <c r="E238" i="165"/>
  <c r="E238" i="203" s="1"/>
  <c r="E239" i="203"/>
  <c r="P21" i="165"/>
  <c r="P21" i="203" s="1"/>
  <c r="J21" i="203"/>
  <c r="P33" i="165"/>
  <c r="P33" i="203" s="1"/>
  <c r="J33" i="203"/>
  <c r="J179" i="165"/>
  <c r="J179" i="203" s="1"/>
  <c r="J180" i="203"/>
  <c r="J176" i="165"/>
  <c r="J176" i="203" s="1"/>
  <c r="O176" i="203"/>
  <c r="P70" i="165"/>
  <c r="P70" i="203" s="1"/>
  <c r="J70" i="203"/>
  <c r="P162" i="165"/>
  <c r="P162" i="203" s="1"/>
  <c r="J162" i="203"/>
  <c r="P76" i="165"/>
  <c r="P76" i="203" s="1"/>
  <c r="J76" i="203"/>
  <c r="H16" i="203"/>
  <c r="G305" i="203"/>
  <c r="G304" i="203" s="1"/>
  <c r="G442" i="203"/>
  <c r="G441" i="203" s="1"/>
  <c r="P79" i="165"/>
  <c r="P79" i="203" s="1"/>
  <c r="J79" i="203"/>
  <c r="H27" i="165"/>
  <c r="H27" i="203" s="1"/>
  <c r="H31" i="203"/>
  <c r="P95" i="165"/>
  <c r="P95" i="203" s="1"/>
  <c r="J95" i="203"/>
  <c r="O135" i="165"/>
  <c r="O135" i="203" s="1"/>
  <c r="O136" i="203"/>
  <c r="J134" i="203"/>
  <c r="L138" i="167"/>
  <c r="E464" i="165"/>
  <c r="E463" i="203" s="1"/>
  <c r="J96" i="165"/>
  <c r="J96" i="203" s="1"/>
  <c r="J97" i="203"/>
  <c r="I50" i="203"/>
  <c r="I49" i="203" s="1"/>
  <c r="P137" i="165"/>
  <c r="P137" i="203" s="1"/>
  <c r="J137" i="203"/>
  <c r="P101" i="165"/>
  <c r="P101" i="203" s="1"/>
  <c r="J101" i="203"/>
  <c r="J143" i="165"/>
  <c r="J143" i="203" s="1"/>
  <c r="J144" i="203"/>
  <c r="M50" i="203"/>
  <c r="M49" i="203" s="1"/>
  <c r="P160" i="165"/>
  <c r="P160" i="203" s="1"/>
  <c r="J160" i="203"/>
  <c r="P177" i="165"/>
  <c r="P177" i="203" s="1"/>
  <c r="J177" i="203"/>
  <c r="O357" i="165"/>
  <c r="O357" i="203"/>
  <c r="J80" i="165"/>
  <c r="J80" i="203" s="1"/>
  <c r="O80" i="203"/>
  <c r="J238" i="165"/>
  <c r="J238" i="203" s="1"/>
  <c r="J239" i="203"/>
  <c r="P460" i="165"/>
  <c r="P459" i="203" s="1"/>
  <c r="J459" i="203"/>
  <c r="P75" i="165"/>
  <c r="P75" i="203" s="1"/>
  <c r="J75" i="203"/>
  <c r="J328" i="203"/>
  <c r="I317" i="167"/>
  <c r="P239" i="165"/>
  <c r="P239" i="203" s="1"/>
  <c r="P458" i="165"/>
  <c r="P457" i="203" s="1"/>
  <c r="F22" i="165"/>
  <c r="F22" i="203" s="1"/>
  <c r="P468" i="165"/>
  <c r="P467" i="203" s="1"/>
  <c r="G27" i="165"/>
  <c r="G27" i="203" s="1"/>
  <c r="G16" i="203" s="1"/>
  <c r="M291" i="165"/>
  <c r="M291" i="203" s="1"/>
  <c r="J127" i="165"/>
  <c r="J127" i="203" s="1"/>
  <c r="P71" i="165"/>
  <c r="P71" i="203" s="1"/>
  <c r="O432" i="165"/>
  <c r="O431" i="203" s="1"/>
  <c r="P193" i="165"/>
  <c r="F291" i="165"/>
  <c r="F291" i="203" s="1"/>
  <c r="F320" i="165"/>
  <c r="F320" i="203" s="1"/>
  <c r="P46" i="165"/>
  <c r="P46" i="203" s="1"/>
  <c r="G218" i="165"/>
  <c r="G218" i="203" s="1"/>
  <c r="P131" i="165"/>
  <c r="P131" i="203" s="1"/>
  <c r="H243" i="165"/>
  <c r="H243" i="203" s="1"/>
  <c r="J296" i="165"/>
  <c r="J173" i="165"/>
  <c r="P165" i="165"/>
  <c r="P165" i="203" s="1"/>
  <c r="P176" i="165"/>
  <c r="P176" i="203" s="1"/>
  <c r="H291" i="165"/>
  <c r="H291" i="203" s="1"/>
  <c r="K320" i="165"/>
  <c r="K320" i="203" s="1"/>
  <c r="O324" i="165"/>
  <c r="O324" i="203" s="1"/>
  <c r="K51" i="165"/>
  <c r="K51" i="203" s="1"/>
  <c r="O278" i="165"/>
  <c r="O278" i="203" s="1"/>
  <c r="P251" i="165"/>
  <c r="P251" i="203" s="1"/>
  <c r="J69" i="165"/>
  <c r="I291" i="165"/>
  <c r="I291" i="203" s="1"/>
  <c r="F38" i="165"/>
  <c r="F38" i="203" s="1"/>
  <c r="H393" i="165"/>
  <c r="H392" i="203" s="1"/>
  <c r="G393" i="165"/>
  <c r="G392" i="203" s="1"/>
  <c r="N291" i="165"/>
  <c r="N291" i="203" s="1"/>
  <c r="O352" i="165"/>
  <c r="O351" i="203" s="1"/>
  <c r="P248" i="165"/>
  <c r="K347" i="165"/>
  <c r="K346" i="203" s="1"/>
  <c r="P164" i="165"/>
  <c r="P164" i="203" s="1"/>
  <c r="J260" i="165"/>
  <c r="O199" i="165"/>
  <c r="O199" i="203" s="1"/>
  <c r="K44" i="165"/>
  <c r="K44" i="203" s="1"/>
  <c r="P121" i="165"/>
  <c r="P121" i="203" s="1"/>
  <c r="O311" i="165"/>
  <c r="M393" i="165"/>
  <c r="M392" i="203" s="1"/>
  <c r="P391" i="165"/>
  <c r="P390" i="203" s="1"/>
  <c r="J106" i="165"/>
  <c r="J106" i="203" s="1"/>
  <c r="P163" i="165"/>
  <c r="P163" i="203" s="1"/>
  <c r="E347" i="165"/>
  <c r="E346" i="203" s="1"/>
  <c r="P200" i="165"/>
  <c r="P200" i="203" s="1"/>
  <c r="E331" i="165"/>
  <c r="K157" i="165"/>
  <c r="K157" i="203" s="1"/>
  <c r="N393" i="165"/>
  <c r="N392" i="203" s="1"/>
  <c r="L51" i="165"/>
  <c r="L51" i="203" s="1"/>
  <c r="L50" i="203" s="1"/>
  <c r="P332" i="165"/>
  <c r="P332" i="203" s="1"/>
  <c r="J438" i="165"/>
  <c r="J250" i="165"/>
  <c r="J47" i="165"/>
  <c r="J47" i="203" s="1"/>
  <c r="P293" i="165"/>
  <c r="L109" i="167"/>
  <c r="P120" i="165"/>
  <c r="P120" i="203" s="1"/>
  <c r="H51" i="165"/>
  <c r="H51" i="203" s="1"/>
  <c r="H50" i="203" s="1"/>
  <c r="H49" i="203" s="1"/>
  <c r="J390" i="165"/>
  <c r="J389" i="203" s="1"/>
  <c r="L393" i="165"/>
  <c r="L392" i="203" s="1"/>
  <c r="J100" i="165"/>
  <c r="J100" i="203" s="1"/>
  <c r="L45" i="167"/>
  <c r="L25" i="167"/>
  <c r="L291" i="165"/>
  <c r="L291" i="203" s="1"/>
  <c r="I393" i="165"/>
  <c r="I392" i="203" s="1"/>
  <c r="P201" i="165"/>
  <c r="P201" i="203" s="1"/>
  <c r="E324" i="165"/>
  <c r="E324" i="203" s="1"/>
  <c r="N51" i="165"/>
  <c r="N51" i="203" s="1"/>
  <c r="N50" i="203" s="1"/>
  <c r="N49" i="203" s="1"/>
  <c r="J60" i="165"/>
  <c r="J60" i="203" s="1"/>
  <c r="P141" i="165"/>
  <c r="P141" i="203" s="1"/>
  <c r="G319" i="165"/>
  <c r="G319" i="203" s="1"/>
  <c r="K38" i="165"/>
  <c r="K38" i="203" s="1"/>
  <c r="J399" i="165"/>
  <c r="J398" i="203" s="1"/>
  <c r="O42" i="165"/>
  <c r="O42" i="203" s="1"/>
  <c r="J417" i="165"/>
  <c r="P454" i="165"/>
  <c r="P453" i="203" s="1"/>
  <c r="G51" i="165"/>
  <c r="G51" i="203" s="1"/>
  <c r="G50" i="203" s="1"/>
  <c r="G49" i="203" s="1"/>
  <c r="P102" i="165"/>
  <c r="O416" i="165"/>
  <c r="O415" i="203" s="1"/>
  <c r="F51" i="165"/>
  <c r="F51" i="203" s="1"/>
  <c r="F50" i="203" s="1"/>
  <c r="F49" i="203" s="1"/>
  <c r="K243" i="165"/>
  <c r="K243" i="203" s="1"/>
  <c r="J43" i="165"/>
  <c r="K393" i="165"/>
  <c r="K392" i="203" s="1"/>
  <c r="J354" i="165"/>
  <c r="O172" i="165"/>
  <c r="O172" i="203" s="1"/>
  <c r="P149" i="165"/>
  <c r="P149" i="203" s="1"/>
  <c r="O348" i="165"/>
  <c r="O347" i="203" s="1"/>
  <c r="O92" i="165"/>
  <c r="J467" i="165"/>
  <c r="J466" i="203" s="1"/>
  <c r="H157" i="165"/>
  <c r="H157" i="203" s="1"/>
  <c r="J341" i="165"/>
  <c r="J340" i="203" s="1"/>
  <c r="O45" i="165"/>
  <c r="J183" i="165"/>
  <c r="P439" i="165"/>
  <c r="P438" i="203" s="1"/>
  <c r="J138" i="165"/>
  <c r="J138" i="203" s="1"/>
  <c r="M319" i="165"/>
  <c r="M319" i="203" s="1"/>
  <c r="M305" i="203" s="1"/>
  <c r="M304" i="203" s="1"/>
  <c r="J297" i="165"/>
  <c r="J297" i="203" s="1"/>
  <c r="E244" i="165"/>
  <c r="E244" i="203" s="1"/>
  <c r="P169" i="165"/>
  <c r="P169" i="203" s="1"/>
  <c r="J53" i="165"/>
  <c r="J53" i="203" s="1"/>
  <c r="I27" i="165"/>
  <c r="I27" i="203" s="1"/>
  <c r="I16" i="203" s="1"/>
  <c r="F218" i="165"/>
  <c r="F218" i="203" s="1"/>
  <c r="I319" i="165"/>
  <c r="I319" i="203" s="1"/>
  <c r="I305" i="203" s="1"/>
  <c r="I304" i="203" s="1"/>
  <c r="P298" i="165"/>
  <c r="P298" i="203" s="1"/>
  <c r="P267" i="165"/>
  <c r="P267" i="203" s="1"/>
  <c r="N459" i="165"/>
  <c r="N458" i="203" s="1"/>
  <c r="N451" i="203" s="1"/>
  <c r="N450" i="203" s="1"/>
  <c r="E447" i="165"/>
  <c r="E446" i="203" s="1"/>
  <c r="J413" i="165"/>
  <c r="I459" i="165"/>
  <c r="I458" i="203" s="1"/>
  <c r="I451" i="203" s="1"/>
  <c r="I450" i="203" s="1"/>
  <c r="E254" i="165"/>
  <c r="E254" i="203" s="1"/>
  <c r="J73" i="165"/>
  <c r="J73" i="203" s="1"/>
  <c r="K27" i="165"/>
  <c r="K27" i="203" s="1"/>
  <c r="M262" i="165"/>
  <c r="M262" i="203" s="1"/>
  <c r="J331" i="165"/>
  <c r="J331" i="203" s="1"/>
  <c r="P155" i="165"/>
  <c r="P155" i="203" s="1"/>
  <c r="H459" i="165"/>
  <c r="H458" i="203" s="1"/>
  <c r="H451" i="203" s="1"/>
  <c r="H450" i="203" s="1"/>
  <c r="J403" i="165"/>
  <c r="J402" i="203" s="1"/>
  <c r="P301" i="165"/>
  <c r="P301" i="203" s="1"/>
  <c r="H237" i="165"/>
  <c r="H237" i="203" s="1"/>
  <c r="L237" i="165"/>
  <c r="L237" i="203" s="1"/>
  <c r="P184" i="165"/>
  <c r="P166" i="165"/>
  <c r="P166" i="203" s="1"/>
  <c r="K122" i="165"/>
  <c r="K122" i="203" s="1"/>
  <c r="K118" i="203" s="1"/>
  <c r="K117" i="203" s="1"/>
  <c r="O105" i="165"/>
  <c r="O105" i="203" s="1"/>
  <c r="P97" i="165"/>
  <c r="E418" i="165"/>
  <c r="E417" i="203" s="1"/>
  <c r="K459" i="165"/>
  <c r="K458" i="203" s="1"/>
  <c r="K451" i="203" s="1"/>
  <c r="K450" i="203" s="1"/>
  <c r="O412" i="165"/>
  <c r="O411" i="203" s="1"/>
  <c r="E223" i="165"/>
  <c r="E223" i="203" s="1"/>
  <c r="P188" i="165"/>
  <c r="E92" i="165"/>
  <c r="P56" i="165"/>
  <c r="P56" i="203" s="1"/>
  <c r="E104" i="165"/>
  <c r="E104" i="203" s="1"/>
  <c r="M157" i="165"/>
  <c r="M157" i="203" s="1"/>
  <c r="J461" i="165"/>
  <c r="J460" i="203" s="1"/>
  <c r="P390" i="165"/>
  <c r="P389" i="203" s="1"/>
  <c r="P422" i="165"/>
  <c r="P20" i="165"/>
  <c r="P20" i="203" s="1"/>
  <c r="E252" i="165"/>
  <c r="E274" i="165"/>
  <c r="E274" i="203" s="1"/>
  <c r="P308" i="165"/>
  <c r="P308" i="203" s="1"/>
  <c r="O264" i="165"/>
  <c r="O264" i="203" s="1"/>
  <c r="J265" i="165"/>
  <c r="J265" i="203" s="1"/>
  <c r="F463" i="165"/>
  <c r="F462" i="203" s="1"/>
  <c r="J217" i="165"/>
  <c r="J217" i="203" s="1"/>
  <c r="P290" i="165"/>
  <c r="P290" i="203" s="1"/>
  <c r="E44" i="165"/>
  <c r="E44" i="203" s="1"/>
  <c r="K22" i="165"/>
  <c r="K22" i="203" s="1"/>
  <c r="J132" i="165"/>
  <c r="J132" i="203" s="1"/>
  <c r="H262" i="165"/>
  <c r="H262" i="203" s="1"/>
  <c r="I262" i="165"/>
  <c r="I262" i="203" s="1"/>
  <c r="G291" i="165"/>
  <c r="G291" i="203" s="1"/>
  <c r="E306" i="165"/>
  <c r="E306" i="203" s="1"/>
  <c r="G415" i="165"/>
  <c r="G414" i="203" s="1"/>
  <c r="G410" i="203" s="1"/>
  <c r="G409" i="203" s="1"/>
  <c r="P48" i="165"/>
  <c r="P48" i="203" s="1"/>
  <c r="P221" i="165"/>
  <c r="P221" i="203" s="1"/>
  <c r="N226" i="165"/>
  <c r="N226" i="203" s="1"/>
  <c r="N215" i="203" s="1"/>
  <c r="N214" i="203" s="1"/>
  <c r="J313" i="165"/>
  <c r="J313" i="203" s="1"/>
  <c r="J318" i="165"/>
  <c r="J318" i="203" s="1"/>
  <c r="L324" i="165"/>
  <c r="L324" i="203" s="1"/>
  <c r="F330" i="165"/>
  <c r="F330" i="203" s="1"/>
  <c r="H415" i="165"/>
  <c r="H414" i="203" s="1"/>
  <c r="H410" i="203" s="1"/>
  <c r="H409" i="203" s="1"/>
  <c r="J26" i="165"/>
  <c r="J26" i="203" s="1"/>
  <c r="O25" i="165"/>
  <c r="O25" i="203" s="1"/>
  <c r="F44" i="165"/>
  <c r="F44" i="203" s="1"/>
  <c r="P61" i="165"/>
  <c r="P61" i="203" s="1"/>
  <c r="P133" i="165"/>
  <c r="P133" i="203" s="1"/>
  <c r="J136" i="165"/>
  <c r="J136" i="203" s="1"/>
  <c r="G226" i="165"/>
  <c r="G226" i="203" s="1"/>
  <c r="G215" i="203" s="1"/>
  <c r="G214" i="203" s="1"/>
  <c r="L262" i="165"/>
  <c r="L262" i="203" s="1"/>
  <c r="J279" i="165"/>
  <c r="J279" i="203" s="1"/>
  <c r="P420" i="165"/>
  <c r="J433" i="165"/>
  <c r="J432" i="203" s="1"/>
  <c r="F310" i="165"/>
  <c r="F310" i="203" s="1"/>
  <c r="P315" i="165"/>
  <c r="P315" i="203" s="1"/>
  <c r="H319" i="165"/>
  <c r="H319" i="203" s="1"/>
  <c r="H305" i="203" s="1"/>
  <c r="H304" i="203" s="1"/>
  <c r="P343" i="165"/>
  <c r="P342" i="203" s="1"/>
  <c r="P382" i="165"/>
  <c r="P381" i="203" s="1"/>
  <c r="P434" i="165"/>
  <c r="P433" i="203" s="1"/>
  <c r="E456" i="165"/>
  <c r="E455" i="203" s="1"/>
  <c r="F396" i="165"/>
  <c r="F395" i="203" s="1"/>
  <c r="F335" i="165"/>
  <c r="F335" i="203" s="1"/>
  <c r="J244" i="165"/>
  <c r="J244" i="203" s="1"/>
  <c r="K104" i="165"/>
  <c r="K104" i="203" s="1"/>
  <c r="M226" i="165"/>
  <c r="M226" i="203" s="1"/>
  <c r="M215" i="203" s="1"/>
  <c r="M214" i="203" s="1"/>
  <c r="P255" i="165"/>
  <c r="P255" i="203" s="1"/>
  <c r="E263" i="165"/>
  <c r="E263" i="203" s="1"/>
  <c r="P175" i="165"/>
  <c r="P175" i="203" s="1"/>
  <c r="J130" i="165"/>
  <c r="J130" i="203" s="1"/>
  <c r="J203" i="165"/>
  <c r="J203" i="203" s="1"/>
  <c r="K226" i="165"/>
  <c r="K226" i="203" s="1"/>
  <c r="E463" i="165"/>
  <c r="E462" i="203" s="1"/>
  <c r="J380" i="165"/>
  <c r="J379" i="203" s="1"/>
  <c r="P381" i="165"/>
  <c r="P380" i="203" s="1"/>
  <c r="O456" i="165"/>
  <c r="O455" i="203" s="1"/>
  <c r="K415" i="165"/>
  <c r="K414" i="203" s="1"/>
  <c r="K410" i="203" s="1"/>
  <c r="K409" i="203" s="1"/>
  <c r="P337" i="165"/>
  <c r="N319" i="165"/>
  <c r="N319" i="203" s="1"/>
  <c r="N305" i="203" s="1"/>
  <c r="N304" i="203" s="1"/>
  <c r="J252" i="165"/>
  <c r="J167" i="165"/>
  <c r="J167" i="203" s="1"/>
  <c r="P159" i="165"/>
  <c r="P159" i="203" s="1"/>
  <c r="P86" i="165"/>
  <c r="P86" i="203" s="1"/>
  <c r="O466" i="165"/>
  <c r="O465" i="203" s="1"/>
  <c r="F415" i="165"/>
  <c r="F414" i="203" s="1"/>
  <c r="F410" i="203" s="1"/>
  <c r="F409" i="203" s="1"/>
  <c r="P307" i="165"/>
  <c r="P307" i="203" s="1"/>
  <c r="F281" i="165"/>
  <c r="F281" i="203" s="1"/>
  <c r="P19" i="165"/>
  <c r="E25" i="165"/>
  <c r="E25" i="203" s="1"/>
  <c r="L31" i="165"/>
  <c r="L31" i="203" s="1"/>
  <c r="J148" i="165"/>
  <c r="J148" i="203" s="1"/>
  <c r="P402" i="165"/>
  <c r="P401" i="203" s="1"/>
  <c r="O446" i="165"/>
  <c r="O445" i="203" s="1"/>
  <c r="P276" i="165"/>
  <c r="P276" i="203" s="1"/>
  <c r="O321" i="165"/>
  <c r="O321" i="203" s="1"/>
  <c r="H330" i="165"/>
  <c r="H330" i="203" s="1"/>
  <c r="J456" i="165"/>
  <c r="J455" i="203" s="1"/>
  <c r="N415" i="165"/>
  <c r="N414" i="203" s="1"/>
  <c r="N410" i="203" s="1"/>
  <c r="N409" i="203" s="1"/>
  <c r="P258" i="165"/>
  <c r="P258" i="203" s="1"/>
  <c r="K263" i="165"/>
  <c r="K263" i="203" s="1"/>
  <c r="J449" i="165"/>
  <c r="J448" i="203" s="1"/>
  <c r="P455" i="165"/>
  <c r="P454" i="203" s="1"/>
  <c r="P245" i="165"/>
  <c r="P245" i="203" s="1"/>
  <c r="P285" i="165"/>
  <c r="P285" i="203" s="1"/>
  <c r="K291" i="165"/>
  <c r="K291" i="203" s="1"/>
  <c r="J453" i="165"/>
  <c r="J452" i="203" s="1"/>
  <c r="P457" i="165"/>
  <c r="P456" i="203" s="1"/>
  <c r="J421" i="165"/>
  <c r="J418" i="165" s="1"/>
  <c r="J417" i="203" s="1"/>
  <c r="O418" i="165"/>
  <c r="O417" i="203" s="1"/>
  <c r="J336" i="203"/>
  <c r="J257" i="165"/>
  <c r="J257" i="203" s="1"/>
  <c r="J228" i="165"/>
  <c r="J228" i="203" s="1"/>
  <c r="P81" i="165"/>
  <c r="P81" i="203" s="1"/>
  <c r="J110" i="165"/>
  <c r="O259" i="165"/>
  <c r="O259" i="203" s="1"/>
  <c r="O66" i="165"/>
  <c r="O66" i="203" s="1"/>
  <c r="J67" i="165"/>
  <c r="O28" i="165"/>
  <c r="O28" i="203" s="1"/>
  <c r="P326" i="165"/>
  <c r="P326" i="203" s="1"/>
  <c r="E412" i="165"/>
  <c r="E411" i="203" s="1"/>
  <c r="P449" i="165"/>
  <c r="P448" i="203" s="1"/>
  <c r="O335" i="165"/>
  <c r="O335" i="203" s="1"/>
  <c r="E390" i="165"/>
  <c r="E389" i="203" s="1"/>
  <c r="P284" i="165"/>
  <c r="P284" i="203" s="1"/>
  <c r="I415" i="165"/>
  <c r="I414" i="203" s="1"/>
  <c r="I410" i="203" s="1"/>
  <c r="I409" i="203" s="1"/>
  <c r="L437" i="165"/>
  <c r="L436" i="203" s="1"/>
  <c r="F446" i="165"/>
  <c r="F445" i="203" s="1"/>
  <c r="O396" i="165"/>
  <c r="O395" i="203" s="1"/>
  <c r="K351" i="165"/>
  <c r="K350" i="203" s="1"/>
  <c r="O294" i="165"/>
  <c r="O294" i="203" s="1"/>
  <c r="J266" i="165"/>
  <c r="J266" i="203" s="1"/>
  <c r="O216" i="165"/>
  <c r="O216" i="203" s="1"/>
  <c r="J125" i="165"/>
  <c r="J125" i="203" s="1"/>
  <c r="J29" i="165"/>
  <c r="J29" i="203" s="1"/>
  <c r="E336" i="203"/>
  <c r="P238" i="165"/>
  <c r="P238" i="203" s="1"/>
  <c r="L243" i="165"/>
  <c r="L243" i="203" s="1"/>
  <c r="G243" i="165"/>
  <c r="G243" i="203" s="1"/>
  <c r="K237" i="165"/>
  <c r="K237" i="203" s="1"/>
  <c r="F237" i="165"/>
  <c r="F237" i="203" s="1"/>
  <c r="P268" i="165"/>
  <c r="P268" i="203" s="1"/>
  <c r="O153" i="165"/>
  <c r="O153" i="203" s="1"/>
  <c r="P139" i="165"/>
  <c r="P139" i="203" s="1"/>
  <c r="J119" i="165"/>
  <c r="J119" i="203" s="1"/>
  <c r="J92" i="165"/>
  <c r="P74" i="165"/>
  <c r="P74" i="203" s="1"/>
  <c r="P98" i="165"/>
  <c r="P98" i="203" s="1"/>
  <c r="E119" i="165"/>
  <c r="E119" i="203" s="1"/>
  <c r="H226" i="165"/>
  <c r="H226" i="203" s="1"/>
  <c r="G237" i="165"/>
  <c r="G237" i="203" s="1"/>
  <c r="P242" i="165"/>
  <c r="P242" i="203" s="1"/>
  <c r="K281" i="165"/>
  <c r="K281" i="203" s="1"/>
  <c r="J289" i="165"/>
  <c r="J289" i="203" s="1"/>
  <c r="P126" i="165"/>
  <c r="P126" i="203" s="1"/>
  <c r="P178" i="165"/>
  <c r="P178" i="203" s="1"/>
  <c r="J292" i="165"/>
  <c r="J292" i="203" s="1"/>
  <c r="P309" i="165"/>
  <c r="P309" i="203" s="1"/>
  <c r="P23" i="165"/>
  <c r="P23" i="203" s="1"/>
  <c r="P32" i="165"/>
  <c r="P32" i="203" s="1"/>
  <c r="P59" i="165"/>
  <c r="P59" i="203" s="1"/>
  <c r="E66" i="165"/>
  <c r="E66" i="203" s="1"/>
  <c r="P196" i="165"/>
  <c r="J202" i="165"/>
  <c r="J202" i="203" s="1"/>
  <c r="K218" i="165"/>
  <c r="K218" i="203" s="1"/>
  <c r="K215" i="203" s="1"/>
  <c r="K214" i="203" s="1"/>
  <c r="F227" i="165"/>
  <c r="F227" i="203" s="1"/>
  <c r="G459" i="165"/>
  <c r="G458" i="203" s="1"/>
  <c r="G451" i="203" s="1"/>
  <c r="G450" i="203" s="1"/>
  <c r="J447" i="165"/>
  <c r="J446" i="203" s="1"/>
  <c r="O437" i="165"/>
  <c r="O436" i="203" s="1"/>
  <c r="P414" i="165"/>
  <c r="P413" i="203" s="1"/>
  <c r="J397" i="165"/>
  <c r="J396" i="203" s="1"/>
  <c r="P403" i="165"/>
  <c r="P402" i="203" s="1"/>
  <c r="O379" i="165"/>
  <c r="O378" i="203" s="1"/>
  <c r="P342" i="165"/>
  <c r="P341" i="203" s="1"/>
  <c r="P333" i="165"/>
  <c r="P333" i="203" s="1"/>
  <c r="O330" i="165"/>
  <c r="O330" i="203" s="1"/>
  <c r="J306" i="165"/>
  <c r="J306" i="203" s="1"/>
  <c r="J240" i="165"/>
  <c r="J240" i="203" s="1"/>
  <c r="P256" i="165"/>
  <c r="P256" i="203" s="1"/>
  <c r="F243" i="165"/>
  <c r="F243" i="203" s="1"/>
  <c r="O237" i="165"/>
  <c r="O237" i="203" s="1"/>
  <c r="P219" i="165"/>
  <c r="P219" i="203" s="1"/>
  <c r="J158" i="165"/>
  <c r="J158" i="203" s="1"/>
  <c r="J154" i="165"/>
  <c r="J154" i="203" s="1"/>
  <c r="G157" i="165"/>
  <c r="G157" i="203" s="1"/>
  <c r="F122" i="165"/>
  <c r="F122" i="203" s="1"/>
  <c r="F118" i="203" s="1"/>
  <c r="F117" i="203" s="1"/>
  <c r="P111" i="165"/>
  <c r="J57" i="165"/>
  <c r="J57" i="203" s="1"/>
  <c r="E80" i="165"/>
  <c r="E80" i="203" s="1"/>
  <c r="P54" i="165"/>
  <c r="P54" i="203" s="1"/>
  <c r="M27" i="165"/>
  <c r="M27" i="203" s="1"/>
  <c r="M16" i="203" s="1"/>
  <c r="N157" i="165"/>
  <c r="N157" i="203" s="1"/>
  <c r="J198" i="165"/>
  <c r="J198" i="203" s="1"/>
  <c r="K204" i="165"/>
  <c r="K204" i="203" s="1"/>
  <c r="P261" i="165"/>
  <c r="P261" i="203" s="1"/>
  <c r="N262" i="165"/>
  <c r="N262" i="203" s="1"/>
  <c r="P344" i="165"/>
  <c r="P343" i="203" s="1"/>
  <c r="F405" i="165"/>
  <c r="F404" i="203" s="1"/>
  <c r="L415" i="165"/>
  <c r="L414" i="203" s="1"/>
  <c r="L410" i="203" s="1"/>
  <c r="P124" i="165"/>
  <c r="P124" i="203" s="1"/>
  <c r="P134" i="165"/>
  <c r="P134" i="203" s="1"/>
  <c r="P222" i="165"/>
  <c r="P222" i="203" s="1"/>
  <c r="I226" i="165"/>
  <c r="I226" i="203" s="1"/>
  <c r="I215" i="203" s="1"/>
  <c r="I214" i="203" s="1"/>
  <c r="P286" i="165"/>
  <c r="P286" i="203" s="1"/>
  <c r="K310" i="165"/>
  <c r="K310" i="203" s="1"/>
  <c r="P316" i="165"/>
  <c r="P316" i="203" s="1"/>
  <c r="E321" i="165"/>
  <c r="E321" i="203" s="1"/>
  <c r="M415" i="165"/>
  <c r="M414" i="203" s="1"/>
  <c r="M410" i="203" s="1"/>
  <c r="M409" i="203" s="1"/>
  <c r="P127" i="165"/>
  <c r="P127" i="203" s="1"/>
  <c r="P182" i="165"/>
  <c r="P182" i="203" s="1"/>
  <c r="H218" i="165"/>
  <c r="H218" i="203" s="1"/>
  <c r="H215" i="203" s="1"/>
  <c r="H214" i="203" s="1"/>
  <c r="L226" i="165"/>
  <c r="L226" i="203" s="1"/>
  <c r="L215" i="203" s="1"/>
  <c r="F262" i="165"/>
  <c r="F262" i="203" s="1"/>
  <c r="G330" i="165"/>
  <c r="G330" i="203" s="1"/>
  <c r="E282" i="165"/>
  <c r="E282" i="203" s="1"/>
  <c r="J288" i="165"/>
  <c r="J288" i="203" s="1"/>
  <c r="E311" i="165"/>
  <c r="E311" i="203" s="1"/>
  <c r="P317" i="165"/>
  <c r="P317" i="203" s="1"/>
  <c r="J406" i="165"/>
  <c r="J405" i="203" s="1"/>
  <c r="O463" i="165"/>
  <c r="O462" i="203" s="1"/>
  <c r="P334" i="165"/>
  <c r="P334" i="203" s="1"/>
  <c r="E466" i="165"/>
  <c r="E465" i="203" s="1"/>
  <c r="J247" i="165"/>
  <c r="J247" i="203" s="1"/>
  <c r="O249" i="165"/>
  <c r="O249" i="203" s="1"/>
  <c r="E259" i="165"/>
  <c r="E259" i="203" s="1"/>
  <c r="E351" i="165"/>
  <c r="E350" i="203" s="1"/>
  <c r="P37" i="165"/>
  <c r="P37" i="203" s="1"/>
  <c r="F27" i="165"/>
  <c r="F27" i="203" s="1"/>
  <c r="P36" i="165"/>
  <c r="P36" i="203" s="1"/>
  <c r="J35" i="165"/>
  <c r="J35" i="203" s="1"/>
  <c r="J18" i="165"/>
  <c r="J18" i="203" s="1"/>
  <c r="O17" i="165"/>
  <c r="O17" i="203" s="1"/>
  <c r="E39" i="165"/>
  <c r="E39" i="203" s="1"/>
  <c r="P34" i="165"/>
  <c r="P34" i="203" s="1"/>
  <c r="O39" i="165"/>
  <c r="O39" i="203" s="1"/>
  <c r="J40" i="165"/>
  <c r="J40" i="203" s="1"/>
  <c r="E35" i="165"/>
  <c r="E35" i="203" s="1"/>
  <c r="O63" i="165"/>
  <c r="O63" i="203" s="1"/>
  <c r="J64" i="165"/>
  <c r="J64" i="203" s="1"/>
  <c r="J52" i="165"/>
  <c r="J52" i="203" s="1"/>
  <c r="P108" i="165"/>
  <c r="P108" i="203" s="1"/>
  <c r="J107" i="165"/>
  <c r="J107" i="203" s="1"/>
  <c r="P93" i="165"/>
  <c r="O83" i="165"/>
  <c r="O83" i="203" s="1"/>
  <c r="J84" i="165"/>
  <c r="J84" i="203" s="1"/>
  <c r="E63" i="165"/>
  <c r="E63" i="203" s="1"/>
  <c r="P58" i="165"/>
  <c r="P58" i="203" s="1"/>
  <c r="O128" i="165"/>
  <c r="O128" i="203" s="1"/>
  <c r="J129" i="165"/>
  <c r="J129" i="203" s="1"/>
  <c r="P144" i="165"/>
  <c r="O145" i="165"/>
  <c r="O145" i="203" s="1"/>
  <c r="J146" i="165"/>
  <c r="J146" i="203" s="1"/>
  <c r="P123" i="165"/>
  <c r="P123" i="203" s="1"/>
  <c r="E128" i="165"/>
  <c r="E128" i="203" s="1"/>
  <c r="P171" i="165"/>
  <c r="P171" i="203" s="1"/>
  <c r="J170" i="165"/>
  <c r="J170" i="203" s="1"/>
  <c r="J206" i="165"/>
  <c r="J206" i="203" s="1"/>
  <c r="P168" i="165"/>
  <c r="P168" i="203" s="1"/>
  <c r="P180" i="165"/>
  <c r="F157" i="165"/>
  <c r="F157" i="203" s="1"/>
  <c r="E228" i="165"/>
  <c r="E228" i="203" s="1"/>
  <c r="P229" i="165"/>
  <c r="P229" i="203" s="1"/>
  <c r="O223" i="165"/>
  <c r="O223" i="203" s="1"/>
  <c r="J225" i="165"/>
  <c r="J225" i="203" s="1"/>
  <c r="P246" i="165"/>
  <c r="P246" i="203" s="1"/>
  <c r="P241" i="165"/>
  <c r="P241" i="203" s="1"/>
  <c r="E240" i="165"/>
  <c r="E240" i="203" s="1"/>
  <c r="P253" i="165"/>
  <c r="O254" i="165"/>
  <c r="O254" i="203" s="1"/>
  <c r="O282" i="165"/>
  <c r="O282" i="203" s="1"/>
  <c r="J283" i="165"/>
  <c r="J283" i="203" s="1"/>
  <c r="J274" i="165"/>
  <c r="J274" i="203" s="1"/>
  <c r="P275" i="165"/>
  <c r="P275" i="203" s="1"/>
  <c r="E294" i="165"/>
  <c r="E294" i="203" s="1"/>
  <c r="P295" i="165"/>
  <c r="P295" i="203" s="1"/>
  <c r="P312" i="165"/>
  <c r="P312" i="203" s="1"/>
  <c r="P328" i="165"/>
  <c r="P328" i="203" s="1"/>
  <c r="J327" i="165"/>
  <c r="J327" i="203" s="1"/>
  <c r="J321" i="165"/>
  <c r="J321" i="203" s="1"/>
  <c r="P322" i="165"/>
  <c r="P322" i="203" s="1"/>
  <c r="P325" i="165"/>
  <c r="P325" i="203" s="1"/>
  <c r="J366" i="165"/>
  <c r="J365" i="203" s="1"/>
  <c r="O365" i="165"/>
  <c r="O364" i="203" s="1"/>
  <c r="J358" i="165"/>
  <c r="J350" i="165"/>
  <c r="J349" i="203" s="1"/>
  <c r="J346" i="165"/>
  <c r="J345" i="203" s="1"/>
  <c r="O345" i="165"/>
  <c r="O344" i="203" s="1"/>
  <c r="J386" i="165"/>
  <c r="J385" i="203" s="1"/>
  <c r="P398" i="165"/>
  <c r="P397" i="203" s="1"/>
  <c r="P400" i="165"/>
  <c r="P399" i="203" s="1"/>
  <c r="E406" i="165"/>
  <c r="E405" i="203" s="1"/>
  <c r="P407" i="165"/>
  <c r="P406" i="203" s="1"/>
  <c r="P419" i="165"/>
  <c r="P418" i="203" s="1"/>
  <c r="J445" i="165"/>
  <c r="J444" i="203" s="1"/>
  <c r="O444" i="165"/>
  <c r="O443" i="203" s="1"/>
  <c r="P448" i="165"/>
  <c r="P447" i="203" s="1"/>
  <c r="J464" i="165"/>
  <c r="J463" i="203" s="1"/>
  <c r="P465" i="165"/>
  <c r="P464" i="203" s="1"/>
  <c r="E461" i="165"/>
  <c r="E460" i="203" s="1"/>
  <c r="P462" i="165"/>
  <c r="P461" i="203" s="1"/>
  <c r="P337" i="203" l="1"/>
  <c r="P336" i="165"/>
  <c r="I15" i="203"/>
  <c r="L214" i="203"/>
  <c r="L49" i="203"/>
  <c r="P69" i="165"/>
  <c r="P69" i="203" s="1"/>
  <c r="J69" i="203"/>
  <c r="O356" i="165"/>
  <c r="O355" i="203" s="1"/>
  <c r="O356" i="203"/>
  <c r="H15" i="203"/>
  <c r="P413" i="165"/>
  <c r="P412" i="203" s="1"/>
  <c r="J412" i="203"/>
  <c r="P354" i="165"/>
  <c r="P353" i="203" s="1"/>
  <c r="J353" i="203"/>
  <c r="J259" i="165"/>
  <c r="J259" i="203" s="1"/>
  <c r="J260" i="203"/>
  <c r="J416" i="165"/>
  <c r="J415" i="203" s="1"/>
  <c r="J416" i="203"/>
  <c r="E330" i="165"/>
  <c r="E330" i="203" s="1"/>
  <c r="E331" i="203"/>
  <c r="K50" i="203"/>
  <c r="K49" i="203" s="1"/>
  <c r="J42" i="165"/>
  <c r="J42" i="203" s="1"/>
  <c r="J43" i="203"/>
  <c r="M15" i="203"/>
  <c r="F16" i="203"/>
  <c r="F15" i="203" s="1"/>
  <c r="P247" i="165"/>
  <c r="P247" i="203" s="1"/>
  <c r="P248" i="203"/>
  <c r="N15" i="203"/>
  <c r="P143" i="165"/>
  <c r="P143" i="203" s="1"/>
  <c r="P144" i="203"/>
  <c r="J67" i="203"/>
  <c r="I85" i="167"/>
  <c r="O44" i="165"/>
  <c r="O44" i="203" s="1"/>
  <c r="O45" i="203"/>
  <c r="P292" i="165"/>
  <c r="P292" i="203" s="1"/>
  <c r="P293" i="203"/>
  <c r="J357" i="165"/>
  <c r="J357" i="203"/>
  <c r="O442" i="203"/>
  <c r="P179" i="165"/>
  <c r="P179" i="203" s="1"/>
  <c r="P180" i="203"/>
  <c r="L409" i="203"/>
  <c r="P96" i="165"/>
  <c r="P96" i="203" s="1"/>
  <c r="P97" i="203"/>
  <c r="J249" i="165"/>
  <c r="J249" i="203" s="1"/>
  <c r="J250" i="203"/>
  <c r="P173" i="165"/>
  <c r="P173" i="203" s="1"/>
  <c r="J173" i="203"/>
  <c r="K16" i="203"/>
  <c r="J437" i="165"/>
  <c r="J436" i="203" s="1"/>
  <c r="J437" i="203"/>
  <c r="O310" i="165"/>
  <c r="O310" i="203" s="1"/>
  <c r="O311" i="203"/>
  <c r="G15" i="203"/>
  <c r="P119" i="165"/>
  <c r="P119" i="203" s="1"/>
  <c r="P417" i="165"/>
  <c r="P416" i="203" s="1"/>
  <c r="J45" i="165"/>
  <c r="J45" i="203" s="1"/>
  <c r="E157" i="165"/>
  <c r="E157" i="203" s="1"/>
  <c r="L193" i="167"/>
  <c r="J172" i="165"/>
  <c r="J172" i="203" s="1"/>
  <c r="P73" i="165"/>
  <c r="P73" i="203" s="1"/>
  <c r="P53" i="165"/>
  <c r="P53" i="203" s="1"/>
  <c r="J466" i="165"/>
  <c r="J465" i="203" s="1"/>
  <c r="P250" i="165"/>
  <c r="P250" i="203" s="1"/>
  <c r="P106" i="165"/>
  <c r="P106" i="203" s="1"/>
  <c r="P257" i="165"/>
  <c r="J199" i="165"/>
  <c r="J199" i="203" s="1"/>
  <c r="O291" i="165"/>
  <c r="O291" i="203" s="1"/>
  <c r="O347" i="165"/>
  <c r="O346" i="203" s="1"/>
  <c r="P399" i="165"/>
  <c r="P398" i="203" s="1"/>
  <c r="J320" i="165"/>
  <c r="J320" i="203" s="1"/>
  <c r="P47" i="165"/>
  <c r="P47" i="203" s="1"/>
  <c r="E218" i="165"/>
  <c r="E218" i="203" s="1"/>
  <c r="E446" i="165"/>
  <c r="E445" i="203" s="1"/>
  <c r="E442" i="203" s="1"/>
  <c r="O157" i="165"/>
  <c r="O157" i="203" s="1"/>
  <c r="P296" i="165"/>
  <c r="E320" i="165"/>
  <c r="E320" i="203" s="1"/>
  <c r="O393" i="165"/>
  <c r="O392" i="203" s="1"/>
  <c r="O320" i="165"/>
  <c r="O320" i="203" s="1"/>
  <c r="P467" i="165"/>
  <c r="O351" i="165"/>
  <c r="O350" i="203" s="1"/>
  <c r="J352" i="165"/>
  <c r="F393" i="165"/>
  <c r="F392" i="203" s="1"/>
  <c r="P352" i="165"/>
  <c r="P351" i="203" s="1"/>
  <c r="E415" i="165"/>
  <c r="E414" i="203" s="1"/>
  <c r="E410" i="203" s="1"/>
  <c r="J105" i="165"/>
  <c r="P438" i="165"/>
  <c r="P43" i="165"/>
  <c r="J311" i="165"/>
  <c r="P64" i="165"/>
  <c r="P64" i="203" s="1"/>
  <c r="P130" i="165"/>
  <c r="P130" i="203" s="1"/>
  <c r="P60" i="165"/>
  <c r="P60" i="203" s="1"/>
  <c r="P297" i="165"/>
  <c r="P297" i="203" s="1"/>
  <c r="P29" i="165"/>
  <c r="J278" i="165"/>
  <c r="J278" i="203" s="1"/>
  <c r="L296" i="167"/>
  <c r="O104" i="165"/>
  <c r="O104" i="203" s="1"/>
  <c r="J330" i="165"/>
  <c r="J330" i="203" s="1"/>
  <c r="P100" i="165"/>
  <c r="P100" i="203" s="1"/>
  <c r="E51" i="165"/>
  <c r="E51" i="203" s="1"/>
  <c r="E50" i="203" s="1"/>
  <c r="O51" i="165"/>
  <c r="O51" i="203" s="1"/>
  <c r="O50" i="203" s="1"/>
  <c r="J50" i="203" s="1"/>
  <c r="J49" i="203" s="1"/>
  <c r="J28" i="165"/>
  <c r="J28" i="203" s="1"/>
  <c r="J348" i="165"/>
  <c r="J347" i="203" s="1"/>
  <c r="P266" i="165"/>
  <c r="P266" i="203" s="1"/>
  <c r="J412" i="165"/>
  <c r="J411" i="203" s="1"/>
  <c r="J294" i="165"/>
  <c r="J294" i="203" s="1"/>
  <c r="E243" i="165"/>
  <c r="E243" i="203" s="1"/>
  <c r="P331" i="165"/>
  <c r="P331" i="203" s="1"/>
  <c r="P456" i="165"/>
  <c r="P455" i="203" s="1"/>
  <c r="P158" i="165"/>
  <c r="P158" i="203" s="1"/>
  <c r="J432" i="165"/>
  <c r="J431" i="203" s="1"/>
  <c r="P433" i="165"/>
  <c r="P432" i="203" s="1"/>
  <c r="E405" i="165"/>
  <c r="E404" i="203" s="1"/>
  <c r="P198" i="165"/>
  <c r="P198" i="203" s="1"/>
  <c r="E335" i="165"/>
  <c r="E335" i="203" s="1"/>
  <c r="J254" i="165"/>
  <c r="J254" i="203" s="1"/>
  <c r="O415" i="165"/>
  <c r="O414" i="203" s="1"/>
  <c r="O410" i="203" s="1"/>
  <c r="O409" i="203" s="1"/>
  <c r="P306" i="165"/>
  <c r="P306" i="203" s="1"/>
  <c r="J379" i="165"/>
  <c r="J378" i="203" s="1"/>
  <c r="P380" i="165"/>
  <c r="P379" i="203" s="1"/>
  <c r="O22" i="165"/>
  <c r="O22" i="203" s="1"/>
  <c r="E396" i="165"/>
  <c r="E395" i="203" s="1"/>
  <c r="F459" i="165"/>
  <c r="F458" i="203" s="1"/>
  <c r="F451" i="203" s="1"/>
  <c r="P447" i="165"/>
  <c r="P446" i="203" s="1"/>
  <c r="P406" i="165"/>
  <c r="P405" i="203" s="1"/>
  <c r="J396" i="165"/>
  <c r="J395" i="203" s="1"/>
  <c r="P321" i="165"/>
  <c r="P321" i="203" s="1"/>
  <c r="P274" i="165"/>
  <c r="P274" i="203" s="1"/>
  <c r="O243" i="165"/>
  <c r="O243" i="203" s="1"/>
  <c r="P244" i="165"/>
  <c r="P244" i="203" s="1"/>
  <c r="E122" i="165"/>
  <c r="E122" i="203" s="1"/>
  <c r="E118" i="203" s="1"/>
  <c r="E117" i="203" s="1"/>
  <c r="O142" i="165"/>
  <c r="O142" i="203" s="1"/>
  <c r="J128" i="165"/>
  <c r="J128" i="203" s="1"/>
  <c r="J39" i="165"/>
  <c r="J39" i="203" s="1"/>
  <c r="E38" i="165"/>
  <c r="E38" i="203" s="1"/>
  <c r="J153" i="165"/>
  <c r="J153" i="203" s="1"/>
  <c r="P154" i="165"/>
  <c r="P154" i="203" s="1"/>
  <c r="P341" i="165"/>
  <c r="P340" i="203" s="1"/>
  <c r="O27" i="165"/>
  <c r="O27" i="203" s="1"/>
  <c r="O16" i="203" s="1"/>
  <c r="O15" i="203" s="1"/>
  <c r="K319" i="165"/>
  <c r="K319" i="203" s="1"/>
  <c r="K305" i="203" s="1"/>
  <c r="K304" i="203" s="1"/>
  <c r="O263" i="165"/>
  <c r="O263" i="203" s="1"/>
  <c r="P397" i="165"/>
  <c r="P396" i="203" s="1"/>
  <c r="P252" i="165"/>
  <c r="P167" i="165"/>
  <c r="P167" i="203" s="1"/>
  <c r="P129" i="165"/>
  <c r="P129" i="203" s="1"/>
  <c r="O38" i="165"/>
  <c r="O38" i="203" s="1"/>
  <c r="P464" i="165"/>
  <c r="P463" i="203" s="1"/>
  <c r="J324" i="165"/>
  <c r="J324" i="203" s="1"/>
  <c r="E237" i="165"/>
  <c r="E237" i="203" s="1"/>
  <c r="O218" i="165"/>
  <c r="O218" i="203" s="1"/>
  <c r="P57" i="165"/>
  <c r="P57" i="203" s="1"/>
  <c r="P107" i="165"/>
  <c r="P107" i="203" s="1"/>
  <c r="J31" i="165"/>
  <c r="J31" i="203" s="1"/>
  <c r="E310" i="165"/>
  <c r="E310" i="203" s="1"/>
  <c r="P288" i="165"/>
  <c r="P288" i="203" s="1"/>
  <c r="P80" i="165"/>
  <c r="P80" i="203" s="1"/>
  <c r="P110" i="165"/>
  <c r="P148" i="165"/>
  <c r="P148" i="203" s="1"/>
  <c r="J66" i="165"/>
  <c r="J66" i="203" s="1"/>
  <c r="P67" i="165"/>
  <c r="P67" i="203" s="1"/>
  <c r="J335" i="165"/>
  <c r="J335" i="203" s="1"/>
  <c r="K262" i="165"/>
  <c r="K262" i="203" s="1"/>
  <c r="L27" i="165"/>
  <c r="L27" i="203" s="1"/>
  <c r="L16" i="203" s="1"/>
  <c r="P453" i="165"/>
  <c r="P452" i="203" s="1"/>
  <c r="P279" i="165"/>
  <c r="P279" i="203" s="1"/>
  <c r="J135" i="165"/>
  <c r="J135" i="203" s="1"/>
  <c r="P136" i="165"/>
  <c r="P136" i="203" s="1"/>
  <c r="J25" i="165"/>
  <c r="J25" i="203" s="1"/>
  <c r="P26" i="165"/>
  <c r="P26" i="203" s="1"/>
  <c r="P318" i="165"/>
  <c r="P318" i="203" s="1"/>
  <c r="P265" i="165"/>
  <c r="P265" i="203" s="1"/>
  <c r="J264" i="165"/>
  <c r="J264" i="203" s="1"/>
  <c r="O459" i="165"/>
  <c r="O458" i="203" s="1"/>
  <c r="O451" i="203" s="1"/>
  <c r="O450" i="203" s="1"/>
  <c r="E281" i="165"/>
  <c r="E281" i="203" s="1"/>
  <c r="J446" i="165"/>
  <c r="J445" i="203" s="1"/>
  <c r="P202" i="165"/>
  <c r="P202" i="203" s="1"/>
  <c r="P125" i="165"/>
  <c r="P125" i="203" s="1"/>
  <c r="E22" i="165"/>
  <c r="E22" i="203" s="1"/>
  <c r="P203" i="165"/>
  <c r="P203" i="203" s="1"/>
  <c r="P313" i="165"/>
  <c r="P313" i="203" s="1"/>
  <c r="P170" i="165"/>
  <c r="P170" i="203" s="1"/>
  <c r="J63" i="165"/>
  <c r="J63" i="203" s="1"/>
  <c r="J405" i="165"/>
  <c r="J404" i="203" s="1"/>
  <c r="P260" i="165"/>
  <c r="P260" i="203" s="1"/>
  <c r="J237" i="165"/>
  <c r="J237" i="203" s="1"/>
  <c r="J463" i="165"/>
  <c r="J462" i="203" s="1"/>
  <c r="P412" i="165"/>
  <c r="P411" i="203" s="1"/>
  <c r="J415" i="165"/>
  <c r="J414" i="203" s="1"/>
  <c r="P327" i="165"/>
  <c r="P327" i="203" s="1"/>
  <c r="O281" i="165"/>
  <c r="O281" i="203" s="1"/>
  <c r="P240" i="165"/>
  <c r="P240" i="203" s="1"/>
  <c r="P228" i="165"/>
  <c r="P228" i="203" s="1"/>
  <c r="P183" i="165"/>
  <c r="O122" i="165"/>
  <c r="O122" i="203" s="1"/>
  <c r="O118" i="203" s="1"/>
  <c r="O117" i="203" s="1"/>
  <c r="P92" i="165"/>
  <c r="E262" i="165"/>
  <c r="E262" i="203" s="1"/>
  <c r="F226" i="165"/>
  <c r="F226" i="203" s="1"/>
  <c r="F215" i="203" s="1"/>
  <c r="F214" i="203" s="1"/>
  <c r="P289" i="165"/>
  <c r="P289" i="203" s="1"/>
  <c r="P138" i="165"/>
  <c r="P138" i="203" s="1"/>
  <c r="F319" i="165"/>
  <c r="F319" i="203" s="1"/>
  <c r="F305" i="203" s="1"/>
  <c r="F304" i="203" s="1"/>
  <c r="P421" i="165"/>
  <c r="P336" i="203"/>
  <c r="P132" i="165"/>
  <c r="P132" i="203" s="1"/>
  <c r="L319" i="165"/>
  <c r="L319" i="203" s="1"/>
  <c r="L305" i="203" s="1"/>
  <c r="J216" i="165"/>
  <c r="J216" i="203" s="1"/>
  <c r="P217" i="165"/>
  <c r="P217" i="203" s="1"/>
  <c r="P461" i="165"/>
  <c r="P460" i="203" s="1"/>
  <c r="E459" i="165"/>
  <c r="E458" i="203" s="1"/>
  <c r="E451" i="203" s="1"/>
  <c r="E450" i="203" s="1"/>
  <c r="E291" i="165"/>
  <c r="E291" i="203" s="1"/>
  <c r="P18" i="165"/>
  <c r="P18" i="203" s="1"/>
  <c r="J17" i="165"/>
  <c r="J17" i="203" s="1"/>
  <c r="P35" i="165"/>
  <c r="P35" i="203" s="1"/>
  <c r="E31" i="165"/>
  <c r="E31" i="203" s="1"/>
  <c r="P40" i="165"/>
  <c r="P40" i="203" s="1"/>
  <c r="P52" i="165"/>
  <c r="P52" i="203" s="1"/>
  <c r="J83" i="165"/>
  <c r="J83" i="203" s="1"/>
  <c r="P84" i="165"/>
  <c r="P84" i="203" s="1"/>
  <c r="P146" i="165"/>
  <c r="P146" i="203" s="1"/>
  <c r="J145" i="165"/>
  <c r="J145" i="203" s="1"/>
  <c r="P206" i="165"/>
  <c r="P206" i="203" s="1"/>
  <c r="P225" i="165"/>
  <c r="P225" i="203" s="1"/>
  <c r="J223" i="165"/>
  <c r="J223" i="203" s="1"/>
  <c r="J282" i="165"/>
  <c r="J282" i="203" s="1"/>
  <c r="P283" i="165"/>
  <c r="P283" i="203" s="1"/>
  <c r="P358" i="165"/>
  <c r="J345" i="165"/>
  <c r="J344" i="203" s="1"/>
  <c r="P346" i="165"/>
  <c r="P345" i="203" s="1"/>
  <c r="P350" i="165"/>
  <c r="P349" i="203" s="1"/>
  <c r="J365" i="165"/>
  <c r="J364" i="203" s="1"/>
  <c r="P366" i="165"/>
  <c r="P365" i="203" s="1"/>
  <c r="P386" i="165"/>
  <c r="P385" i="203" s="1"/>
  <c r="J444" i="165"/>
  <c r="J443" i="203" s="1"/>
  <c r="P445" i="165"/>
  <c r="P444" i="203" s="1"/>
  <c r="J351" i="165" l="1"/>
  <c r="J350" i="203" s="1"/>
  <c r="J351" i="203"/>
  <c r="P466" i="165"/>
  <c r="P465" i="203" s="1"/>
  <c r="P466" i="203"/>
  <c r="O441" i="203"/>
  <c r="J442" i="203"/>
  <c r="J441" i="203" s="1"/>
  <c r="P42" i="165"/>
  <c r="P42" i="203" s="1"/>
  <c r="P43" i="203"/>
  <c r="J356" i="165"/>
  <c r="J355" i="203" s="1"/>
  <c r="J356" i="203"/>
  <c r="J310" i="165"/>
  <c r="J310" i="203" s="1"/>
  <c r="J311" i="203"/>
  <c r="P254" i="165"/>
  <c r="P254" i="203" s="1"/>
  <c r="P257" i="203"/>
  <c r="P437" i="165"/>
  <c r="P436" i="203" s="1"/>
  <c r="P437" i="203"/>
  <c r="Q49" i="203"/>
  <c r="O49" i="203"/>
  <c r="J104" i="165"/>
  <c r="J104" i="203" s="1"/>
  <c r="J105" i="203"/>
  <c r="J16" i="203"/>
  <c r="J15" i="203" s="1"/>
  <c r="L15" i="203"/>
  <c r="P416" i="165"/>
  <c r="P415" i="203" s="1"/>
  <c r="E409" i="203"/>
  <c r="P410" i="203"/>
  <c r="E441" i="203"/>
  <c r="P442" i="203"/>
  <c r="P172" i="165"/>
  <c r="P172" i="203" s="1"/>
  <c r="P357" i="165"/>
  <c r="P357" i="203"/>
  <c r="P28" i="165"/>
  <c r="P28" i="203" s="1"/>
  <c r="P29" i="203"/>
  <c r="K15" i="203"/>
  <c r="J410" i="203"/>
  <c r="J409" i="203" s="1"/>
  <c r="L304" i="203"/>
  <c r="E49" i="203"/>
  <c r="P50" i="203"/>
  <c r="F450" i="203"/>
  <c r="P97" i="184"/>
  <c r="J157" i="165"/>
  <c r="J157" i="203" s="1"/>
  <c r="P105" i="165"/>
  <c r="P105" i="203" s="1"/>
  <c r="J393" i="165"/>
  <c r="J392" i="203" s="1"/>
  <c r="P249" i="165"/>
  <c r="J347" i="165"/>
  <c r="J346" i="203" s="1"/>
  <c r="P63" i="165"/>
  <c r="P63" i="203" s="1"/>
  <c r="E393" i="165"/>
  <c r="E392" i="203" s="1"/>
  <c r="J44" i="165"/>
  <c r="J44" i="203" s="1"/>
  <c r="P278" i="165"/>
  <c r="P278" i="203" s="1"/>
  <c r="J27" i="165"/>
  <c r="J27" i="203" s="1"/>
  <c r="P294" i="165"/>
  <c r="P294" i="203" s="1"/>
  <c r="P330" i="165"/>
  <c r="P330" i="203" s="1"/>
  <c r="P320" i="165"/>
  <c r="P320" i="203" s="1"/>
  <c r="P45" i="165"/>
  <c r="P45" i="203" s="1"/>
  <c r="J51" i="165"/>
  <c r="J51" i="203" s="1"/>
  <c r="P348" i="165"/>
  <c r="P347" i="203" s="1"/>
  <c r="J291" i="165"/>
  <c r="J291" i="203" s="1"/>
  <c r="P324" i="165"/>
  <c r="P324" i="203" s="1"/>
  <c r="P311" i="165"/>
  <c r="P311" i="203" s="1"/>
  <c r="P444" i="165"/>
  <c r="P443" i="203" s="1"/>
  <c r="J281" i="165"/>
  <c r="J281" i="203" s="1"/>
  <c r="J122" i="165"/>
  <c r="J122" i="203" s="1"/>
  <c r="P25" i="165"/>
  <c r="P25" i="203" s="1"/>
  <c r="P365" i="165"/>
  <c r="P364" i="203" s="1"/>
  <c r="P396" i="165"/>
  <c r="P395" i="203" s="1"/>
  <c r="P259" i="165"/>
  <c r="P259" i="203" s="1"/>
  <c r="P264" i="165"/>
  <c r="P264" i="203" s="1"/>
  <c r="O319" i="165"/>
  <c r="O319" i="203" s="1"/>
  <c r="O305" i="203" s="1"/>
  <c r="P463" i="165"/>
  <c r="O262" i="165"/>
  <c r="O262" i="203" s="1"/>
  <c r="E319" i="165"/>
  <c r="E319" i="203" s="1"/>
  <c r="E305" i="203" s="1"/>
  <c r="E304" i="203" s="1"/>
  <c r="P405" i="165"/>
  <c r="P404" i="203" s="1"/>
  <c r="P335" i="165"/>
  <c r="P335" i="203" s="1"/>
  <c r="P39" i="165"/>
  <c r="P39" i="203" s="1"/>
  <c r="P216" i="165"/>
  <c r="P216" i="203" s="1"/>
  <c r="J142" i="165"/>
  <c r="J142" i="203" s="1"/>
  <c r="P83" i="165"/>
  <c r="P83" i="203" s="1"/>
  <c r="P418" i="165"/>
  <c r="P417" i="203" s="1"/>
  <c r="J22" i="165"/>
  <c r="J22" i="203" s="1"/>
  <c r="P128" i="165"/>
  <c r="P128" i="203" s="1"/>
  <c r="J38" i="165"/>
  <c r="J38" i="203" s="1"/>
  <c r="P345" i="165"/>
  <c r="P344" i="203" s="1"/>
  <c r="J319" i="165"/>
  <c r="J319" i="203" s="1"/>
  <c r="J218" i="165"/>
  <c r="J218" i="203" s="1"/>
  <c r="J459" i="165"/>
  <c r="J458" i="203" s="1"/>
  <c r="J451" i="203" s="1"/>
  <c r="J450" i="203" s="1"/>
  <c r="P282" i="165"/>
  <c r="P282" i="203" s="1"/>
  <c r="P223" i="165"/>
  <c r="P223" i="203" s="1"/>
  <c r="P145" i="165"/>
  <c r="P145" i="203" s="1"/>
  <c r="P237" i="165"/>
  <c r="P237" i="203" s="1"/>
  <c r="P199" i="165"/>
  <c r="P199" i="203" s="1"/>
  <c r="J263" i="165"/>
  <c r="J263" i="203" s="1"/>
  <c r="P135" i="165"/>
  <c r="P135" i="203" s="1"/>
  <c r="P104" i="165"/>
  <c r="P104" i="203" s="1"/>
  <c r="P66" i="165"/>
  <c r="P66" i="203" s="1"/>
  <c r="P153" i="165"/>
  <c r="P153" i="203" s="1"/>
  <c r="P446" i="165"/>
  <c r="P445" i="203" s="1"/>
  <c r="P379" i="165"/>
  <c r="P378" i="203" s="1"/>
  <c r="P351" i="165"/>
  <c r="P350" i="203" s="1"/>
  <c r="P432" i="165"/>
  <c r="P431" i="203" s="1"/>
  <c r="J243" i="165"/>
  <c r="J243" i="203" s="1"/>
  <c r="P17" i="165"/>
  <c r="P17" i="203" s="1"/>
  <c r="E27" i="165"/>
  <c r="E27" i="203" s="1"/>
  <c r="E16" i="203" s="1"/>
  <c r="P31" i="165"/>
  <c r="P31" i="203" s="1"/>
  <c r="E15" i="203" l="1"/>
  <c r="P16" i="203"/>
  <c r="P15" i="203" s="1"/>
  <c r="Q410" i="203"/>
  <c r="P409" i="203"/>
  <c r="P243" i="165"/>
  <c r="P243" i="203" s="1"/>
  <c r="P249" i="203"/>
  <c r="P356" i="165"/>
  <c r="P355" i="203" s="1"/>
  <c r="P356" i="203"/>
  <c r="P459" i="165"/>
  <c r="P458" i="203" s="1"/>
  <c r="P451" i="203" s="1"/>
  <c r="P462" i="203"/>
  <c r="J118" i="203"/>
  <c r="J117" i="203" s="1"/>
  <c r="P441" i="203"/>
  <c r="Q442" i="203"/>
  <c r="O304" i="203"/>
  <c r="J305" i="203"/>
  <c r="P305" i="203" s="1"/>
  <c r="Q305" i="203" s="1"/>
  <c r="Q16" i="203"/>
  <c r="Q50" i="203"/>
  <c r="P49" i="203"/>
  <c r="Q451" i="203"/>
  <c r="P450" i="203"/>
  <c r="P291" i="165"/>
  <c r="P291" i="203" s="1"/>
  <c r="P44" i="165"/>
  <c r="P44" i="203" s="1"/>
  <c r="P310" i="165"/>
  <c r="P310" i="203" s="1"/>
  <c r="P347" i="165"/>
  <c r="P346" i="203" s="1"/>
  <c r="P393" i="165"/>
  <c r="P392" i="203" s="1"/>
  <c r="P51" i="165"/>
  <c r="P51" i="203" s="1"/>
  <c r="P157" i="165"/>
  <c r="P157" i="203" s="1"/>
  <c r="P218" i="165"/>
  <c r="P218" i="203" s="1"/>
  <c r="P415" i="165"/>
  <c r="P414" i="203" s="1"/>
  <c r="P319" i="165"/>
  <c r="P319" i="203" s="1"/>
  <c r="P22" i="165"/>
  <c r="P22" i="203" s="1"/>
  <c r="J262" i="165"/>
  <c r="J262" i="203" s="1"/>
  <c r="P142" i="165"/>
  <c r="P142" i="203" s="1"/>
  <c r="P281" i="165"/>
  <c r="P281" i="203" s="1"/>
  <c r="P38" i="165"/>
  <c r="P38" i="203" s="1"/>
  <c r="P263" i="165"/>
  <c r="P263" i="203" s="1"/>
  <c r="P122" i="165"/>
  <c r="P122" i="203" s="1"/>
  <c r="P27" i="165"/>
  <c r="P27" i="203" s="1"/>
  <c r="P118" i="203" l="1"/>
  <c r="P304" i="203"/>
  <c r="J304" i="203"/>
  <c r="P262" i="165"/>
  <c r="P262" i="203" s="1"/>
  <c r="P117" i="203" l="1"/>
  <c r="Q118" i="203"/>
  <c r="E119" i="170"/>
  <c r="F118" i="165"/>
  <c r="G118" i="165"/>
  <c r="H118" i="165"/>
  <c r="I118" i="165"/>
  <c r="J118" i="165"/>
  <c r="K118" i="165"/>
  <c r="L118" i="165"/>
  <c r="M118" i="165"/>
  <c r="N118" i="165"/>
  <c r="O118" i="165"/>
  <c r="P118" i="165"/>
  <c r="Q118" i="165" s="1"/>
  <c r="E118" i="165"/>
  <c r="J119" i="167"/>
  <c r="H119" i="167"/>
  <c r="D78" i="188"/>
  <c r="K45" i="167"/>
  <c r="J36" i="167"/>
  <c r="I36" i="167"/>
  <c r="H36" i="167"/>
  <c r="I119" i="167" l="1"/>
  <c r="G119" i="167" s="1"/>
  <c r="G36" i="167"/>
  <c r="J307" i="167" l="1"/>
  <c r="M303" i="167" s="1"/>
  <c r="I307" i="167"/>
  <c r="L303" i="167" s="1"/>
  <c r="G295" i="167"/>
  <c r="G294" i="167"/>
  <c r="H287" i="167"/>
  <c r="K285" i="167" s="1"/>
  <c r="J27" i="172" l="1"/>
  <c r="J106" i="167" l="1"/>
  <c r="D63" i="170"/>
  <c r="C134" i="188" l="1"/>
  <c r="G33" i="167"/>
  <c r="J32" i="167"/>
  <c r="M289" i="167"/>
  <c r="G291" i="167"/>
  <c r="J236" i="167" l="1"/>
  <c r="D106" i="170"/>
  <c r="K383" i="165" l="1"/>
  <c r="K382" i="203" s="1"/>
  <c r="K377" i="203" s="1"/>
  <c r="K376" i="203" s="1"/>
  <c r="H236" i="167"/>
  <c r="G285" i="167"/>
  <c r="J287" i="167"/>
  <c r="J247" i="167"/>
  <c r="J105" i="167"/>
  <c r="J143" i="167"/>
  <c r="H106" i="167" l="1"/>
  <c r="I106" i="167"/>
  <c r="I143" i="167"/>
  <c r="H247" i="167"/>
  <c r="I236" i="167"/>
  <c r="G236" i="167" s="1"/>
  <c r="H105" i="167"/>
  <c r="H143" i="167"/>
  <c r="G106" i="167" l="1"/>
  <c r="G143" i="167"/>
  <c r="I247" i="167"/>
  <c r="G247" i="167" s="1"/>
  <c r="I105" i="167"/>
  <c r="G105" i="167" s="1"/>
  <c r="G26" i="167" l="1"/>
  <c r="C135" i="188" l="1"/>
  <c r="C160" i="188" l="1"/>
  <c r="C130" i="188"/>
  <c r="G425" i="165" l="1"/>
  <c r="H425" i="165"/>
  <c r="I425" i="165"/>
  <c r="L425" i="165"/>
  <c r="M425" i="165"/>
  <c r="N425" i="165"/>
  <c r="F426" i="165"/>
  <c r="K426" i="165"/>
  <c r="E383" i="165" l="1"/>
  <c r="E382" i="203" s="1"/>
  <c r="E377" i="203" s="1"/>
  <c r="K41" i="167"/>
  <c r="O426" i="165"/>
  <c r="J426" i="165" s="1"/>
  <c r="E426" i="165"/>
  <c r="E425" i="165" s="1"/>
  <c r="O387" i="165"/>
  <c r="O384" i="165" s="1"/>
  <c r="O383" i="203" s="1"/>
  <c r="N424" i="165"/>
  <c r="H424" i="165"/>
  <c r="M424" i="165"/>
  <c r="G424" i="165"/>
  <c r="L424" i="165"/>
  <c r="I424" i="165"/>
  <c r="K425" i="165"/>
  <c r="F425" i="165"/>
  <c r="E376" i="203" l="1"/>
  <c r="O383" i="165"/>
  <c r="O382" i="203" s="1"/>
  <c r="O377" i="203" s="1"/>
  <c r="O425" i="165"/>
  <c r="O424" i="165" s="1"/>
  <c r="I32" i="167"/>
  <c r="K289" i="167"/>
  <c r="H68" i="167"/>
  <c r="H32" i="167"/>
  <c r="L289" i="167"/>
  <c r="I287" i="167"/>
  <c r="G287" i="167" s="1"/>
  <c r="J387" i="165"/>
  <c r="J384" i="165" s="1"/>
  <c r="J383" i="203" s="1"/>
  <c r="F424" i="165"/>
  <c r="J425" i="165"/>
  <c r="E424" i="165"/>
  <c r="K424" i="165"/>
  <c r="P426" i="165"/>
  <c r="O376" i="203" l="1"/>
  <c r="J377" i="203"/>
  <c r="J383" i="165"/>
  <c r="J382" i="203" s="1"/>
  <c r="P387" i="165"/>
  <c r="P384" i="165" s="1"/>
  <c r="P383" i="203" s="1"/>
  <c r="J424" i="165"/>
  <c r="P425" i="165"/>
  <c r="J376" i="203" l="1"/>
  <c r="P377" i="203"/>
  <c r="P383" i="165"/>
  <c r="P382" i="203" s="1"/>
  <c r="P424" i="165"/>
  <c r="Q377" i="203" l="1"/>
  <c r="P376" i="203"/>
  <c r="J267" i="167"/>
  <c r="I267" i="167"/>
  <c r="H267" i="167"/>
  <c r="G251" i="167"/>
  <c r="G267" i="167" l="1"/>
  <c r="J170" i="167"/>
  <c r="I170" i="167"/>
  <c r="G170" i="167" l="1"/>
  <c r="J142" i="167"/>
  <c r="I142" i="167"/>
  <c r="H142" i="167"/>
  <c r="J117" i="167"/>
  <c r="H117" i="167" l="1"/>
  <c r="G142" i="167"/>
  <c r="I117" i="167" l="1"/>
  <c r="G117" i="167" s="1"/>
  <c r="F62" i="172" l="1"/>
  <c r="E62" i="172"/>
  <c r="I27" i="172"/>
  <c r="D62" i="172" l="1"/>
  <c r="C62" i="172" s="1"/>
  <c r="C29" i="172" l="1"/>
  <c r="J31" i="167" l="1"/>
  <c r="C159" i="188"/>
  <c r="H31" i="167" l="1"/>
  <c r="I31" i="167"/>
  <c r="G31" i="167" l="1"/>
  <c r="J94" i="167" l="1"/>
  <c r="J95" i="167"/>
  <c r="H95" i="167"/>
  <c r="J112" i="167"/>
  <c r="I112" i="167"/>
  <c r="D30" i="170"/>
  <c r="C131" i="188"/>
  <c r="C127" i="188"/>
  <c r="I94" i="167" l="1"/>
  <c r="H94" i="167"/>
  <c r="H112" i="167"/>
  <c r="G112" i="167" s="1"/>
  <c r="G181" i="167"/>
  <c r="G94" i="167" l="1"/>
  <c r="I95" i="167"/>
  <c r="G95" i="167" s="1"/>
  <c r="E50" i="172"/>
  <c r="G140" i="167" l="1"/>
  <c r="G110" i="167"/>
  <c r="J356" i="167"/>
  <c r="I356" i="167"/>
  <c r="H356" i="167"/>
  <c r="G17" i="167"/>
  <c r="G356" i="167" l="1"/>
  <c r="G193" i="167" l="1"/>
  <c r="J334" i="167"/>
  <c r="H334" i="167" l="1"/>
  <c r="I334" i="167"/>
  <c r="G334" i="167" l="1"/>
  <c r="G330" i="167"/>
  <c r="M329" i="167"/>
  <c r="G329" i="167"/>
  <c r="G307" i="167"/>
  <c r="K329" i="167" l="1"/>
  <c r="L329" i="167"/>
  <c r="M265" i="167"/>
  <c r="G266" i="167"/>
  <c r="G265" i="167"/>
  <c r="L265" i="167"/>
  <c r="K265" i="167"/>
  <c r="G296" i="167" l="1"/>
  <c r="G262" i="167" l="1"/>
  <c r="G364" i="167" l="1"/>
  <c r="J322" i="167" l="1"/>
  <c r="C123" i="188"/>
  <c r="J111" i="167"/>
  <c r="D93" i="170"/>
  <c r="E91" i="170" s="1"/>
  <c r="H111" i="167" l="1"/>
  <c r="D112" i="170"/>
  <c r="J253" i="167"/>
  <c r="I253" i="167"/>
  <c r="H253" i="167"/>
  <c r="I111" i="167" l="1"/>
  <c r="G111" i="167" s="1"/>
  <c r="G253" i="167"/>
  <c r="F50" i="172" l="1"/>
  <c r="F45" i="172"/>
  <c r="F44" i="172" s="1"/>
  <c r="E45" i="172"/>
  <c r="H30" i="167" l="1"/>
  <c r="G167" i="167" l="1"/>
  <c r="J166" i="167" l="1"/>
  <c r="M166" i="167" s="1"/>
  <c r="G299" i="167"/>
  <c r="J377" i="167" l="1"/>
  <c r="I377" i="167"/>
  <c r="J298" i="167" l="1"/>
  <c r="M298" i="167" s="1"/>
  <c r="G82" i="167"/>
  <c r="G79" i="167"/>
  <c r="J78" i="167" l="1"/>
  <c r="M78" i="167" s="1"/>
  <c r="J81" i="167"/>
  <c r="M81" i="167" s="1"/>
  <c r="C83" i="188" l="1"/>
  <c r="D82" i="188"/>
  <c r="C82" i="188" l="1"/>
  <c r="J58" i="167" l="1"/>
  <c r="I58" i="167"/>
  <c r="G42" i="167"/>
  <c r="G32" i="167" l="1"/>
  <c r="G377" i="167" l="1"/>
  <c r="M376" i="167"/>
  <c r="D72" i="170"/>
  <c r="J375" i="167" l="1"/>
  <c r="M250" i="167" l="1"/>
  <c r="G258" i="167"/>
  <c r="J141" i="167"/>
  <c r="J68" i="167"/>
  <c r="G59" i="167"/>
  <c r="C141" i="188"/>
  <c r="M41" i="167" l="1"/>
  <c r="I375" i="167"/>
  <c r="G375" i="167" s="1"/>
  <c r="H141" i="167"/>
  <c r="I141" i="167" l="1"/>
  <c r="G141" i="167" s="1"/>
  <c r="C18" i="188"/>
  <c r="C18" i="202" s="1"/>
  <c r="J27" i="107" l="1"/>
  <c r="I27" i="107"/>
  <c r="H27" i="107"/>
  <c r="G27" i="107"/>
  <c r="F27" i="107"/>
  <c r="F25" i="107"/>
  <c r="N28" i="107"/>
  <c r="N27" i="107" s="1"/>
  <c r="P28" i="107"/>
  <c r="P27" i="107" s="1"/>
  <c r="Q28" i="107"/>
  <c r="Q27" i="107" s="1"/>
  <c r="P26" i="107"/>
  <c r="M50" i="167"/>
  <c r="K27" i="107" l="1"/>
  <c r="L27" i="107"/>
  <c r="M27" i="107"/>
  <c r="F24" i="107"/>
  <c r="O28" i="107"/>
  <c r="O27" i="107" s="1"/>
  <c r="J108" i="167" l="1"/>
  <c r="J107" i="167"/>
  <c r="H108" i="167" l="1"/>
  <c r="H107" i="167"/>
  <c r="I108" i="167" l="1"/>
  <c r="G108" i="167" s="1"/>
  <c r="I107" i="167"/>
  <c r="G107" i="167" s="1"/>
  <c r="M379" i="167" l="1"/>
  <c r="G378" i="167"/>
  <c r="K25" i="167"/>
  <c r="G30" i="167" l="1"/>
  <c r="D34" i="170" l="1"/>
  <c r="D14" i="170"/>
  <c r="D71" i="188"/>
  <c r="C89" i="188"/>
  <c r="C76" i="188"/>
  <c r="C75" i="188"/>
  <c r="C28" i="188"/>
  <c r="D27" i="188"/>
  <c r="D17" i="188"/>
  <c r="D17" i="202" s="1"/>
  <c r="C23" i="188"/>
  <c r="C22" i="188"/>
  <c r="C71" i="188" l="1"/>
  <c r="D123" i="170"/>
  <c r="J407" i="167" l="1"/>
  <c r="I26" i="107"/>
  <c r="I25" i="107" s="1"/>
  <c r="I24" i="107" s="1"/>
  <c r="G155" i="167"/>
  <c r="J320" i="167" l="1"/>
  <c r="J270" i="167" l="1"/>
  <c r="J273" i="167"/>
  <c r="M269" i="167"/>
  <c r="G263" i="167"/>
  <c r="H273" i="167" l="1"/>
  <c r="I273" i="167" l="1"/>
  <c r="G273" i="167" s="1"/>
  <c r="G125" i="167" l="1"/>
  <c r="G268" i="167" l="1"/>
  <c r="F111" i="188" l="1"/>
  <c r="D111" i="188"/>
  <c r="D107" i="188"/>
  <c r="H322" i="167" l="1"/>
  <c r="D106" i="188"/>
  <c r="I322" i="167" l="1"/>
  <c r="G322" i="167" s="1"/>
  <c r="E121" i="170"/>
  <c r="C59" i="172"/>
  <c r="C57" i="172" s="1"/>
  <c r="C56" i="172"/>
  <c r="C54" i="172" s="1"/>
  <c r="F20" i="172" l="1"/>
  <c r="E53" i="172"/>
  <c r="D20" i="172"/>
  <c r="C23" i="172"/>
  <c r="C21" i="172" s="1"/>
  <c r="F53" i="172"/>
  <c r="D53" i="172"/>
  <c r="C53" i="172"/>
  <c r="E20" i="172"/>
  <c r="C26" i="172"/>
  <c r="C24" i="172" s="1"/>
  <c r="G342" i="167"/>
  <c r="Q97" i="184" s="1"/>
  <c r="J103" i="167"/>
  <c r="C20" i="172" l="1"/>
  <c r="H103" i="167"/>
  <c r="H102" i="167"/>
  <c r="J102" i="167"/>
  <c r="I103" i="167" l="1"/>
  <c r="G103" i="167" s="1"/>
  <c r="I102" i="167"/>
  <c r="G102" i="167" s="1"/>
  <c r="G252" i="167"/>
  <c r="G304" i="167" l="1"/>
  <c r="G288" i="167" l="1"/>
  <c r="J361" i="167" l="1"/>
  <c r="G326" i="167"/>
  <c r="G62" i="167"/>
  <c r="G41" i="167" l="1"/>
  <c r="J255" i="167" l="1"/>
  <c r="I255" i="167"/>
  <c r="G264" i="167" l="1"/>
  <c r="E61" i="172"/>
  <c r="J171" i="167" l="1"/>
  <c r="G172" i="167"/>
  <c r="H408" i="167"/>
  <c r="J408" i="167"/>
  <c r="J403" i="167" s="1"/>
  <c r="I408" i="167"/>
  <c r="G313" i="167"/>
  <c r="G271" i="167"/>
  <c r="G259" i="167"/>
  <c r="G255" i="167"/>
  <c r="G57" i="167"/>
  <c r="D107" i="170"/>
  <c r="G29" i="167"/>
  <c r="M37" i="167"/>
  <c r="G37" i="167"/>
  <c r="H284" i="167" l="1"/>
  <c r="G284" i="167" s="1"/>
  <c r="K37" i="167"/>
  <c r="G408" i="167"/>
  <c r="L37" i="167" l="1"/>
  <c r="G21" i="167"/>
  <c r="J101" i="167" l="1"/>
  <c r="J100" i="167"/>
  <c r="C158" i="188" l="1"/>
  <c r="C110" i="188"/>
  <c r="F107" i="188"/>
  <c r="E107" i="188"/>
  <c r="G341" i="167" l="1"/>
  <c r="G338" i="167" l="1"/>
  <c r="H101" i="167" l="1"/>
  <c r="H100" i="167"/>
  <c r="I100" i="167" l="1"/>
  <c r="G100" i="167" s="1"/>
  <c r="I101" i="167"/>
  <c r="G101" i="167" s="1"/>
  <c r="J370" i="167"/>
  <c r="J205" i="167"/>
  <c r="G223" i="167"/>
  <c r="G206" i="167"/>
  <c r="G201" i="167"/>
  <c r="J200" i="167"/>
  <c r="G169" i="167"/>
  <c r="G187" i="167"/>
  <c r="J131" i="167"/>
  <c r="G132" i="167"/>
  <c r="G128" i="167"/>
  <c r="J168" i="167" l="1"/>
  <c r="J222" i="167"/>
  <c r="D108" i="170" l="1"/>
  <c r="G70" i="167"/>
  <c r="J127" i="167" l="1"/>
  <c r="J232" i="167"/>
  <c r="H232" i="167" l="1"/>
  <c r="J148" i="197"/>
  <c r="I148" i="197"/>
  <c r="H148" i="197"/>
  <c r="G143" i="108"/>
  <c r="G148" i="197"/>
  <c r="C157" i="188"/>
  <c r="D122" i="108"/>
  <c r="D127" i="197"/>
  <c r="I232" i="167" l="1"/>
  <c r="G232"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303" i="167"/>
  <c r="J177" i="167" l="1"/>
  <c r="M177" i="167" s="1"/>
  <c r="G179" i="167"/>
  <c r="G191" i="167" l="1"/>
  <c r="D16" i="170" l="1"/>
  <c r="C116" i="188"/>
  <c r="G190" i="167" l="1"/>
  <c r="J239" i="167" l="1"/>
  <c r="G371" i="167"/>
  <c r="O409" i="165"/>
  <c r="O408" i="203" s="1"/>
  <c r="N408" i="165"/>
  <c r="N407" i="203" s="1"/>
  <c r="N388" i="203" s="1"/>
  <c r="N387" i="203" s="1"/>
  <c r="M408" i="165"/>
  <c r="M407" i="203" s="1"/>
  <c r="M388" i="203" s="1"/>
  <c r="M387" i="203" s="1"/>
  <c r="L408" i="165"/>
  <c r="L407" i="203" s="1"/>
  <c r="L388" i="203" s="1"/>
  <c r="L387" i="203" s="1"/>
  <c r="K408" i="165"/>
  <c r="K407" i="203" s="1"/>
  <c r="K388" i="203" s="1"/>
  <c r="K387" i="203" s="1"/>
  <c r="I408" i="165"/>
  <c r="I407" i="203" s="1"/>
  <c r="I388" i="203" s="1"/>
  <c r="I387" i="203" s="1"/>
  <c r="H408" i="165"/>
  <c r="H407" i="203" s="1"/>
  <c r="H388" i="203" s="1"/>
  <c r="H387" i="203" s="1"/>
  <c r="G408" i="165"/>
  <c r="G407" i="203" s="1"/>
  <c r="G388" i="203" s="1"/>
  <c r="G387" i="203" s="1"/>
  <c r="F408" i="165"/>
  <c r="F407" i="203" s="1"/>
  <c r="F388" i="203" s="1"/>
  <c r="F387" i="203" s="1"/>
  <c r="H239" i="167" l="1"/>
  <c r="E99" i="170"/>
  <c r="E408" i="165"/>
  <c r="E407" i="203" s="1"/>
  <c r="E388" i="203" s="1"/>
  <c r="O408" i="165"/>
  <c r="O407" i="203" s="1"/>
  <c r="O388" i="203" s="1"/>
  <c r="O387" i="203" s="1"/>
  <c r="J409" i="165"/>
  <c r="J408" i="203" s="1"/>
  <c r="G60" i="167"/>
  <c r="E387" i="203" l="1"/>
  <c r="J408" i="165"/>
  <c r="J407" i="203" s="1"/>
  <c r="J388" i="203" s="1"/>
  <c r="J387" i="203" s="1"/>
  <c r="I239" i="167"/>
  <c r="G239" i="167" s="1"/>
  <c r="P409" i="165"/>
  <c r="P408" i="203" s="1"/>
  <c r="P388" i="203" l="1"/>
  <c r="P408" i="165"/>
  <c r="P407" i="203" s="1"/>
  <c r="P387" i="203" l="1"/>
  <c r="Q388" i="203"/>
  <c r="G305" i="167"/>
  <c r="G315" i="167"/>
  <c r="G314" i="167"/>
  <c r="G312" i="167"/>
  <c r="G311" i="167"/>
  <c r="G310" i="167"/>
  <c r="G283" i="167"/>
  <c r="G309" i="167"/>
  <c r="G308" i="167"/>
  <c r="G306" i="167"/>
  <c r="G58" i="167"/>
  <c r="J196" i="167" l="1"/>
  <c r="M186" i="167" l="1"/>
  <c r="O210" i="165"/>
  <c r="O210" i="203" s="1"/>
  <c r="J210" i="165" l="1"/>
  <c r="J210" i="203" s="1"/>
  <c r="M368" i="167"/>
  <c r="I196" i="167" l="1"/>
  <c r="G196" i="167" s="1"/>
  <c r="P210" i="165"/>
  <c r="P210" i="203" s="1"/>
  <c r="J209" i="167"/>
  <c r="J395" i="167" l="1"/>
  <c r="K176" i="197" l="1"/>
  <c r="O441" i="165" l="1"/>
  <c r="O440" i="203" s="1"/>
  <c r="J374" i="167"/>
  <c r="J386" i="167"/>
  <c r="J382" i="167"/>
  <c r="H374" i="167" l="1"/>
  <c r="H382" i="167"/>
  <c r="H386" i="167"/>
  <c r="I386" i="167" l="1"/>
  <c r="G386" i="167" s="1"/>
  <c r="I374" i="167"/>
  <c r="G374" i="167" s="1"/>
  <c r="I382" i="167"/>
  <c r="G382" i="167" s="1"/>
  <c r="D102" i="170" l="1"/>
  <c r="C142" i="188" l="1"/>
  <c r="D149" i="188" l="1"/>
  <c r="G124" i="167" l="1"/>
  <c r="J216" i="167" l="1"/>
  <c r="O230" i="165"/>
  <c r="E230" i="165"/>
  <c r="K250" i="167"/>
  <c r="J353" i="167"/>
  <c r="J230" i="165" l="1"/>
  <c r="H216" i="167"/>
  <c r="H353" i="167"/>
  <c r="G261" i="167" l="1"/>
  <c r="P230" i="165"/>
  <c r="I353" i="167"/>
  <c r="I216" i="167"/>
  <c r="G216" i="167" s="1"/>
  <c r="J126" i="167"/>
  <c r="J146" i="167"/>
  <c r="G353" i="167" l="1"/>
  <c r="H126" i="167"/>
  <c r="H146" i="167"/>
  <c r="I126" i="167" l="1"/>
  <c r="G126" i="167" s="1"/>
  <c r="I146" i="167"/>
  <c r="G146" i="167" s="1"/>
  <c r="G83" i="167"/>
  <c r="G80" i="167"/>
  <c r="G71" i="167"/>
  <c r="G67" i="167"/>
  <c r="G23" i="167" l="1"/>
  <c r="G394" i="167" l="1"/>
  <c r="O440" i="165" l="1"/>
  <c r="N440" i="165"/>
  <c r="M440" i="165"/>
  <c r="L440" i="165"/>
  <c r="K440" i="165"/>
  <c r="I440" i="165"/>
  <c r="H440" i="165"/>
  <c r="G440" i="165"/>
  <c r="F440" i="165"/>
  <c r="I431" i="165" l="1"/>
  <c r="I439" i="203"/>
  <c r="I430" i="203" s="1"/>
  <c r="I429" i="203" s="1"/>
  <c r="F431" i="165"/>
  <c r="F439" i="203"/>
  <c r="F430" i="203" s="1"/>
  <c r="F429" i="203" s="1"/>
  <c r="G431" i="165"/>
  <c r="G439" i="203"/>
  <c r="G430" i="203" s="1"/>
  <c r="G429" i="203" s="1"/>
  <c r="H431" i="165"/>
  <c r="H439" i="203"/>
  <c r="H430" i="203" s="1"/>
  <c r="H429" i="203" s="1"/>
  <c r="K431" i="165"/>
  <c r="K439" i="203"/>
  <c r="K430" i="203" s="1"/>
  <c r="K429" i="203" s="1"/>
  <c r="L431" i="165"/>
  <c r="L439" i="203"/>
  <c r="L430" i="203" s="1"/>
  <c r="L429" i="203" s="1"/>
  <c r="M431" i="165"/>
  <c r="M439" i="203"/>
  <c r="M430" i="203" s="1"/>
  <c r="M429" i="203" s="1"/>
  <c r="N431" i="165"/>
  <c r="N439" i="203"/>
  <c r="N430" i="203" s="1"/>
  <c r="N429" i="203" s="1"/>
  <c r="O431" i="165"/>
  <c r="O439" i="203"/>
  <c r="O430" i="203" s="1"/>
  <c r="O429" i="203" s="1"/>
  <c r="E100" i="170"/>
  <c r="E440" i="165"/>
  <c r="H395" i="167"/>
  <c r="J441" i="165"/>
  <c r="J440" i="203" s="1"/>
  <c r="E431" i="165" l="1"/>
  <c r="E439" i="203"/>
  <c r="E430" i="203" s="1"/>
  <c r="E429" i="203" s="1"/>
  <c r="I395" i="167"/>
  <c r="I389" i="167" s="1"/>
  <c r="E116" i="170"/>
  <c r="J440" i="165"/>
  <c r="P441" i="165"/>
  <c r="P440" i="203" s="1"/>
  <c r="D21" i="108"/>
  <c r="D24" i="108" s="1"/>
  <c r="J431" i="165" l="1"/>
  <c r="J439" i="203"/>
  <c r="J430" i="203" s="1"/>
  <c r="J429" i="203" s="1"/>
  <c r="D127" i="170"/>
  <c r="E127" i="170" s="1"/>
  <c r="G395" i="167"/>
  <c r="P440" i="165"/>
  <c r="E115" i="170"/>
  <c r="J331" i="167"/>
  <c r="G369" i="167"/>
  <c r="P431" i="165" l="1"/>
  <c r="Q431" i="165" s="1"/>
  <c r="P439" i="203"/>
  <c r="P430" i="203" s="1"/>
  <c r="H331" i="167"/>
  <c r="Q430" i="203" l="1"/>
  <c r="P429" i="203"/>
  <c r="I331" i="167"/>
  <c r="G331" i="167" s="1"/>
  <c r="J115" i="167" l="1"/>
  <c r="H115" i="167" l="1"/>
  <c r="I115" i="167" l="1"/>
  <c r="G115" i="167" s="1"/>
  <c r="J274" i="167"/>
  <c r="O303" i="165"/>
  <c r="J303" i="165" s="1"/>
  <c r="J302" i="165" s="1"/>
  <c r="J300" i="165" s="1"/>
  <c r="J300" i="203" s="1"/>
  <c r="E303" i="165"/>
  <c r="H274" i="167" s="1"/>
  <c r="N302" i="165"/>
  <c r="N300" i="165" s="1"/>
  <c r="N300" i="203" s="1"/>
  <c r="M302" i="165"/>
  <c r="M300" i="165" s="1"/>
  <c r="M300" i="203" s="1"/>
  <c r="L302" i="165"/>
  <c r="L300" i="165" s="1"/>
  <c r="L300" i="203" s="1"/>
  <c r="K302" i="165"/>
  <c r="K300" i="165" s="1"/>
  <c r="K300" i="203" s="1"/>
  <c r="I302" i="165"/>
  <c r="I300" i="165" s="1"/>
  <c r="I300" i="203" s="1"/>
  <c r="H302" i="165"/>
  <c r="H300" i="165" s="1"/>
  <c r="H300" i="203" s="1"/>
  <c r="G302" i="165"/>
  <c r="G300" i="165" s="1"/>
  <c r="G300" i="203" s="1"/>
  <c r="F302" i="165"/>
  <c r="F300" i="165" s="1"/>
  <c r="F300" i="203" s="1"/>
  <c r="D33" i="108"/>
  <c r="G299" i="165" l="1"/>
  <c r="G299" i="203" s="1"/>
  <c r="G273" i="203" s="1"/>
  <c r="G272" i="203" s="1"/>
  <c r="J299" i="165"/>
  <c r="J299" i="203" s="1"/>
  <c r="H299" i="165"/>
  <c r="H299" i="203" s="1"/>
  <c r="H273" i="203" s="1"/>
  <c r="H272" i="203" s="1"/>
  <c r="M299" i="165"/>
  <c r="M299" i="203" s="1"/>
  <c r="M273" i="203" s="1"/>
  <c r="M272" i="203" s="1"/>
  <c r="F299" i="165"/>
  <c r="F299" i="203" s="1"/>
  <c r="F273" i="203" s="1"/>
  <c r="F272" i="203" s="1"/>
  <c r="K299" i="165"/>
  <c r="K299" i="203" s="1"/>
  <c r="K273" i="203" s="1"/>
  <c r="K272" i="203" s="1"/>
  <c r="L299" i="165"/>
  <c r="L299" i="203" s="1"/>
  <c r="L273" i="203" s="1"/>
  <c r="I299" i="165"/>
  <c r="I299" i="203" s="1"/>
  <c r="I273" i="203" s="1"/>
  <c r="I272" i="203" s="1"/>
  <c r="N299" i="165"/>
  <c r="N299" i="203" s="1"/>
  <c r="N273" i="203" s="1"/>
  <c r="N272" i="203" s="1"/>
  <c r="I274" i="167"/>
  <c r="G274" i="167" s="1"/>
  <c r="P303" i="165"/>
  <c r="P302" i="165" s="1"/>
  <c r="P300" i="165" s="1"/>
  <c r="P300" i="203" s="1"/>
  <c r="E302" i="165"/>
  <c r="E300" i="165" s="1"/>
  <c r="E300" i="203" s="1"/>
  <c r="O302" i="165"/>
  <c r="O300" i="165" s="1"/>
  <c r="O300" i="203" s="1"/>
  <c r="L272" i="203" l="1"/>
  <c r="O299" i="165"/>
  <c r="O299" i="203" s="1"/>
  <c r="O273" i="203" s="1"/>
  <c r="O272" i="203" s="1"/>
  <c r="P299" i="165"/>
  <c r="P299" i="203" s="1"/>
  <c r="E299" i="165"/>
  <c r="E299" i="203" s="1"/>
  <c r="E273" i="203" s="1"/>
  <c r="I273" i="165"/>
  <c r="H273" i="165"/>
  <c r="K273" i="165"/>
  <c r="L273" i="165"/>
  <c r="F273" i="165"/>
  <c r="G273" i="165"/>
  <c r="N273" i="165"/>
  <c r="M273" i="165"/>
  <c r="G27" i="167"/>
  <c r="E272" i="203" l="1"/>
  <c r="J273" i="203"/>
  <c r="J272" i="203" s="1"/>
  <c r="O273" i="165"/>
  <c r="J273" i="165" s="1"/>
  <c r="E273" i="165"/>
  <c r="P273" i="203" l="1"/>
  <c r="G45" i="167"/>
  <c r="P272" i="203" l="1"/>
  <c r="Q273" i="203"/>
  <c r="J120" i="167"/>
  <c r="N112" i="165"/>
  <c r="N109" i="165" s="1"/>
  <c r="M112" i="165"/>
  <c r="M109" i="165" s="1"/>
  <c r="L112" i="165"/>
  <c r="L109" i="165" s="1"/>
  <c r="K112" i="165"/>
  <c r="K109" i="165" s="1"/>
  <c r="I112" i="165"/>
  <c r="I109" i="165" s="1"/>
  <c r="H112" i="165"/>
  <c r="H109" i="165" s="1"/>
  <c r="G112" i="165"/>
  <c r="G109" i="165" s="1"/>
  <c r="F112" i="165"/>
  <c r="F109" i="165" s="1"/>
  <c r="O113" i="165"/>
  <c r="E113" i="165"/>
  <c r="E112" i="165" l="1"/>
  <c r="E109" i="165" s="1"/>
  <c r="O112" i="165"/>
  <c r="O109" i="165" s="1"/>
  <c r="H120" i="167"/>
  <c r="J113" i="165"/>
  <c r="J112" i="165" l="1"/>
  <c r="J109" i="165" s="1"/>
  <c r="I120" i="167"/>
  <c r="G120" i="167" s="1"/>
  <c r="P113" i="165"/>
  <c r="P112" i="165" l="1"/>
  <c r="P109" i="165" s="1"/>
  <c r="H370" i="167" l="1"/>
  <c r="D31" i="170"/>
  <c r="C118" i="188"/>
  <c r="I370" i="167" l="1"/>
  <c r="G370" i="167" s="1"/>
  <c r="G55" i="167" l="1"/>
  <c r="G359" i="167"/>
  <c r="G43" i="167" l="1"/>
  <c r="L41" i="167" l="1"/>
  <c r="I171" i="167"/>
  <c r="G171" i="167" s="1"/>
  <c r="D37" i="188" l="1"/>
  <c r="C39" i="188"/>
  <c r="D61" i="172" l="1"/>
  <c r="G400" i="167" l="1"/>
  <c r="J183" i="167" l="1"/>
  <c r="J144" i="167"/>
  <c r="H144" i="167" l="1"/>
  <c r="I144" i="167" l="1"/>
  <c r="G144" i="167" s="1"/>
  <c r="I183" i="167"/>
  <c r="G183" i="167" s="1"/>
  <c r="H209" i="167" l="1"/>
  <c r="I209" i="167" l="1"/>
  <c r="G209" i="167" s="1"/>
  <c r="G348" i="167"/>
  <c r="G347" i="167"/>
  <c r="N373" i="165" l="1"/>
  <c r="M373" i="165"/>
  <c r="L373" i="165"/>
  <c r="K373" i="165"/>
  <c r="I373" i="165"/>
  <c r="H373" i="165"/>
  <c r="G373" i="165"/>
  <c r="F373" i="165"/>
  <c r="O376" i="165"/>
  <c r="O375" i="203" s="1"/>
  <c r="K372" i="165" l="1"/>
  <c r="K372" i="203"/>
  <c r="M372" i="165"/>
  <c r="M372" i="203"/>
  <c r="F372" i="165"/>
  <c r="F372" i="203"/>
  <c r="G372" i="165"/>
  <c r="G372" i="203"/>
  <c r="H372" i="165"/>
  <c r="H372" i="203"/>
  <c r="I372" i="165"/>
  <c r="I372" i="203"/>
  <c r="L372" i="165"/>
  <c r="L372" i="203"/>
  <c r="N372" i="165"/>
  <c r="N372" i="203"/>
  <c r="J376" i="165"/>
  <c r="J375" i="203" s="1"/>
  <c r="G318" i="167"/>
  <c r="I364" i="165" l="1"/>
  <c r="I363" i="203" s="1"/>
  <c r="I339" i="203" s="1"/>
  <c r="I338" i="203" s="1"/>
  <c r="I371" i="203"/>
  <c r="H364" i="165"/>
  <c r="H363" i="203" s="1"/>
  <c r="H339" i="203" s="1"/>
  <c r="H338" i="203" s="1"/>
  <c r="H371" i="203"/>
  <c r="N364" i="165"/>
  <c r="N363" i="203" s="1"/>
  <c r="N339" i="203" s="1"/>
  <c r="N338" i="203" s="1"/>
  <c r="N371" i="203"/>
  <c r="M364" i="165"/>
  <c r="M363" i="203" s="1"/>
  <c r="M339" i="203" s="1"/>
  <c r="M338" i="203" s="1"/>
  <c r="M371" i="203"/>
  <c r="G364" i="165"/>
  <c r="G363" i="203" s="1"/>
  <c r="G339" i="203" s="1"/>
  <c r="G338" i="203" s="1"/>
  <c r="G371" i="203"/>
  <c r="F364" i="165"/>
  <c r="F363" i="203" s="1"/>
  <c r="F339" i="203" s="1"/>
  <c r="F338" i="203" s="1"/>
  <c r="F371" i="203"/>
  <c r="L364" i="165"/>
  <c r="L363" i="203" s="1"/>
  <c r="L339" i="203" s="1"/>
  <c r="L338" i="203" s="1"/>
  <c r="L371" i="203"/>
  <c r="K364" i="165"/>
  <c r="K363" i="203" s="1"/>
  <c r="K339" i="203" s="1"/>
  <c r="K338" i="203" s="1"/>
  <c r="K371" i="203"/>
  <c r="P376" i="165"/>
  <c r="P375" i="203" s="1"/>
  <c r="G44" i="167"/>
  <c r="F61" i="172" l="1"/>
  <c r="G250" i="167" l="1"/>
  <c r="C53" i="188" l="1"/>
  <c r="D52" i="188"/>
  <c r="C52" i="188" l="1"/>
  <c r="D41" i="188"/>
  <c r="E111" i="188"/>
  <c r="D103" i="188"/>
  <c r="E61" i="188" l="1"/>
  <c r="G383" i="167" l="1"/>
  <c r="M385" i="167"/>
  <c r="C50" i="172"/>
  <c r="C51" i="172"/>
  <c r="F13" i="107" l="1"/>
  <c r="H13" i="107"/>
  <c r="J13" i="107"/>
  <c r="K13" i="107"/>
  <c r="L13" i="107"/>
  <c r="G20" i="167" l="1"/>
  <c r="O374" i="165" l="1"/>
  <c r="O373" i="203" s="1"/>
  <c r="J374" i="165" l="1"/>
  <c r="J373" i="203" s="1"/>
  <c r="O373" i="165"/>
  <c r="G292" i="167"/>
  <c r="O372" i="165" l="1"/>
  <c r="O372" i="203"/>
  <c r="J373" i="165"/>
  <c r="J372" i="165" l="1"/>
  <c r="J372" i="203"/>
  <c r="O364" i="165"/>
  <c r="O363" i="203" s="1"/>
  <c r="O339" i="203" s="1"/>
  <c r="O338" i="203" s="1"/>
  <c r="O371" i="203"/>
  <c r="J242" i="167"/>
  <c r="O271" i="165"/>
  <c r="N270" i="165"/>
  <c r="M270" i="165"/>
  <c r="L270" i="165"/>
  <c r="K270" i="165"/>
  <c r="I270" i="165"/>
  <c r="H270" i="165"/>
  <c r="G270" i="165"/>
  <c r="F270" i="165"/>
  <c r="F269" i="165" l="1"/>
  <c r="F269" i="203" s="1"/>
  <c r="F236" i="203" s="1"/>
  <c r="F270" i="203"/>
  <c r="K269" i="165"/>
  <c r="K269" i="203" s="1"/>
  <c r="K236" i="203" s="1"/>
  <c r="K270" i="203"/>
  <c r="L269" i="165"/>
  <c r="L269" i="203" s="1"/>
  <c r="L236" i="203" s="1"/>
  <c r="L270" i="203"/>
  <c r="M269" i="165"/>
  <c r="M269" i="203" s="1"/>
  <c r="M236" i="203" s="1"/>
  <c r="M270" i="203"/>
  <c r="J271" i="165"/>
  <c r="O271" i="203"/>
  <c r="I269" i="165"/>
  <c r="I269" i="203" s="1"/>
  <c r="I236" i="203" s="1"/>
  <c r="I270" i="203"/>
  <c r="N269" i="165"/>
  <c r="N269" i="203" s="1"/>
  <c r="N236" i="203" s="1"/>
  <c r="N270" i="203"/>
  <c r="G269" i="165"/>
  <c r="G269" i="203" s="1"/>
  <c r="G236" i="203" s="1"/>
  <c r="G270" i="203"/>
  <c r="H269" i="165"/>
  <c r="H269" i="203" s="1"/>
  <c r="H236" i="203" s="1"/>
  <c r="H270" i="203"/>
  <c r="J364" i="165"/>
  <c r="J363" i="203" s="1"/>
  <c r="J339" i="203" s="1"/>
  <c r="J338" i="203" s="1"/>
  <c r="J371" i="203"/>
  <c r="E93" i="170"/>
  <c r="E270" i="165"/>
  <c r="E104" i="170"/>
  <c r="H242" i="167"/>
  <c r="O270" i="165"/>
  <c r="I235" i="203" l="1"/>
  <c r="E120" i="170"/>
  <c r="J271" i="203"/>
  <c r="L235" i="203"/>
  <c r="M235" i="203"/>
  <c r="H235" i="203"/>
  <c r="P271" i="165"/>
  <c r="G235" i="203"/>
  <c r="K235" i="203"/>
  <c r="J270" i="165"/>
  <c r="O269" i="165"/>
  <c r="O269" i="203" s="1"/>
  <c r="O236" i="203" s="1"/>
  <c r="J236" i="203" s="1"/>
  <c r="O270" i="203"/>
  <c r="E269" i="165"/>
  <c r="E269" i="203" s="1"/>
  <c r="E236" i="203" s="1"/>
  <c r="E270" i="203"/>
  <c r="I242" i="167"/>
  <c r="G242" i="167" s="1"/>
  <c r="N235" i="203"/>
  <c r="F235" i="203"/>
  <c r="J235" i="203" l="1"/>
  <c r="E235" i="203"/>
  <c r="P236" i="203"/>
  <c r="J269" i="165"/>
  <c r="J269" i="203" s="1"/>
  <c r="J270" i="203"/>
  <c r="P270" i="165"/>
  <c r="P271" i="203"/>
  <c r="Q235" i="203"/>
  <c r="O235" i="203"/>
  <c r="D74" i="170"/>
  <c r="P269" i="165" l="1"/>
  <c r="P269" i="203" s="1"/>
  <c r="P270" i="203"/>
  <c r="Q236" i="203"/>
  <c r="P235" i="203"/>
  <c r="J238" i="167"/>
  <c r="H238" i="167" l="1"/>
  <c r="H368" i="167" l="1"/>
  <c r="K368" i="167" s="1"/>
  <c r="I238" i="167"/>
  <c r="G238" i="167" s="1"/>
  <c r="L368" i="167" l="1"/>
  <c r="G368" i="167" l="1"/>
  <c r="G18" i="167"/>
  <c r="J118" i="167"/>
  <c r="H118" i="167" l="1"/>
  <c r="I118" i="167"/>
  <c r="F149" i="188"/>
  <c r="C156" i="188"/>
  <c r="C155" i="188"/>
  <c r="D84" i="188"/>
  <c r="F133" i="188" l="1"/>
  <c r="G118" i="167"/>
  <c r="D57" i="188"/>
  <c r="E149" i="188"/>
  <c r="E133" i="188" l="1"/>
  <c r="D66" i="170"/>
  <c r="D77" i="170" s="1"/>
  <c r="O207" i="165" l="1"/>
  <c r="O207" i="203" s="1"/>
  <c r="E207" i="165"/>
  <c r="E207" i="203" s="1"/>
  <c r="E205" i="165" l="1"/>
  <c r="E205" i="203" s="1"/>
  <c r="O205" i="165"/>
  <c r="O205" i="203" s="1"/>
  <c r="E204" i="165"/>
  <c r="E204" i="203" s="1"/>
  <c r="O204" i="165"/>
  <c r="O204" i="203" s="1"/>
  <c r="J207" i="165"/>
  <c r="J207" i="203" s="1"/>
  <c r="J205" i="165" l="1"/>
  <c r="G195" i="167"/>
  <c r="P207" i="165"/>
  <c r="P207" i="203" s="1"/>
  <c r="J204" i="165" l="1"/>
  <c r="J204" i="203" s="1"/>
  <c r="J205" i="203"/>
  <c r="P205" i="165"/>
  <c r="P205" i="203" s="1"/>
  <c r="J145" i="167"/>
  <c r="P204" i="165" l="1"/>
  <c r="P204" i="203" s="1"/>
  <c r="H145" i="167"/>
  <c r="I145" i="167" l="1"/>
  <c r="G145" i="167" s="1"/>
  <c r="J99" i="167" l="1"/>
  <c r="C148" i="188"/>
  <c r="C139" i="188"/>
  <c r="C138" i="188"/>
  <c r="C137" i="188"/>
  <c r="C136" i="188"/>
  <c r="C140" i="188"/>
  <c r="C126" i="188"/>
  <c r="C124" i="188"/>
  <c r="E119" i="188" l="1"/>
  <c r="E114" i="188" s="1"/>
  <c r="H99" i="167"/>
  <c r="C150" i="188"/>
  <c r="C93" i="188"/>
  <c r="C20" i="188"/>
  <c r="C19" i="188"/>
  <c r="I99" i="167" l="1"/>
  <c r="G99" i="167" s="1"/>
  <c r="C117" i="188"/>
  <c r="C143" i="188"/>
  <c r="C149" i="188"/>
  <c r="F102" i="188"/>
  <c r="E102" i="188"/>
  <c r="C112" i="188"/>
  <c r="C122" i="188"/>
  <c r="C125" i="188"/>
  <c r="C128" i="188"/>
  <c r="C129" i="188"/>
  <c r="C132" i="188"/>
  <c r="C144" i="188"/>
  <c r="C146" i="188"/>
  <c r="C147" i="188"/>
  <c r="C151" i="188"/>
  <c r="C152" i="188"/>
  <c r="C154"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C115" i="188" l="1"/>
  <c r="E478" i="200"/>
  <c r="F66" i="188"/>
  <c r="C24" i="188"/>
  <c r="D16" i="188"/>
  <c r="D16" i="202" s="1"/>
  <c r="D15" i="202" s="1"/>
  <c r="D40" i="188"/>
  <c r="F119" i="188"/>
  <c r="F114" i="188" s="1"/>
  <c r="C103" i="188"/>
  <c r="C30" i="188"/>
  <c r="E95" i="188"/>
  <c r="C107" i="188"/>
  <c r="D67" i="188"/>
  <c r="D26" i="188"/>
  <c r="D102" i="188"/>
  <c r="C27" i="188"/>
  <c r="C111" i="188"/>
  <c r="C17" i="188"/>
  <c r="C17" i="202" s="1"/>
  <c r="C96" i="188"/>
  <c r="C54" i="188"/>
  <c r="C15" i="202" l="1"/>
  <c r="D113" i="202"/>
  <c r="E66" i="188"/>
  <c r="C67" i="188"/>
  <c r="C16" i="188"/>
  <c r="C16" i="202" s="1"/>
  <c r="D101" i="188"/>
  <c r="C102" i="188"/>
  <c r="C26" i="188"/>
  <c r="J215" i="167"/>
  <c r="J121" i="167"/>
  <c r="O116" i="165"/>
  <c r="E116" i="165"/>
  <c r="N115" i="165"/>
  <c r="M115" i="165"/>
  <c r="L115" i="165"/>
  <c r="K115" i="165"/>
  <c r="I115" i="165"/>
  <c r="H115" i="165"/>
  <c r="G115" i="165"/>
  <c r="F115" i="165"/>
  <c r="D54" i="170"/>
  <c r="D59" i="170" s="1"/>
  <c r="D145" i="188"/>
  <c r="C113" i="202" l="1"/>
  <c r="H113" i="202" s="1"/>
  <c r="D160" i="202"/>
  <c r="D133" i="188"/>
  <c r="M114" i="165"/>
  <c r="N114" i="165"/>
  <c r="F114" i="165"/>
  <c r="H215" i="167"/>
  <c r="H121" i="167"/>
  <c r="I114" i="165"/>
  <c r="L114" i="165"/>
  <c r="E115" i="165"/>
  <c r="C145" i="188"/>
  <c r="H114" i="165"/>
  <c r="G114" i="165"/>
  <c r="K114" i="165"/>
  <c r="J116" i="165"/>
  <c r="O115" i="165"/>
  <c r="H160" i="202" l="1"/>
  <c r="C160" i="202"/>
  <c r="C133" i="188"/>
  <c r="D119" i="188"/>
  <c r="D114" i="188" s="1"/>
  <c r="E114" i="165"/>
  <c r="P116" i="165"/>
  <c r="J115" i="165"/>
  <c r="E118" i="170"/>
  <c r="I121" i="167"/>
  <c r="G121" i="167" s="1"/>
  <c r="O114" i="165"/>
  <c r="I215" i="167"/>
  <c r="G215" i="167" s="1"/>
  <c r="G161" i="202" l="1"/>
  <c r="G160" i="202"/>
  <c r="P115" i="165"/>
  <c r="P114" i="165" s="1"/>
  <c r="J114"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0" i="188"/>
  <c r="C106" i="188"/>
  <c r="F101" i="188" l="1"/>
  <c r="D66" i="188"/>
  <c r="C114" i="188"/>
  <c r="D15" i="188"/>
  <c r="C15" i="188" s="1"/>
  <c r="C32" i="188"/>
  <c r="E113" i="188"/>
  <c r="C77" i="188"/>
  <c r="C119" i="188"/>
  <c r="C40" i="188"/>
  <c r="E161" i="188" l="1"/>
  <c r="F113" i="188"/>
  <c r="D113" i="188"/>
  <c r="D161" i="188" s="1"/>
  <c r="H161" i="188" s="1"/>
  <c r="C66" i="188"/>
  <c r="C161" i="188" l="1"/>
  <c r="F161" i="188"/>
  <c r="C113" i="188"/>
  <c r="H113" i="188" s="1"/>
  <c r="C48" i="172"/>
  <c r="C47" i="172" s="1"/>
  <c r="F47" i="172"/>
  <c r="E47" i="172"/>
  <c r="D47" i="172"/>
  <c r="D46" i="172" s="1"/>
  <c r="C19" i="172"/>
  <c r="C18" i="172"/>
  <c r="F17" i="172"/>
  <c r="E17" i="172"/>
  <c r="E16" i="172" s="1"/>
  <c r="D17" i="172"/>
  <c r="G56" i="167"/>
  <c r="G161" i="188" l="1"/>
  <c r="J363" i="167"/>
  <c r="M363" i="167" s="1"/>
  <c r="J365" i="167"/>
  <c r="G376" i="167"/>
  <c r="K363" i="167" l="1"/>
  <c r="J358" i="167"/>
  <c r="K376" i="167" l="1"/>
  <c r="G173" i="167"/>
  <c r="I363" i="167"/>
  <c r="L363" i="167" s="1"/>
  <c r="L376" i="167" l="1"/>
  <c r="G363" i="167"/>
  <c r="J74" i="167" l="1"/>
  <c r="J65" i="167" l="1"/>
  <c r="M65" i="167" s="1"/>
  <c r="J98" i="167"/>
  <c r="H74" i="167"/>
  <c r="H98" i="167"/>
  <c r="I74" i="167" l="1"/>
  <c r="G74" i="167" s="1"/>
  <c r="I98" i="167" l="1"/>
  <c r="G98" i="167" s="1"/>
  <c r="J346" i="167"/>
  <c r="E374" i="165"/>
  <c r="E373" i="203" s="1"/>
  <c r="E373" i="165" l="1"/>
  <c r="H346" i="167"/>
  <c r="E372" i="165" l="1"/>
  <c r="E372" i="203"/>
  <c r="I346" i="167"/>
  <c r="G346" i="167" s="1"/>
  <c r="P374" i="165"/>
  <c r="P373" i="203" s="1"/>
  <c r="E364" i="165" l="1"/>
  <c r="E371" i="203"/>
  <c r="L340" i="165"/>
  <c r="H340" i="165"/>
  <c r="F340" i="165"/>
  <c r="M340" i="165"/>
  <c r="G340" i="165"/>
  <c r="N340" i="165"/>
  <c r="I340" i="165"/>
  <c r="K340" i="165"/>
  <c r="P373" i="165"/>
  <c r="P372" i="165" l="1"/>
  <c r="P372" i="203"/>
  <c r="E340" i="165"/>
  <c r="E363" i="203"/>
  <c r="E339" i="203" s="1"/>
  <c r="E338" i="203" s="1"/>
  <c r="O340" i="165"/>
  <c r="G404" i="167"/>
  <c r="P364" i="165" l="1"/>
  <c r="P363" i="203" s="1"/>
  <c r="P339" i="203" s="1"/>
  <c r="P371" i="203"/>
  <c r="J340" i="165"/>
  <c r="J93" i="167"/>
  <c r="J35" i="167"/>
  <c r="M35" i="167" s="1"/>
  <c r="P338" i="203" l="1"/>
  <c r="Q339" i="203"/>
  <c r="P340" i="165"/>
  <c r="Q340" i="165" s="1"/>
  <c r="I35" i="167"/>
  <c r="L35" i="167" s="1"/>
  <c r="H93" i="167"/>
  <c r="H35" i="167"/>
  <c r="I93" i="167" l="1"/>
  <c r="G93" i="167" s="1"/>
  <c r="K35" i="167"/>
  <c r="G35" i="167"/>
  <c r="C61" i="172" l="1"/>
  <c r="C28" i="172"/>
  <c r="G28" i="172" s="1"/>
  <c r="F42" i="172"/>
  <c r="E42" i="172"/>
  <c r="D42" i="172"/>
  <c r="D41" i="172" s="1"/>
  <c r="D35" i="172"/>
  <c r="D34" i="172" s="1"/>
  <c r="F16" i="172"/>
  <c r="E30" i="172" l="1"/>
  <c r="E64" i="172"/>
  <c r="E63" i="172" s="1"/>
  <c r="D40" i="172"/>
  <c r="C31" i="172"/>
  <c r="F30" i="172"/>
  <c r="C63" i="172"/>
  <c r="C64" i="172"/>
  <c r="C30" i="172"/>
  <c r="C17" i="172"/>
  <c r="D16" i="172"/>
  <c r="C16" i="172" l="1"/>
  <c r="C43" i="172" l="1"/>
  <c r="C42" i="172" s="1"/>
  <c r="C45" i="172"/>
  <c r="F35" i="172"/>
  <c r="F34" i="172" s="1"/>
  <c r="E35" i="172"/>
  <c r="E34" i="172" s="1"/>
  <c r="F41" i="172" l="1"/>
  <c r="E44" i="172"/>
  <c r="E41" i="172" s="1"/>
  <c r="C49" i="172"/>
  <c r="C46" i="172" s="1"/>
  <c r="C37" i="172"/>
  <c r="C36" i="172"/>
  <c r="C35" i="172" l="1"/>
  <c r="C34" i="172" s="1"/>
  <c r="C44" i="172"/>
  <c r="C41" i="172" s="1"/>
  <c r="G161" i="201" l="1"/>
  <c r="G149" i="197"/>
  <c r="G144" i="108"/>
  <c r="C40" i="172"/>
  <c r="J97" i="167" l="1"/>
  <c r="H97" i="167" l="1"/>
  <c r="I97" i="167"/>
  <c r="G97" i="167" l="1"/>
  <c r="G385" i="167" l="1"/>
  <c r="G61" i="167" l="1"/>
  <c r="G54" i="167" l="1"/>
  <c r="G51" i="167"/>
  <c r="G53" i="167"/>
  <c r="G52" i="167"/>
  <c r="G384" i="167"/>
  <c r="K50" i="167" l="1"/>
  <c r="E97" i="170"/>
  <c r="L50" i="167" l="1"/>
  <c r="E114" i="170"/>
  <c r="H77" i="167" l="1"/>
  <c r="J77" i="167"/>
  <c r="G257" i="167" l="1"/>
  <c r="I77" i="167" l="1"/>
  <c r="G77" i="167" s="1"/>
  <c r="J328" i="167" l="1"/>
  <c r="H328" i="167" l="1"/>
  <c r="G154" i="167"/>
  <c r="I328" i="167" l="1"/>
  <c r="G328" i="167" l="1"/>
  <c r="J164" i="167" l="1"/>
  <c r="J156" i="167"/>
  <c r="J157" i="167"/>
  <c r="I157" i="167" l="1"/>
  <c r="H157" i="167"/>
  <c r="I164" i="167" l="1"/>
  <c r="G164" i="167" s="1"/>
  <c r="G157" i="167"/>
  <c r="H270" i="167" l="1"/>
  <c r="I270" i="167" l="1"/>
  <c r="G270" i="167" s="1"/>
  <c r="J217" i="167" l="1"/>
  <c r="O231" i="165" l="1"/>
  <c r="O227" i="165" s="1"/>
  <c r="O227" i="203" s="1"/>
  <c r="E231" i="165"/>
  <c r="E227" i="165" s="1"/>
  <c r="E227" i="203" s="1"/>
  <c r="G204" i="167"/>
  <c r="E226" i="165" l="1"/>
  <c r="E226" i="203" s="1"/>
  <c r="E215" i="203" s="1"/>
  <c r="O226" i="165"/>
  <c r="O226" i="203" s="1"/>
  <c r="O215" i="203" s="1"/>
  <c r="H217" i="167"/>
  <c r="J231" i="165"/>
  <c r="J227" i="165" s="1"/>
  <c r="J227" i="203" s="1"/>
  <c r="Q214" i="203" l="1"/>
  <c r="O214" i="203"/>
  <c r="J215" i="203"/>
  <c r="J214" i="203" s="1"/>
  <c r="P215" i="203"/>
  <c r="E214" i="203"/>
  <c r="J226" i="165"/>
  <c r="J226" i="203" s="1"/>
  <c r="I217" i="167"/>
  <c r="G217" i="167" s="1"/>
  <c r="P231" i="165"/>
  <c r="P227" i="165" s="1"/>
  <c r="P227" i="203" s="1"/>
  <c r="Q215" i="203" l="1"/>
  <c r="P214" i="203"/>
  <c r="P226" i="165"/>
  <c r="P226" i="203" s="1"/>
  <c r="G398" i="167"/>
  <c r="D36" i="108"/>
  <c r="H143" i="108" s="1"/>
  <c r="J40" i="167" l="1"/>
  <c r="I40" i="167" l="1"/>
  <c r="H40" i="167"/>
  <c r="J355" i="167"/>
  <c r="J350" i="167" s="1"/>
  <c r="G40" i="167" l="1"/>
  <c r="H355" i="167" l="1"/>
  <c r="I355" i="167" l="1"/>
  <c r="I350" i="167" s="1"/>
  <c r="G355" i="167" l="1"/>
  <c r="J387" i="167" l="1"/>
  <c r="J373" i="167" s="1"/>
  <c r="O429" i="165" l="1"/>
  <c r="E429" i="165"/>
  <c r="N428" i="165"/>
  <c r="M428" i="165"/>
  <c r="L428" i="165"/>
  <c r="K428" i="165"/>
  <c r="I428" i="165"/>
  <c r="H428" i="165"/>
  <c r="G428" i="165"/>
  <c r="F428" i="165"/>
  <c r="E105" i="170" l="1"/>
  <c r="M427" i="165"/>
  <c r="N427" i="165"/>
  <c r="H427" i="165"/>
  <c r="I427" i="165"/>
  <c r="F427" i="165"/>
  <c r="K427" i="165"/>
  <c r="H387" i="167"/>
  <c r="H373" i="167" s="1"/>
  <c r="G427" i="165"/>
  <c r="L427" i="165"/>
  <c r="J429" i="165"/>
  <c r="O428" i="165"/>
  <c r="E428" i="165"/>
  <c r="E122" i="170" l="1"/>
  <c r="E427" i="165"/>
  <c r="J428" i="165"/>
  <c r="I387" i="167"/>
  <c r="I373" i="167" s="1"/>
  <c r="P429" i="165"/>
  <c r="O427" i="165"/>
  <c r="G387" i="167" l="1"/>
  <c r="P428" i="165"/>
  <c r="J427" i="165"/>
  <c r="P427" i="165" l="1"/>
  <c r="J176" i="167" l="1"/>
  <c r="J165" i="167"/>
  <c r="J163" i="167"/>
  <c r="G290" i="167" l="1"/>
  <c r="P16" i="107" l="1"/>
  <c r="P15" i="107" s="1"/>
  <c r="P14" i="107" s="1"/>
  <c r="L16" i="107"/>
  <c r="L15" i="107" s="1"/>
  <c r="L14" i="107" s="1"/>
  <c r="K16" i="107"/>
  <c r="K15" i="107" s="1"/>
  <c r="K14" i="107" s="1"/>
  <c r="J16" i="107"/>
  <c r="J15" i="107" s="1"/>
  <c r="J14" i="107" s="1"/>
  <c r="H16" i="107"/>
  <c r="H15" i="107" s="1"/>
  <c r="H14" i="107" s="1"/>
  <c r="F16" i="107"/>
  <c r="F15" i="107" s="1"/>
  <c r="F14" i="107" s="1"/>
  <c r="M378" i="165" l="1"/>
  <c r="G378" i="165"/>
  <c r="I378" i="165"/>
  <c r="N378" i="165"/>
  <c r="K378" i="165"/>
  <c r="L378" i="165"/>
  <c r="N233" i="165"/>
  <c r="M233" i="165"/>
  <c r="L233" i="165"/>
  <c r="K233" i="165"/>
  <c r="I233" i="165"/>
  <c r="H233" i="165"/>
  <c r="G233" i="165"/>
  <c r="F233" i="165"/>
  <c r="N211" i="165"/>
  <c r="N209" i="165" s="1"/>
  <c r="N209" i="203" s="1"/>
  <c r="M211" i="165"/>
  <c r="M209" i="165" s="1"/>
  <c r="M209" i="203" s="1"/>
  <c r="L211" i="165"/>
  <c r="L209" i="165" s="1"/>
  <c r="L209" i="203" s="1"/>
  <c r="K211" i="165"/>
  <c r="K209" i="165" s="1"/>
  <c r="K209" i="203" s="1"/>
  <c r="I211" i="165"/>
  <c r="I209" i="165" s="1"/>
  <c r="I209" i="203" s="1"/>
  <c r="H211" i="165"/>
  <c r="H209" i="165" s="1"/>
  <c r="H209" i="203" s="1"/>
  <c r="G211" i="165"/>
  <c r="G209" i="165" s="1"/>
  <c r="G209" i="203" s="1"/>
  <c r="F211" i="165"/>
  <c r="F209" i="165" s="1"/>
  <c r="F209" i="203" s="1"/>
  <c r="G208" i="165" l="1"/>
  <c r="G208" i="203" s="1"/>
  <c r="G152" i="203" s="1"/>
  <c r="M208" i="165"/>
  <c r="M208" i="203" s="1"/>
  <c r="M152" i="203" s="1"/>
  <c r="H208" i="165"/>
  <c r="H208" i="203" s="1"/>
  <c r="H152" i="203" s="1"/>
  <c r="F208" i="165"/>
  <c r="F208" i="203" s="1"/>
  <c r="F152" i="203" s="1"/>
  <c r="L208" i="165"/>
  <c r="L208" i="203" s="1"/>
  <c r="L152" i="203" s="1"/>
  <c r="I208" i="165"/>
  <c r="I208" i="203" s="1"/>
  <c r="I152" i="203" s="1"/>
  <c r="K208" i="165"/>
  <c r="K208" i="203" s="1"/>
  <c r="K152" i="203" s="1"/>
  <c r="N208" i="165"/>
  <c r="N208" i="203" s="1"/>
  <c r="N152" i="203" s="1"/>
  <c r="I407" i="167"/>
  <c r="I403" i="167" s="1"/>
  <c r="L452" i="165"/>
  <c r="M452" i="165"/>
  <c r="K452" i="165"/>
  <c r="N452" i="165"/>
  <c r="G452" i="165"/>
  <c r="I452" i="165"/>
  <c r="F232" i="165"/>
  <c r="K232" i="165"/>
  <c r="F443" i="165"/>
  <c r="L443" i="165"/>
  <c r="G232" i="165"/>
  <c r="L232" i="165"/>
  <c r="M443" i="165"/>
  <c r="G443" i="165"/>
  <c r="H232" i="165"/>
  <c r="M232" i="165"/>
  <c r="I443" i="165"/>
  <c r="I232" i="165"/>
  <c r="N232" i="165"/>
  <c r="N443" i="165"/>
  <c r="K443" i="165"/>
  <c r="K50" i="165"/>
  <c r="I50" i="165"/>
  <c r="J90" i="167"/>
  <c r="J89" i="167"/>
  <c r="J87" i="167"/>
  <c r="M87" i="167" s="1"/>
  <c r="L151" i="203" l="1"/>
  <c r="L468" i="203"/>
  <c r="F151" i="203"/>
  <c r="F468" i="203"/>
  <c r="N151" i="203"/>
  <c r="N468" i="203"/>
  <c r="H151" i="203"/>
  <c r="H468" i="203"/>
  <c r="K151" i="203"/>
  <c r="K468" i="203"/>
  <c r="M151" i="203"/>
  <c r="M468" i="203"/>
  <c r="I151" i="203"/>
  <c r="I468" i="203"/>
  <c r="G151" i="203"/>
  <c r="G468" i="203"/>
  <c r="H152" i="165"/>
  <c r="H151" i="165" s="1"/>
  <c r="N152" i="165"/>
  <c r="N151" i="165" s="1"/>
  <c r="M152" i="165"/>
  <c r="M151" i="165" s="1"/>
  <c r="F152" i="165"/>
  <c r="F151" i="165" s="1"/>
  <c r="I152" i="165"/>
  <c r="I151" i="165" s="1"/>
  <c r="L152" i="165"/>
  <c r="L151" i="165" s="1"/>
  <c r="K152" i="165"/>
  <c r="K151" i="165" s="1"/>
  <c r="G152" i="165"/>
  <c r="G151" i="165" s="1"/>
  <c r="L389" i="165"/>
  <c r="G411" i="165"/>
  <c r="I411" i="165"/>
  <c r="M389" i="165"/>
  <c r="G389" i="165"/>
  <c r="N411" i="165"/>
  <c r="I389" i="165"/>
  <c r="N389" i="165"/>
  <c r="H411" i="165"/>
  <c r="L411" i="165"/>
  <c r="M411" i="165"/>
  <c r="K389" i="165"/>
  <c r="M358" i="167" s="1"/>
  <c r="M236" i="165"/>
  <c r="G236" i="165"/>
  <c r="I236" i="165"/>
  <c r="I215" i="165"/>
  <c r="M215" i="165"/>
  <c r="G88" i="167"/>
  <c r="J84" i="167"/>
  <c r="I16" i="165" l="1"/>
  <c r="N16" i="165"/>
  <c r="M16" i="165"/>
  <c r="F16" i="165"/>
  <c r="M305" i="165"/>
  <c r="L305" i="165"/>
  <c r="N305" i="165"/>
  <c r="I305" i="165"/>
  <c r="K305" i="165"/>
  <c r="J75" i="167"/>
  <c r="L16" i="165" l="1"/>
  <c r="J92" i="167"/>
  <c r="H84" i="167" l="1"/>
  <c r="I84" i="167"/>
  <c r="H75" i="167"/>
  <c r="J72" i="167"/>
  <c r="J91" i="167"/>
  <c r="M72" i="167" l="1"/>
  <c r="G84" i="167"/>
  <c r="I90" i="167"/>
  <c r="H90" i="167"/>
  <c r="M68" i="167"/>
  <c r="J96" i="167"/>
  <c r="G90" i="167" l="1"/>
  <c r="H91" i="167"/>
  <c r="I92" i="167"/>
  <c r="H92" i="167"/>
  <c r="I75" i="167"/>
  <c r="G75" i="167" s="1"/>
  <c r="I402" i="167"/>
  <c r="F305" i="165" l="1"/>
  <c r="F389" i="165"/>
  <c r="M50" i="165"/>
  <c r="F50" i="165"/>
  <c r="H361" i="167"/>
  <c r="H327" i="167"/>
  <c r="H279" i="167"/>
  <c r="F378" i="165"/>
  <c r="H391" i="167"/>
  <c r="I96" i="167"/>
  <c r="G92" i="167"/>
  <c r="H352" i="167"/>
  <c r="H350" i="167" s="1"/>
  <c r="H406" i="167"/>
  <c r="H96" i="167"/>
  <c r="I91" i="167"/>
  <c r="G91" i="167" s="1"/>
  <c r="H156" i="167"/>
  <c r="J402" i="167"/>
  <c r="G279" i="167" l="1"/>
  <c r="I361" i="167"/>
  <c r="G361" i="167" s="1"/>
  <c r="G391" i="167"/>
  <c r="G50" i="165"/>
  <c r="F452" i="165"/>
  <c r="G352" i="167"/>
  <c r="G96" i="167"/>
  <c r="G327" i="167"/>
  <c r="G406" i="167"/>
  <c r="I156" i="167"/>
  <c r="G156" i="167" s="1"/>
  <c r="H246" i="167" l="1"/>
  <c r="G246" i="167" l="1"/>
  <c r="H24" i="167" l="1"/>
  <c r="G24" i="167" l="1"/>
  <c r="F49" i="172" l="1"/>
  <c r="F46" i="172" s="1"/>
  <c r="E49" i="172"/>
  <c r="E46" i="172" l="1"/>
  <c r="F40" i="172"/>
  <c r="E40" i="172" l="1"/>
  <c r="J240" i="167" l="1"/>
  <c r="K16" i="165" l="1"/>
  <c r="H240" i="167" l="1"/>
  <c r="I240" i="167" l="1"/>
  <c r="G240" i="167" s="1"/>
  <c r="I17" i="107" l="1"/>
  <c r="I13" i="107" s="1"/>
  <c r="I12" i="107" l="1"/>
  <c r="I29" i="107" s="1"/>
  <c r="I16" i="107"/>
  <c r="I15" i="107" s="1"/>
  <c r="I14" i="107" s="1"/>
  <c r="D109" i="170"/>
  <c r="D85" i="170"/>
  <c r="J401" i="167" l="1"/>
  <c r="J399" i="167"/>
  <c r="J397" i="167" l="1"/>
  <c r="H452" i="165"/>
  <c r="J393" i="167"/>
  <c r="H393" i="167"/>
  <c r="G390" i="167"/>
  <c r="F411" i="165" l="1"/>
  <c r="K393" i="167"/>
  <c r="H389" i="167"/>
  <c r="J389" i="167"/>
  <c r="M393" i="167"/>
  <c r="H443" i="165"/>
  <c r="J321" i="167"/>
  <c r="J319" i="167"/>
  <c r="H317" i="167"/>
  <c r="J286" i="167"/>
  <c r="M285" i="167" s="1"/>
  <c r="M283" i="167"/>
  <c r="J281" i="167"/>
  <c r="J280" i="167"/>
  <c r="J272" i="167"/>
  <c r="J260" i="167"/>
  <c r="J254" i="167"/>
  <c r="J275" i="167" l="1"/>
  <c r="M275" i="167" s="1"/>
  <c r="H389" i="165"/>
  <c r="K411" i="165"/>
  <c r="J244" i="167"/>
  <c r="I321" i="167"/>
  <c r="I319" i="167" l="1"/>
  <c r="H378" i="165"/>
  <c r="P13" i="107" l="1"/>
  <c r="P12" i="107" s="1"/>
  <c r="P29" i="107" s="1"/>
  <c r="I214" i="165"/>
  <c r="J218" i="167"/>
  <c r="K464" i="200" l="1"/>
  <c r="L236" i="165"/>
  <c r="N236" i="165"/>
  <c r="E109" i="170"/>
  <c r="O234" i="165"/>
  <c r="E234" i="165"/>
  <c r="E102" i="170" s="1"/>
  <c r="K476" i="200" l="1"/>
  <c r="K473" i="200"/>
  <c r="K236" i="165"/>
  <c r="N215" i="165"/>
  <c r="E233" i="165"/>
  <c r="J234" i="165"/>
  <c r="O233" i="165"/>
  <c r="H218" i="167"/>
  <c r="J202" i="167"/>
  <c r="H236" i="165" l="1"/>
  <c r="F236" i="165"/>
  <c r="L215" i="165"/>
  <c r="E232" i="165"/>
  <c r="P234" i="165"/>
  <c r="O232" i="165"/>
  <c r="I218" i="167"/>
  <c r="G218" i="167" s="1"/>
  <c r="J233" i="165"/>
  <c r="G316" i="167"/>
  <c r="G300" i="167"/>
  <c r="G289" i="167"/>
  <c r="G276" i="167" s="1"/>
  <c r="G277" i="167"/>
  <c r="G245" i="167"/>
  <c r="J243" i="167"/>
  <c r="K215" i="165" l="1"/>
  <c r="J232" i="165"/>
  <c r="P233" i="165"/>
  <c r="G215" i="165" l="1"/>
  <c r="F215" i="165"/>
  <c r="P232" i="165"/>
  <c r="H215" i="165"/>
  <c r="J182" i="167"/>
  <c r="J180" i="167" l="1"/>
  <c r="M180" i="167" s="1"/>
  <c r="J175" i="167"/>
  <c r="J162" i="167"/>
  <c r="J161" i="167"/>
  <c r="J160" i="167"/>
  <c r="J159" i="167"/>
  <c r="J158" i="167"/>
  <c r="J130" i="167" l="1"/>
  <c r="J184" i="167" l="1"/>
  <c r="J152" i="167" s="1"/>
  <c r="G66" i="167" l="1"/>
  <c r="N50" i="165" l="1"/>
  <c r="L50" i="165"/>
  <c r="L469" i="165" s="1"/>
  <c r="L483" i="165" s="1"/>
  <c r="J49" i="167" l="1"/>
  <c r="M49" i="167" s="1"/>
  <c r="J38" i="167"/>
  <c r="M38" i="167" s="1"/>
  <c r="E88" i="170" l="1"/>
  <c r="H49" i="167"/>
  <c r="H50" i="165" l="1"/>
  <c r="I49" i="167"/>
  <c r="L49" i="167" s="1"/>
  <c r="K49" i="167"/>
  <c r="G49" i="167" l="1"/>
  <c r="G19" i="167"/>
  <c r="G16" i="165" l="1"/>
  <c r="H16" i="165" l="1"/>
  <c r="O212" i="165"/>
  <c r="E212" i="165"/>
  <c r="H166" i="167" l="1"/>
  <c r="K166" i="167" s="1"/>
  <c r="H305" i="165"/>
  <c r="G305" i="165"/>
  <c r="G469" i="165" s="1"/>
  <c r="G482" i="165" s="1"/>
  <c r="H168" i="167"/>
  <c r="H175" i="167"/>
  <c r="E211" i="165"/>
  <c r="E209" i="165" s="1"/>
  <c r="E209" i="203" s="1"/>
  <c r="J212" i="165"/>
  <c r="O211" i="165"/>
  <c r="O209" i="165" s="1"/>
  <c r="O209" i="203" s="1"/>
  <c r="O208" i="165" l="1"/>
  <c r="O208" i="203" s="1"/>
  <c r="O152" i="203" s="1"/>
  <c r="E208" i="165"/>
  <c r="E208" i="203" s="1"/>
  <c r="E152" i="203" s="1"/>
  <c r="I166" i="167"/>
  <c r="L166" i="167" s="1"/>
  <c r="G186" i="167"/>
  <c r="I168" i="167"/>
  <c r="I177" i="167"/>
  <c r="L177" i="167" s="1"/>
  <c r="I160" i="167"/>
  <c r="I161" i="167"/>
  <c r="I159" i="167"/>
  <c r="P212" i="165"/>
  <c r="H158" i="167"/>
  <c r="I165" i="167"/>
  <c r="I163" i="167"/>
  <c r="I176" i="167"/>
  <c r="I162" i="167"/>
  <c r="I175" i="167"/>
  <c r="G197" i="167"/>
  <c r="J211" i="165"/>
  <c r="J209" i="165" s="1"/>
  <c r="J209" i="203" s="1"/>
  <c r="I184" i="167"/>
  <c r="I182" i="167"/>
  <c r="I180" i="167"/>
  <c r="L180" i="167" s="1"/>
  <c r="I158" i="167"/>
  <c r="M304" i="165"/>
  <c r="L304" i="165"/>
  <c r="K304" i="165"/>
  <c r="I304" i="165"/>
  <c r="H304" i="165"/>
  <c r="G304" i="165"/>
  <c r="F304" i="165"/>
  <c r="N304" i="165"/>
  <c r="M272" i="165"/>
  <c r="L272" i="165"/>
  <c r="K272" i="165"/>
  <c r="M243" i="167" s="1"/>
  <c r="H272" i="165"/>
  <c r="F272" i="165"/>
  <c r="N272" i="165"/>
  <c r="I272" i="165"/>
  <c r="G272" i="165"/>
  <c r="E151" i="203" l="1"/>
  <c r="E468" i="203"/>
  <c r="O151" i="203"/>
  <c r="Q151" i="203"/>
  <c r="O468" i="203"/>
  <c r="J152" i="203"/>
  <c r="P152" i="203" s="1"/>
  <c r="J208" i="165"/>
  <c r="J208" i="203" s="1"/>
  <c r="E152" i="165"/>
  <c r="E151" i="165" s="1"/>
  <c r="O152" i="165"/>
  <c r="H298" i="167"/>
  <c r="K298" i="167" s="1"/>
  <c r="I320" i="167"/>
  <c r="K269" i="167"/>
  <c r="K283" i="167"/>
  <c r="I399" i="167"/>
  <c r="L186" i="167"/>
  <c r="E378" i="165"/>
  <c r="I152" i="167"/>
  <c r="H365" i="167"/>
  <c r="H358" i="167" s="1"/>
  <c r="P211" i="165"/>
  <c r="P209" i="165" s="1"/>
  <c r="P209" i="203" s="1"/>
  <c r="H260" i="167"/>
  <c r="H401" i="167"/>
  <c r="H397" i="167" s="1"/>
  <c r="H320" i="167"/>
  <c r="H272" i="167"/>
  <c r="L250" i="167"/>
  <c r="H321" i="167"/>
  <c r="G321" i="167" s="1"/>
  <c r="H319" i="167"/>
  <c r="G319" i="167" s="1"/>
  <c r="Q152" i="203" l="1"/>
  <c r="P151" i="203"/>
  <c r="P468" i="203"/>
  <c r="J151" i="203"/>
  <c r="J468" i="203"/>
  <c r="P208" i="165"/>
  <c r="P208" i="203" s="1"/>
  <c r="Q151" i="165"/>
  <c r="O151" i="165"/>
  <c r="J152" i="165"/>
  <c r="I298" i="167"/>
  <c r="L298" i="167" s="1"/>
  <c r="H244" i="167"/>
  <c r="H243" i="167" s="1"/>
  <c r="L269" i="167"/>
  <c r="Q439" i="165"/>
  <c r="H275" i="167"/>
  <c r="G256" i="167"/>
  <c r="F36" i="108"/>
  <c r="F469" i="165"/>
  <c r="F486" i="165" s="1"/>
  <c r="L393" i="167"/>
  <c r="G249" i="167"/>
  <c r="I365" i="167"/>
  <c r="I358" i="167" s="1"/>
  <c r="G320" i="167"/>
  <c r="G393" i="167"/>
  <c r="H34" i="197" s="1"/>
  <c r="O378" i="165"/>
  <c r="I280" i="167"/>
  <c r="I254" i="167"/>
  <c r="G254" i="167" s="1"/>
  <c r="I286" i="167"/>
  <c r="L285" i="167" s="1"/>
  <c r="I260" i="167"/>
  <c r="G260" i="167" s="1"/>
  <c r="G317" i="167"/>
  <c r="I272" i="167"/>
  <c r="G272" i="167" s="1"/>
  <c r="G399" i="167"/>
  <c r="I401" i="167"/>
  <c r="G401" i="167" s="1"/>
  <c r="I281" i="167"/>
  <c r="G281" i="167" s="1"/>
  <c r="G269" i="167"/>
  <c r="Q468" i="203" l="1"/>
  <c r="J151" i="165"/>
  <c r="P152" i="165"/>
  <c r="Q152" i="165" s="1"/>
  <c r="G389" i="167"/>
  <c r="G298" i="167"/>
  <c r="G34" i="197"/>
  <c r="G397" i="167"/>
  <c r="G244" i="167"/>
  <c r="G280" i="167"/>
  <c r="I275" i="167"/>
  <c r="G275" i="167" s="1"/>
  <c r="G286" i="167"/>
  <c r="G282" i="167"/>
  <c r="L283" i="167"/>
  <c r="G302" i="167"/>
  <c r="I397" i="167"/>
  <c r="I244" i="167"/>
  <c r="I243" i="167" s="1"/>
  <c r="G365" i="167"/>
  <c r="G358" i="167" s="1"/>
  <c r="H152" i="167"/>
  <c r="O443" i="165"/>
  <c r="E443" i="165"/>
  <c r="O367" i="165"/>
  <c r="O366" i="203" s="1"/>
  <c r="E367" i="165"/>
  <c r="E366" i="203" s="1"/>
  <c r="N339" i="165"/>
  <c r="M339" i="165"/>
  <c r="I339" i="165"/>
  <c r="H339" i="165"/>
  <c r="G339" i="165"/>
  <c r="F339" i="165"/>
  <c r="P151" i="165" l="1"/>
  <c r="E389" i="165"/>
  <c r="K358" i="167" s="1"/>
  <c r="E305" i="165"/>
  <c r="K275" i="167" s="1"/>
  <c r="O305" i="165"/>
  <c r="O389" i="165"/>
  <c r="E272" i="165"/>
  <c r="K243" i="167" s="1"/>
  <c r="G243" i="167"/>
  <c r="J367" i="165"/>
  <c r="J366" i="203" s="1"/>
  <c r="L339" i="165"/>
  <c r="K339" i="165"/>
  <c r="G340" i="167" l="1"/>
  <c r="J389" i="165"/>
  <c r="L358" i="167" s="1"/>
  <c r="J305" i="165"/>
  <c r="O304" i="165"/>
  <c r="E304" i="165"/>
  <c r="O272" i="165"/>
  <c r="P367" i="165"/>
  <c r="P366" i="203" s="1"/>
  <c r="P305" i="165" l="1"/>
  <c r="Q305" i="165" s="1"/>
  <c r="L275" i="167"/>
  <c r="P389" i="165"/>
  <c r="Q389" i="165" s="1"/>
  <c r="J304" i="165"/>
  <c r="P304" i="165"/>
  <c r="J272" i="165"/>
  <c r="L243" i="167" s="1"/>
  <c r="P273" i="165"/>
  <c r="Q273" i="165" s="1"/>
  <c r="E339" i="165" l="1"/>
  <c r="P272" i="165"/>
  <c r="J241" i="167" l="1"/>
  <c r="H241" i="167"/>
  <c r="O339" i="165" l="1"/>
  <c r="J339" i="165" l="1"/>
  <c r="M381" i="167"/>
  <c r="G380" i="167"/>
  <c r="G379" i="167"/>
  <c r="J349" i="167"/>
  <c r="M349" i="167" s="1"/>
  <c r="J237" i="167"/>
  <c r="J235" i="167"/>
  <c r="J234" i="167"/>
  <c r="J233" i="167"/>
  <c r="J231" i="167"/>
  <c r="J228" i="167"/>
  <c r="J227" i="167"/>
  <c r="J226" i="167"/>
  <c r="J221" i="167"/>
  <c r="G214" i="167"/>
  <c r="G213" i="167"/>
  <c r="J212" i="167"/>
  <c r="G211" i="167"/>
  <c r="J210" i="167"/>
  <c r="J207" i="167"/>
  <c r="G208" i="167"/>
  <c r="G189" i="167"/>
  <c r="G188" i="167"/>
  <c r="G185" i="167"/>
  <c r="G178" i="167"/>
  <c r="G149" i="167"/>
  <c r="J137" i="167"/>
  <c r="J136" i="167"/>
  <c r="J135" i="167"/>
  <c r="J129" i="167"/>
  <c r="J114" i="167"/>
  <c r="J64" i="167" s="1"/>
  <c r="G73" i="167"/>
  <c r="G69" i="167"/>
  <c r="G50" i="167"/>
  <c r="J48" i="167"/>
  <c r="M48" i="167" s="1"/>
  <c r="J47" i="167"/>
  <c r="J39" i="167"/>
  <c r="M39" i="167" s="1"/>
  <c r="G25" i="167"/>
  <c r="G451" i="165"/>
  <c r="N451" i="165"/>
  <c r="M451" i="165"/>
  <c r="L451" i="165"/>
  <c r="K451" i="165"/>
  <c r="I451" i="165"/>
  <c r="H451" i="165"/>
  <c r="G442" i="165"/>
  <c r="N442" i="165"/>
  <c r="M442" i="165"/>
  <c r="L442" i="165"/>
  <c r="K442" i="165"/>
  <c r="I442" i="165"/>
  <c r="F442" i="165"/>
  <c r="N430" i="165"/>
  <c r="M430" i="165"/>
  <c r="I430" i="165"/>
  <c r="H430" i="165"/>
  <c r="G430" i="165"/>
  <c r="N410" i="165"/>
  <c r="M410" i="165"/>
  <c r="I410" i="165"/>
  <c r="H410" i="165"/>
  <c r="G410" i="165"/>
  <c r="L410" i="165"/>
  <c r="G388" i="165"/>
  <c r="N388" i="165"/>
  <c r="M388" i="165"/>
  <c r="I388" i="165"/>
  <c r="H388" i="165"/>
  <c r="N377" i="165"/>
  <c r="M377" i="165"/>
  <c r="L377" i="165"/>
  <c r="K377" i="165"/>
  <c r="I377" i="165"/>
  <c r="F377" i="165"/>
  <c r="N235" i="165"/>
  <c r="M235" i="165"/>
  <c r="L235" i="165"/>
  <c r="I235" i="165"/>
  <c r="H214" i="165"/>
  <c r="N214" i="165"/>
  <c r="M214" i="165"/>
  <c r="L214" i="165"/>
  <c r="G214" i="165"/>
  <c r="N117" i="165"/>
  <c r="M117" i="165"/>
  <c r="L117" i="165"/>
  <c r="I117" i="165"/>
  <c r="M49" i="165"/>
  <c r="I49" i="165"/>
  <c r="G15" i="165"/>
  <c r="H78" i="167" l="1"/>
  <c r="K78" i="167" s="1"/>
  <c r="H81" i="167"/>
  <c r="K81" i="167" s="1"/>
  <c r="K379" i="167"/>
  <c r="H65" i="167"/>
  <c r="K65" i="167" s="1"/>
  <c r="H205" i="167"/>
  <c r="H200" i="167"/>
  <c r="H210" i="167"/>
  <c r="H222" i="167"/>
  <c r="H212" i="167"/>
  <c r="H131" i="167"/>
  <c r="J199" i="167"/>
  <c r="M47" i="167"/>
  <c r="H202" i="167"/>
  <c r="P339" i="165"/>
  <c r="H72" i="167"/>
  <c r="K72" i="167" s="1"/>
  <c r="H39" i="167"/>
  <c r="K39" i="167" s="1"/>
  <c r="H38" i="167"/>
  <c r="K38" i="167" s="1"/>
  <c r="N15" i="165"/>
  <c r="I15" i="165"/>
  <c r="I469" i="165"/>
  <c r="M15" i="165"/>
  <c r="M469" i="165"/>
  <c r="M482" i="165" s="1"/>
  <c r="K430" i="165"/>
  <c r="K388" i="165"/>
  <c r="F410" i="165"/>
  <c r="G381" i="167"/>
  <c r="G373" i="167" s="1"/>
  <c r="H372" i="167"/>
  <c r="I372" i="167"/>
  <c r="K214" i="165"/>
  <c r="L49" i="165"/>
  <c r="J388" i="167"/>
  <c r="M388" i="167" s="1"/>
  <c r="O430" i="165"/>
  <c r="H442" i="165"/>
  <c r="G117" i="165"/>
  <c r="I129" i="167"/>
  <c r="H207" i="167"/>
  <c r="H234" i="167"/>
  <c r="E377" i="165"/>
  <c r="H349" i="167"/>
  <c r="K349" i="167" s="1"/>
  <c r="H335" i="167"/>
  <c r="N49" i="165"/>
  <c r="H137" i="167"/>
  <c r="G377" i="165"/>
  <c r="L430" i="165"/>
  <c r="H235" i="167"/>
  <c r="H344" i="167"/>
  <c r="J34" i="167"/>
  <c r="F117" i="165"/>
  <c r="H117" i="165"/>
  <c r="H114" i="167"/>
  <c r="G235" i="165"/>
  <c r="H235" i="165"/>
  <c r="H228" i="167"/>
  <c r="I229" i="167"/>
  <c r="H377" i="165"/>
  <c r="E442" i="165"/>
  <c r="G150" i="167"/>
  <c r="G203" i="167"/>
  <c r="G230" i="167"/>
  <c r="J396" i="167"/>
  <c r="M396" i="167" s="1"/>
  <c r="H129" i="167"/>
  <c r="F388" i="165"/>
  <c r="L388" i="165"/>
  <c r="H226" i="167"/>
  <c r="H15" i="165"/>
  <c r="F235" i="165"/>
  <c r="K410" i="165"/>
  <c r="J344" i="167"/>
  <c r="F430" i="165"/>
  <c r="J229" i="167"/>
  <c r="J220" i="167" s="1"/>
  <c r="J147" i="167"/>
  <c r="J123" i="167" s="1"/>
  <c r="J335" i="167"/>
  <c r="O388" i="165"/>
  <c r="G28" i="167"/>
  <c r="G153" i="167"/>
  <c r="J372" i="167"/>
  <c r="I480" i="165" l="1"/>
  <c r="I486" i="165"/>
  <c r="I81" i="167"/>
  <c r="L81" i="167" s="1"/>
  <c r="L379" i="167"/>
  <c r="K68" i="167"/>
  <c r="H325" i="167"/>
  <c r="K325" i="167" s="1"/>
  <c r="J16" i="167"/>
  <c r="M15" i="167" s="1"/>
  <c r="I65" i="167"/>
  <c r="L65" i="167" s="1"/>
  <c r="K385" i="167"/>
  <c r="I205" i="167"/>
  <c r="G205" i="167" s="1"/>
  <c r="I131" i="167"/>
  <c r="G131" i="167" s="1"/>
  <c r="I222" i="167"/>
  <c r="G222" i="167" s="1"/>
  <c r="L385" i="167"/>
  <c r="I202" i="167"/>
  <c r="G202" i="167" s="1"/>
  <c r="I87" i="167"/>
  <c r="L87" i="167" s="1"/>
  <c r="G85" i="167"/>
  <c r="I72" i="167"/>
  <c r="L72" i="167" s="1"/>
  <c r="I130" i="167"/>
  <c r="M34" i="167"/>
  <c r="H87" i="167"/>
  <c r="H89" i="167"/>
  <c r="I89" i="167"/>
  <c r="H130" i="167"/>
  <c r="I39" i="167"/>
  <c r="L39" i="167" s="1"/>
  <c r="I38" i="167"/>
  <c r="L38" i="167" s="1"/>
  <c r="E85" i="170"/>
  <c r="K15" i="165"/>
  <c r="K469" i="165"/>
  <c r="F49" i="165"/>
  <c r="H49" i="165"/>
  <c r="H469" i="165"/>
  <c r="H482" i="165" s="1"/>
  <c r="G49" i="165"/>
  <c r="N469" i="165"/>
  <c r="N480" i="165" s="1"/>
  <c r="M372" i="167"/>
  <c r="J357" i="167"/>
  <c r="I221" i="167"/>
  <c r="I207" i="167"/>
  <c r="G207" i="167" s="1"/>
  <c r="I136" i="167"/>
  <c r="G163" i="167"/>
  <c r="I47" i="167"/>
  <c r="F214" i="165"/>
  <c r="I228" i="167"/>
  <c r="G228" i="167" s="1"/>
  <c r="L381" i="167"/>
  <c r="G161" i="167"/>
  <c r="H47" i="167"/>
  <c r="G372" i="167"/>
  <c r="H221" i="167"/>
  <c r="G129" i="167"/>
  <c r="H396" i="167"/>
  <c r="K396" i="167" s="1"/>
  <c r="G229" i="167"/>
  <c r="H136" i="167"/>
  <c r="K381" i="167"/>
  <c r="H48" i="167"/>
  <c r="K48" i="167" s="1"/>
  <c r="H233" i="167"/>
  <c r="I234" i="167"/>
  <c r="G234" i="167" s="1"/>
  <c r="H227" i="167"/>
  <c r="H199" i="167"/>
  <c r="I210" i="167"/>
  <c r="G210" i="167" s="1"/>
  <c r="I114" i="167"/>
  <c r="G114" i="167" s="1"/>
  <c r="J198" i="167"/>
  <c r="M198" i="167" s="1"/>
  <c r="I137" i="167"/>
  <c r="G137" i="167" s="1"/>
  <c r="M480" i="165"/>
  <c r="G180" i="167"/>
  <c r="I231" i="167"/>
  <c r="J430" i="165"/>
  <c r="G182" i="167"/>
  <c r="G168" i="167"/>
  <c r="H34" i="167"/>
  <c r="G162" i="167"/>
  <c r="I233" i="167"/>
  <c r="G160" i="167"/>
  <c r="I135" i="167"/>
  <c r="G165" i="167"/>
  <c r="H135" i="167"/>
  <c r="H237" i="167"/>
  <c r="J63" i="167"/>
  <c r="I226" i="167"/>
  <c r="G226" i="167" s="1"/>
  <c r="I212" i="167"/>
  <c r="G212" i="167" s="1"/>
  <c r="I227" i="167"/>
  <c r="I147" i="167"/>
  <c r="I237" i="167"/>
  <c r="I235" i="167"/>
  <c r="G235" i="167" s="1"/>
  <c r="G177" i="167"/>
  <c r="G166" i="167"/>
  <c r="I48" i="167"/>
  <c r="L48" i="167" s="1"/>
  <c r="G159" i="167"/>
  <c r="H388" i="167"/>
  <c r="K388" i="167" s="1"/>
  <c r="J151" i="167"/>
  <c r="M151" i="167" s="1"/>
  <c r="K235" i="165"/>
  <c r="O377" i="165"/>
  <c r="J378" i="165"/>
  <c r="K49" i="165"/>
  <c r="J219" i="167"/>
  <c r="L15" i="165"/>
  <c r="O442" i="165"/>
  <c r="J443" i="165"/>
  <c r="F15" i="165"/>
  <c r="K117" i="165"/>
  <c r="H123" i="167" l="1"/>
  <c r="I78" i="167"/>
  <c r="L78" i="167" s="1"/>
  <c r="G138" i="167"/>
  <c r="H16" i="167"/>
  <c r="H64" i="167"/>
  <c r="I127" i="167"/>
  <c r="I123" i="167" s="1"/>
  <c r="I200" i="167"/>
  <c r="I199" i="167" s="1"/>
  <c r="G81" i="167"/>
  <c r="G65" i="167"/>
  <c r="I68" i="167"/>
  <c r="L68" i="167" s="1"/>
  <c r="G147" i="167"/>
  <c r="H220" i="167"/>
  <c r="H219" i="167" s="1"/>
  <c r="O50" i="165"/>
  <c r="Q49" i="165" s="1"/>
  <c r="E215" i="165"/>
  <c r="L47" i="167"/>
  <c r="O452" i="165"/>
  <c r="J388" i="165"/>
  <c r="H480" i="165"/>
  <c r="P378" i="165"/>
  <c r="Q378" i="165" s="1"/>
  <c r="G72" i="167"/>
  <c r="G224" i="167"/>
  <c r="O215" i="165"/>
  <c r="Q214" i="165" s="1"/>
  <c r="K47" i="167"/>
  <c r="G47" i="167"/>
  <c r="G89" i="167"/>
  <c r="K87" i="167"/>
  <c r="G87" i="167"/>
  <c r="K34" i="167"/>
  <c r="G38" i="167"/>
  <c r="J122" i="167"/>
  <c r="M122" i="167" s="1"/>
  <c r="H324" i="167"/>
  <c r="H198" i="167"/>
  <c r="G221" i="167"/>
  <c r="J15" i="167"/>
  <c r="G136" i="167"/>
  <c r="I335" i="167"/>
  <c r="G130" i="167"/>
  <c r="G357" i="167"/>
  <c r="G39" i="167"/>
  <c r="G175" i="167"/>
  <c r="G48" i="167"/>
  <c r="G135" i="167"/>
  <c r="G176" i="167"/>
  <c r="G233" i="167"/>
  <c r="G227" i="167"/>
  <c r="M63" i="167"/>
  <c r="G184" i="167"/>
  <c r="G231" i="167"/>
  <c r="G237" i="167"/>
  <c r="I396" i="167"/>
  <c r="L396" i="167" s="1"/>
  <c r="I349" i="167"/>
  <c r="L349" i="167" s="1"/>
  <c r="G351" i="167"/>
  <c r="G350" i="167" s="1"/>
  <c r="L480" i="165"/>
  <c r="I388" i="167"/>
  <c r="L388" i="167" s="1"/>
  <c r="G396" i="167"/>
  <c r="G339" i="167"/>
  <c r="G194" i="167"/>
  <c r="I34" i="167"/>
  <c r="I16" i="167" s="1"/>
  <c r="I344" i="167"/>
  <c r="G344" i="167" s="1"/>
  <c r="G480" i="165"/>
  <c r="G388" i="167"/>
  <c r="J377" i="165"/>
  <c r="H357" i="167"/>
  <c r="E388" i="165"/>
  <c r="E430" i="165"/>
  <c r="J442" i="165"/>
  <c r="P443" i="165"/>
  <c r="Q443" i="165" s="1"/>
  <c r="H151" i="167"/>
  <c r="K151" i="167" s="1"/>
  <c r="O16" i="165" l="1"/>
  <c r="E16" i="165"/>
  <c r="K15" i="167" s="1"/>
  <c r="I325" i="167"/>
  <c r="L325" i="167" s="1"/>
  <c r="G78" i="167"/>
  <c r="O411" i="165"/>
  <c r="O410" i="165" s="1"/>
  <c r="E50" i="165"/>
  <c r="O214" i="165"/>
  <c r="E214" i="165"/>
  <c r="J50" i="165"/>
  <c r="J49" i="165" s="1"/>
  <c r="J452" i="165"/>
  <c r="J451" i="165" s="1"/>
  <c r="G127" i="167"/>
  <c r="G123" i="167" s="1"/>
  <c r="O236" i="165"/>
  <c r="E236" i="165"/>
  <c r="E235" i="165" s="1"/>
  <c r="I64" i="167"/>
  <c r="I63" i="167" s="1"/>
  <c r="O49" i="165"/>
  <c r="G36" i="108"/>
  <c r="G68" i="167"/>
  <c r="K198" i="167"/>
  <c r="J215" i="165"/>
  <c r="O451" i="165"/>
  <c r="H63" i="167"/>
  <c r="G200" i="167"/>
  <c r="G199" i="167" s="1"/>
  <c r="H122" i="167"/>
  <c r="K122" i="167" s="1"/>
  <c r="G349" i="167"/>
  <c r="G335" i="167"/>
  <c r="G325" i="167" s="1"/>
  <c r="H15" i="167"/>
  <c r="I357" i="167"/>
  <c r="L34" i="167"/>
  <c r="I198" i="167"/>
  <c r="G34" i="167"/>
  <c r="G16" i="167" s="1"/>
  <c r="I151" i="167"/>
  <c r="L151" i="167" s="1"/>
  <c r="G158" i="167"/>
  <c r="G152" i="167" s="1"/>
  <c r="J339" i="167"/>
  <c r="P430" i="165"/>
  <c r="P442" i="165"/>
  <c r="P377" i="165"/>
  <c r="P388" i="165"/>
  <c r="K219" i="167" l="1"/>
  <c r="O235" i="165"/>
  <c r="Q235" i="165"/>
  <c r="J16" i="165"/>
  <c r="L15" i="167" s="1"/>
  <c r="O469" i="165"/>
  <c r="G64" i="167"/>
  <c r="G63" i="167" s="1"/>
  <c r="P16" i="165"/>
  <c r="Q16" i="165" s="1"/>
  <c r="J325" i="167"/>
  <c r="M325" i="167" s="1"/>
  <c r="L63" i="167"/>
  <c r="J411" i="165"/>
  <c r="J410" i="165" s="1"/>
  <c r="L372" i="167" s="1"/>
  <c r="E411" i="165"/>
  <c r="E117" i="165"/>
  <c r="P50" i="165"/>
  <c r="Q50" i="165" s="1"/>
  <c r="P215" i="165"/>
  <c r="Q215" i="165" s="1"/>
  <c r="O15" i="165"/>
  <c r="K63" i="167"/>
  <c r="J214" i="165"/>
  <c r="L198" i="167"/>
  <c r="E49" i="165"/>
  <c r="J236" i="165"/>
  <c r="P236" i="165" s="1"/>
  <c r="Q236" i="165" s="1"/>
  <c r="E15" i="165"/>
  <c r="O117" i="165"/>
  <c r="G198" i="167"/>
  <c r="I122" i="167"/>
  <c r="G122" i="167"/>
  <c r="G15" i="167"/>
  <c r="I324" i="167"/>
  <c r="G151" i="167"/>
  <c r="I15" i="167"/>
  <c r="E410" i="165" l="1"/>
  <c r="K372" i="167"/>
  <c r="L122" i="167"/>
  <c r="J409" i="167"/>
  <c r="N399" i="167" s="1"/>
  <c r="J15" i="165"/>
  <c r="P214" i="165"/>
  <c r="P411" i="165"/>
  <c r="Q411" i="165" s="1"/>
  <c r="P49" i="165"/>
  <c r="J235" i="165"/>
  <c r="P235" i="165"/>
  <c r="J117" i="165"/>
  <c r="J469" i="165"/>
  <c r="G324" i="167"/>
  <c r="J324" i="167"/>
  <c r="L409" i="167" l="1"/>
  <c r="P15" i="165"/>
  <c r="P410" i="165"/>
  <c r="P117" i="165"/>
  <c r="I241" i="167" l="1"/>
  <c r="I220" i="167" s="1"/>
  <c r="I409" i="167" s="1"/>
  <c r="M399" i="167" s="1"/>
  <c r="G241" i="167" l="1"/>
  <c r="G220" i="167" s="1"/>
  <c r="I219" i="167" l="1"/>
  <c r="G219" i="167" l="1"/>
  <c r="M19" i="107"/>
  <c r="O19" i="107"/>
  <c r="Q19" i="107" l="1"/>
  <c r="G151" i="107" l="1"/>
  <c r="F141" i="108"/>
  <c r="G150" i="107"/>
  <c r="F140" i="108"/>
  <c r="G148" i="107"/>
  <c r="F138" i="108"/>
  <c r="F139" i="108"/>
  <c r="G149" i="107"/>
  <c r="G146" i="107"/>
  <c r="F136" i="108"/>
  <c r="G147" i="107"/>
  <c r="F137" i="108"/>
  <c r="G144" i="107"/>
  <c r="F134" i="108"/>
  <c r="G143" i="107"/>
  <c r="F133" i="108"/>
  <c r="G142" i="107"/>
  <c r="F132" i="108"/>
  <c r="G141" i="107"/>
  <c r="F131" i="108"/>
  <c r="G140" i="107"/>
  <c r="F130" i="108"/>
  <c r="G139" i="107"/>
  <c r="F129" i="108"/>
  <c r="G138" i="107"/>
  <c r="F128" i="108"/>
  <c r="G137" i="107"/>
  <c r="F127" i="108"/>
  <c r="G136" i="107"/>
  <c r="F126" i="108"/>
  <c r="G135" i="107"/>
  <c r="F125" i="108"/>
  <c r="G134" i="107"/>
  <c r="F124" i="108"/>
  <c r="G132" i="107"/>
  <c r="F122" i="108"/>
  <c r="G92" i="107"/>
  <c r="G90" i="107"/>
  <c r="G89" i="107"/>
  <c r="G88" i="107"/>
  <c r="G87" i="107"/>
  <c r="G85" i="107"/>
  <c r="G84" i="107"/>
  <c r="G83" i="107"/>
  <c r="G82" i="107"/>
  <c r="G81" i="107"/>
  <c r="G80" i="107"/>
  <c r="G79" i="107"/>
  <c r="G78" i="107"/>
  <c r="G77" i="107"/>
  <c r="G76" i="107"/>
  <c r="G75" i="107"/>
  <c r="G74" i="107"/>
  <c r="G73" i="107"/>
  <c r="G72" i="107"/>
  <c r="G71" i="107"/>
  <c r="G70" i="107"/>
  <c r="G69" i="107"/>
  <c r="G68" i="107"/>
  <c r="G67" i="107"/>
  <c r="G65" i="107"/>
  <c r="G159" i="107"/>
  <c r="F150" i="108"/>
  <c r="K178" i="107"/>
  <c r="J169" i="108"/>
  <c r="J143" i="108" l="1"/>
  <c r="G16" i="107"/>
  <c r="G15" i="107" s="1"/>
  <c r="G14" i="107" s="1"/>
  <c r="G13" i="107"/>
  <c r="G12" i="107" s="1"/>
  <c r="G29" i="107" s="1"/>
  <c r="O18" i="107"/>
  <c r="K12" i="107"/>
  <c r="K29" i="107" s="1"/>
  <c r="L12" i="107"/>
  <c r="L29" i="107" s="1"/>
  <c r="J12" i="107"/>
  <c r="J29" i="107" s="1"/>
  <c r="H12" i="107"/>
  <c r="H29" i="107" s="1"/>
  <c r="O17" i="107"/>
  <c r="N17" i="107"/>
  <c r="K483" i="165" l="1"/>
  <c r="O16" i="107"/>
  <c r="O15" i="107" s="1"/>
  <c r="O14" i="107" s="1"/>
  <c r="L219" i="167"/>
  <c r="M219" i="167"/>
  <c r="O13" i="107"/>
  <c r="O12" i="107" s="1"/>
  <c r="O29" i="107" s="1"/>
  <c r="Q17" i="107"/>
  <c r="O464" i="200" l="1"/>
  <c r="J464" i="200"/>
  <c r="J486" i="165"/>
  <c r="G33" i="172"/>
  <c r="K480" i="165"/>
  <c r="N18" i="107"/>
  <c r="J474" i="200" l="1"/>
  <c r="Q464" i="200"/>
  <c r="J476" i="200"/>
  <c r="J473" i="200"/>
  <c r="J479" i="200"/>
  <c r="O476" i="200"/>
  <c r="O473" i="200"/>
  <c r="J481" i="165"/>
  <c r="O483" i="165"/>
  <c r="J480" i="165"/>
  <c r="O480" i="165"/>
  <c r="J483" i="165"/>
  <c r="N16" i="107"/>
  <c r="N15" i="107" s="1"/>
  <c r="N14" i="107" s="1"/>
  <c r="N13" i="107"/>
  <c r="N12" i="107" s="1"/>
  <c r="N29" i="107" s="1"/>
  <c r="F12" i="107"/>
  <c r="F29" i="107" l="1"/>
  <c r="E36" i="108" l="1"/>
  <c r="I143" i="108" s="1"/>
  <c r="E24" i="108"/>
  <c r="M18" i="107"/>
  <c r="Q18" i="107" s="1"/>
  <c r="M13" i="107" l="1"/>
  <c r="M12" i="107" s="1"/>
  <c r="M29" i="107" s="1"/>
  <c r="M16" i="107"/>
  <c r="M15" i="107" s="1"/>
  <c r="M14" i="107" s="1"/>
  <c r="Q16" i="107"/>
  <c r="Q15" i="107" s="1"/>
  <c r="Q14" i="107" s="1"/>
  <c r="Q13" i="107" l="1"/>
  <c r="Q12" i="107" s="1"/>
  <c r="Q29" i="107" s="1"/>
  <c r="Q471" i="165" l="1"/>
  <c r="R29" i="107"/>
  <c r="H407" i="167" l="1"/>
  <c r="G407" i="167" s="1"/>
  <c r="G403" i="167" s="1"/>
  <c r="G409" i="167" s="1"/>
  <c r="K399" i="167" s="1"/>
  <c r="F451" i="165"/>
  <c r="H403" i="167" l="1"/>
  <c r="H402" i="167" s="1"/>
  <c r="G402" i="167"/>
  <c r="E452" i="165"/>
  <c r="H409" i="167" l="1"/>
  <c r="L399" i="167" s="1"/>
  <c r="E469" i="165"/>
  <c r="D33" i="172" s="1"/>
  <c r="P452" i="165"/>
  <c r="Q452" i="165" s="1"/>
  <c r="E451" i="165"/>
  <c r="F480" i="165"/>
  <c r="D27" i="172" l="1"/>
  <c r="E485" i="165"/>
  <c r="F481" i="165"/>
  <c r="F483" i="165"/>
  <c r="E483" i="165"/>
  <c r="K409" i="167"/>
  <c r="P451" i="165"/>
  <c r="P469" i="165"/>
  <c r="E480" i="165"/>
  <c r="P483" i="165" l="1"/>
  <c r="Q469" i="165"/>
  <c r="E33" i="172"/>
  <c r="P480" i="165"/>
  <c r="D15" i="172"/>
  <c r="D38" i="172" s="1"/>
  <c r="P481" i="165"/>
  <c r="D66" i="172"/>
  <c r="D60" i="172" s="1"/>
  <c r="D67" i="170"/>
  <c r="E67" i="170" s="1"/>
  <c r="E27" i="172" l="1"/>
  <c r="C33" i="172"/>
  <c r="C27" i="172" s="1"/>
  <c r="C15" i="172" s="1"/>
  <c r="C38" i="172" s="1"/>
  <c r="F33" i="172"/>
  <c r="F27" i="172" s="1"/>
  <c r="E66" i="172"/>
  <c r="E60" i="172" s="1"/>
  <c r="G27" i="172" l="1"/>
  <c r="D52" i="172"/>
  <c r="D67" i="172" s="1"/>
  <c r="F15" i="172"/>
  <c r="F38" i="172" s="1"/>
  <c r="E15" i="172"/>
  <c r="F66" i="172"/>
  <c r="F60" i="172" s="1"/>
  <c r="C66" i="172"/>
  <c r="C60" i="172" s="1"/>
  <c r="E77" i="170"/>
  <c r="D61" i="170"/>
  <c r="G15" i="172" l="1"/>
  <c r="D76" i="170"/>
  <c r="D75" i="170" s="1"/>
  <c r="D35" i="170"/>
  <c r="E35" i="170" s="1"/>
  <c r="E38" i="172"/>
  <c r="G38" i="172" s="1"/>
  <c r="E52" i="172"/>
  <c r="E67" i="172" s="1"/>
  <c r="F52" i="172"/>
  <c r="F67" i="172" s="1"/>
  <c r="C52" i="172"/>
  <c r="C67" i="172" s="1"/>
  <c r="F35" i="170" l="1"/>
  <c r="E75" i="170"/>
  <c r="E76" i="170"/>
  <c r="D95" i="170" l="1"/>
  <c r="E95" i="170" l="1"/>
  <c r="I35" i="172"/>
  <c r="I36" i="172"/>
</calcChain>
</file>

<file path=xl/sharedStrings.xml><?xml version="1.0" encoding="utf-8"?>
<sst xmlns="http://schemas.openxmlformats.org/spreadsheetml/2006/main" count="8740" uniqueCount="1806">
  <si>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</si>
  <si>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</si>
  <si>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</si>
  <si>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</si>
  <si>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</si>
  <si>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</si>
  <si>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</si>
  <si>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</si>
  <si>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</si>
  <si>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</si>
  <si>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</si>
  <si>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</si>
  <si>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</si>
  <si>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</si>
  <si>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</si>
  <si>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</si>
  <si>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</si>
  <si>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</si>
  <si>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</si>
  <si>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</si>
  <si>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</si>
  <si>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</si>
  <si>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</si>
  <si>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</si>
  <si>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</si>
  <si>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</si>
  <si>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</si>
  <si>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</si>
  <si>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</si>
  <si>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</si>
  <si>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</si>
  <si>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</si>
  <si>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</si>
  <si>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</si>
  <si>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</si>
  <si>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</si>
  <si>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</si>
  <si>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</si>
  <si>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</si>
  <si>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</si>
  <si>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</si>
  <si>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</si>
  <si>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</si>
  <si>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</si>
  <si>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</si>
  <si>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</si>
  <si>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</si>
  <si>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</si>
  <si>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</si>
  <si>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</si>
  <si>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</si>
  <si>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</si>
  <si>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</si>
  <si>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</si>
  <si>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</si>
  <si>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</si>
  <si>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</si>
  <si>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</si>
  <si>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</si>
  <si>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</si>
  <si>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</si>
  <si>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</si>
  <si>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</si>
  <si>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</si>
  <si>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</si>
  <si>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</si>
  <si>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</si>
  <si>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</si>
  <si>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</si>
  <si>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</si>
  <si>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</si>
  <si>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</si>
  <si>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</si>
  <si>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</si>
  <si>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</si>
  <si>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</si>
  <si>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</si>
  <si>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</si>
  <si>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</si>
  <si>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</si>
  <si>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</si>
  <si>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</si>
  <si>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</si>
  <si>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</si>
  <si>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</si>
  <si>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</si>
  <si>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</si>
  <si>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</si>
  <si>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</si>
  <si>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</si>
  <si>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</si>
  <si>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</si>
  <si>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</si>
  <si>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</si>
  <si>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</si>
  <si>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</si>
  <si>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</si>
  <si>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</si>
  <si>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</si>
  <si>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</si>
  <si>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</si>
  <si>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</si>
  <si>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</si>
  <si>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</si>
  <si>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</si>
  <si>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</si>
  <si>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</si>
  <si>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</si>
  <si>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</si>
  <si>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</si>
  <si>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</si>
  <si>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</si>
  <si>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</si>
  <si>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</si>
  <si>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</si>
  <si>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</si>
  <si>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</si>
  <si>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</si>
  <si>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</si>
  <si>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</si>
  <si>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</si>
  <si>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</si>
  <si>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</si>
  <si>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</si>
  <si>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</si>
  <si>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</si>
  <si>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</si>
  <si>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</si>
  <si>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2.1.2.</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</si>
  <si>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</si>
  <si>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</si>
  <si>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</si>
  <si>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</si>
  <si>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</si>
  <si>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</si>
  <si>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</si>
  <si>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</si>
  <si>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</si>
  <si>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</si>
  <si>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</si>
  <si>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</si>
  <si>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</si>
  <si>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</si>
  <si>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</si>
  <si>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</si>
  <si>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</si>
  <si>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</si>
  <si>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</si>
  <si>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</si>
  <si>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</si>
  <si>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</si>
  <si>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</si>
  <si>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</si>
  <si>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</si>
  <si>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</si>
  <si>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</si>
  <si>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</si>
  <si>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</si>
  <si>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</si>
  <si>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</si>
  <si>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</si>
  <si>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</si>
  <si>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</si>
  <si>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</si>
  <si>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</si>
  <si>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</si>
  <si>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</si>
  <si>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</si>
  <si>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</si>
  <si>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</si>
  <si>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</si>
  <si>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</si>
  <si>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</si>
  <si>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</si>
  <si>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</si>
  <si>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</si>
  <si>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</si>
  <si>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</si>
  <si>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</si>
  <si>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</si>
  <si>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</si>
  <si>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</si>
  <si>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</si>
  <si>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</si>
  <si>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</si>
  <si>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</si>
  <si>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</si>
  <si>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</si>
  <si>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</si>
  <si>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</si>
  <si>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</si>
  <si>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</si>
  <si>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</si>
  <si>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</si>
  <si>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</si>
  <si>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</si>
  <si>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</si>
  <si>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</si>
  <si>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</si>
  <si>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</si>
  <si>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</si>
  <si>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</si>
  <si>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</si>
  <si>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</si>
  <si>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</si>
  <si>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</si>
  <si>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</si>
  <si>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</si>
  <si>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</si>
  <si>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</si>
  <si>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</si>
  <si>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</si>
  <si>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</si>
  <si>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</si>
  <si>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</si>
  <si>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</si>
  <si>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</si>
  <si>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</si>
  <si>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</si>
  <si>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</si>
  <si>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</si>
  <si>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</si>
  <si>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</si>
  <si>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</si>
  <si>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</si>
  <si>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</si>
  <si>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</si>
  <si>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</si>
  <si>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</si>
  <si>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</si>
  <si>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</si>
  <si>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</si>
  <si>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</si>
  <si>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</si>
  <si>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</si>
  <si>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</si>
  <si>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</si>
  <si>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</si>
  <si>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</si>
  <si>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</si>
  <si>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</si>
  <si>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</si>
  <si>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</si>
  <si>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</si>
  <si>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</si>
  <si>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</si>
  <si>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</si>
  <si>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</si>
  <si>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</si>
  <si>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</si>
  <si>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</si>
  <si>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</si>
  <si>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</si>
  <si>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</si>
  <si>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</si>
  <si>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</si>
  <si>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</si>
  <si>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</si>
  <si>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</si>
  <si>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</si>
  <si>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</si>
  <si>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</si>
  <si>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</si>
  <si>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</si>
  <si>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</si>
  <si>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</si>
  <si>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</si>
  <si>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</si>
  <si>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</si>
  <si>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</si>
  <si>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</si>
  <si>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</si>
  <si>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</si>
  <si>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</si>
  <si>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</si>
  <si>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</si>
  <si>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</si>
  <si>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</si>
  <si>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</si>
  <si>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</si>
  <si>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</si>
  <si>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</si>
  <si>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</si>
  <si>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</si>
  <si>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</si>
  <si>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</si>
  <si>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</si>
  <si>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</si>
  <si>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</si>
  <si>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</si>
  <si>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</si>
  <si>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</si>
  <si>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</si>
  <si>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</si>
  <si>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</si>
  <si>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</si>
  <si>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</si>
  <si>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</si>
  <si>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</si>
  <si>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</si>
  <si>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</si>
  <si>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</si>
  <si>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</si>
  <si>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</si>
  <si>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</si>
  <si>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</si>
  <si>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</si>
  <si>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</si>
  <si>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</si>
  <si>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</si>
  <si>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</si>
  <si>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</si>
  <si>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</si>
  <si>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</si>
  <si>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</si>
  <si>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</si>
  <si>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</si>
  <si>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</si>
  <si>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</si>
  <si>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</si>
  <si>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</si>
  <si>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</si>
  <si>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</si>
  <si>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</si>
  <si>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</si>
  <si>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</si>
  <si>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</si>
  <si>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</si>
  <si>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</si>
  <si>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</si>
  <si>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</si>
  <si>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</si>
  <si>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</si>
  <si>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</si>
  <si>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</si>
  <si>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</si>
  <si>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</si>
  <si>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</si>
  <si>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</si>
  <si>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</si>
  <si>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</si>
  <si>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</si>
  <si>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</si>
  <si>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</si>
  <si>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</si>
  <si>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</si>
  <si>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</si>
  <si>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</si>
  <si>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</si>
  <si>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</si>
  <si>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</si>
  <si>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</si>
  <si>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</si>
  <si>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</si>
  <si>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</si>
  <si>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</si>
  <si>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</si>
  <si>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</si>
  <si>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</si>
  <si>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</si>
  <si>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</si>
  <si>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</si>
  <si>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</si>
  <si>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</si>
  <si>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</si>
  <si>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</si>
  <si>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</si>
  <si>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</si>
  <si>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</si>
  <si>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</si>
  <si>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</si>
  <si>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</si>
  <si>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</si>
  <si>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</si>
  <si>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</si>
  <si>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</si>
  <si>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</si>
  <si>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</si>
  <si>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</si>
  <si>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</si>
  <si>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</si>
  <si>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</si>
  <si>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</si>
  <si>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</si>
  <si>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</si>
  <si>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</si>
  <si>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</si>
  <si>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</si>
  <si>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</si>
  <si>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</si>
  <si>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</si>
  <si>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</si>
  <si>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</si>
  <si>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</si>
  <si>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</si>
  <si>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</si>
  <si>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</si>
  <si>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</si>
  <si>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</si>
  <si>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</si>
  <si>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</si>
  <si>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</si>
  <si>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</si>
  <si>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</si>
  <si>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</si>
  <si>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</si>
  <si>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</si>
  <si>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</si>
  <si>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</si>
  <si>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</si>
  <si>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</si>
  <si>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</si>
  <si>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</si>
  <si>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</si>
  <si>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</si>
  <si>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</si>
  <si>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</si>
  <si>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</si>
  <si>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</si>
  <si>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</si>
  <si>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</si>
  <si>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</si>
  <si>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</si>
  <si>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</si>
  <si>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</si>
  <si>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</si>
  <si>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</si>
  <si>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</si>
  <si>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</si>
  <si>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</si>
  <si>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</si>
  <si>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</si>
  <si>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</si>
  <si>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</si>
  <si>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</si>
  <si>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</si>
  <si>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</si>
  <si>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</si>
  <si>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</si>
  <si>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</si>
  <si>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</si>
  <si>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</si>
  <si>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</si>
  <si>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</si>
  <si>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1118821</t>
  </si>
  <si>
    <t>1118822</t>
  </si>
  <si>
    <t>8821</t>
  </si>
  <si>
    <t>8822</t>
  </si>
  <si>
    <t>Здійснення заходів із землеустрою</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</si>
  <si>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</si>
  <si>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</si>
  <si>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</si>
  <si>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1917413</t>
  </si>
  <si>
    <t>1917426</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</si>
  <si>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</si>
  <si>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</si>
  <si>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</si>
  <si>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</si>
  <si>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</si>
  <si>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</si>
  <si>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</si>
  <si>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</si>
  <si>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</si>
  <si>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</si>
  <si>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</si>
  <si>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</si>
  <si>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</si>
  <si>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</si>
  <si>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</si>
  <si>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</si>
  <si>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</si>
  <si>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</si>
  <si>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</si>
  <si>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</si>
  <si>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</si>
  <si>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</si>
  <si>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</si>
  <si>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</si>
  <si>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</si>
  <si>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</si>
  <si>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</si>
  <si>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</si>
  <si>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</si>
  <si>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</si>
  <si>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</si>
  <si>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</si>
  <si>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</si>
  <si>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</si>
  <si>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</si>
  <si>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</si>
  <si>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</si>
  <si>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</si>
  <si>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</si>
  <si>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</si>
  <si>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</si>
  <si>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</si>
  <si>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</si>
  <si>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</si>
  <si>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</si>
  <si>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</si>
  <si>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</si>
  <si>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</si>
  <si>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</si>
  <si>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</si>
  <si>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</si>
  <si>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</si>
  <si>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</si>
  <si>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</si>
  <si>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</si>
  <si>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</si>
  <si>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</si>
  <si>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</si>
  <si>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</si>
  <si>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</si>
  <si>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</si>
  <si>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</si>
  <si>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</si>
  <si>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</si>
  <si>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</si>
  <si>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</si>
  <si>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</si>
  <si>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</si>
  <si>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</si>
  <si>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</si>
  <si>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</si>
  <si>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</si>
  <si>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1417461</t>
  </si>
  <si>
    <t>1417640</t>
  </si>
  <si>
    <t>1417670</t>
  </si>
  <si>
    <t>1417691</t>
  </si>
  <si>
    <t>1418110</t>
  </si>
  <si>
    <t>1418120</t>
  </si>
  <si>
    <t>1418130</t>
  </si>
  <si>
    <t>8130</t>
  </si>
  <si>
    <t>Забезпечення діяльності місцевої пожежної охорони</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</si>
  <si>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</si>
  <si>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</si>
  <si>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</si>
  <si>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</si>
  <si>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</si>
  <si>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</si>
  <si>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</si>
  <si>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</si>
  <si>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</si>
  <si>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</si>
  <si>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</si>
  <si>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</si>
  <si>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</si>
  <si>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</si>
  <si>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</si>
  <si>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</si>
  <si>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</si>
  <si>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</si>
  <si>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</si>
  <si>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</si>
  <si>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</si>
  <si>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</si>
  <si>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</si>
  <si>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</si>
  <si>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</si>
  <si>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</si>
  <si>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</si>
  <si>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</si>
  <si>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</si>
  <si>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</si>
  <si>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</si>
  <si>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</si>
  <si>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</si>
  <si>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</si>
  <si>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</si>
  <si>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</si>
  <si>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</si>
  <si>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</si>
  <si>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</si>
  <si>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</si>
  <si>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</si>
  <si>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</si>
  <si>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</si>
  <si>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</si>
  <si>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</si>
  <si>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</si>
  <si>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</si>
  <si>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</si>
  <si>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</si>
  <si>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</si>
  <si>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</si>
  <si>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</si>
  <si>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</si>
  <si>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</si>
  <si>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</si>
  <si>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</si>
  <si>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</si>
  <si>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</si>
  <si>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</si>
  <si>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</si>
  <si>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</si>
  <si>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</si>
  <si>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</si>
  <si>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</si>
  <si>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</si>
  <si>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</si>
  <si>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</si>
  <si>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</si>
  <si>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</si>
  <si>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</si>
  <si>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</si>
  <si>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</si>
  <si>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</si>
  <si>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</si>
  <si>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</si>
  <si>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</si>
  <si>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</si>
  <si>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</si>
  <si>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</si>
  <si>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</si>
  <si>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</si>
  <si>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</si>
  <si>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</si>
  <si>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</si>
  <si>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</si>
  <si>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</si>
  <si>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</si>
  <si>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</si>
  <si>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</si>
  <si>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</si>
  <si>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</si>
  <si>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</si>
  <si>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</si>
  <si>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</si>
  <si>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</si>
  <si>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</si>
  <si>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</si>
  <si>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</si>
  <si>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</si>
  <si>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</si>
  <si>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</si>
  <si>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</si>
  <si>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</si>
  <si>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</si>
  <si>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</si>
  <si>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</si>
  <si>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</si>
  <si>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</si>
  <si>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</si>
  <si>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</si>
  <si>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</si>
  <si>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</si>
  <si>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</si>
  <si>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</si>
  <si>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</si>
  <si>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</si>
  <si>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</si>
  <si>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</si>
  <si>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</si>
  <si>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</si>
  <si>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</si>
  <si>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</si>
  <si>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</si>
  <si>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</si>
  <si>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</si>
  <si>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</si>
  <si>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</si>
  <si>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</si>
  <si>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</si>
  <si>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</si>
  <si>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</si>
  <si>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</si>
  <si>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</si>
  <si>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</si>
  <si>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</si>
  <si>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</si>
  <si>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</si>
  <si>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</si>
  <si>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</si>
  <si>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</si>
  <si>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</si>
  <si>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</si>
  <si>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</si>
  <si>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</si>
  <si>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</si>
  <si>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</si>
  <si>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</si>
  <si>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</si>
  <si>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</si>
  <si>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</si>
  <si>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</si>
  <si>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</si>
  <si>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</si>
  <si>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</si>
  <si>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</si>
  <si>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</si>
  <si>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</si>
  <si>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</si>
  <si>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</si>
  <si>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</si>
  <si>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</si>
  <si>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</si>
  <si>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</si>
  <si>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</si>
  <si>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</si>
  <si>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</si>
  <si>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</si>
  <si>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</si>
  <si>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</si>
  <si>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</si>
  <si>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</si>
  <si>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</si>
  <si>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</si>
  <si>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</si>
  <si>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</si>
  <si>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</si>
  <si>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</si>
  <si>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</si>
  <si>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</si>
  <si>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</si>
  <si>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</si>
  <si>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</si>
  <si>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</si>
  <si>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</si>
  <si>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</si>
  <si>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</si>
  <si>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</si>
  <si>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</si>
  <si>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</si>
  <si>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</si>
  <si>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</si>
  <si>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</si>
  <si>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</si>
  <si>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</si>
  <si>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</si>
  <si>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</si>
  <si>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</si>
  <si>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</si>
  <si>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</si>
  <si>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</si>
  <si>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</si>
  <si>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</si>
  <si>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</si>
  <si>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</si>
  <si>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</si>
  <si>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</si>
  <si>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</si>
  <si>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</si>
  <si>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</si>
  <si>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</si>
  <si>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</si>
  <si>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</si>
  <si>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</si>
  <si>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</si>
  <si>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</si>
  <si>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</si>
  <si>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</si>
  <si>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</si>
  <si>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</si>
  <si>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</si>
  <si>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</si>
  <si>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</si>
  <si>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</si>
  <si>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</si>
  <si>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</si>
  <si>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</si>
  <si>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</si>
  <si>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</si>
  <si>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</si>
  <si>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</si>
  <si>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</si>
  <si>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</si>
  <si>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</si>
  <si>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</si>
  <si>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</si>
  <si>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</si>
  <si>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</si>
  <si>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</si>
  <si>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</si>
  <si>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</si>
  <si>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</si>
  <si>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</si>
  <si>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</si>
  <si>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</si>
  <si>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</si>
  <si>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</si>
  <si>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</si>
  <si>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</si>
  <si>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</si>
  <si>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</si>
  <si>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</si>
  <si>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</si>
  <si>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</si>
  <si>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</si>
  <si>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</si>
  <si>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</si>
  <si>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</si>
  <si>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</si>
  <si>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</si>
  <si>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</si>
  <si>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</si>
  <si>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</si>
  <si>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</si>
  <si>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</si>
  <si>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</si>
  <si>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</si>
  <si>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</si>
  <si>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</si>
  <si>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</si>
  <si>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</si>
  <si>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</si>
  <si>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</si>
  <si>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</si>
  <si>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</si>
  <si>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</si>
  <si>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</si>
  <si>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</si>
  <si>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</si>
  <si>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</si>
  <si>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</si>
  <si>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</si>
  <si>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</si>
  <si>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</si>
  <si>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</si>
  <si>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</si>
  <si>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</si>
  <si>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</si>
  <si>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</si>
  <si>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</si>
  <si>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</si>
  <si>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</si>
  <si>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</si>
  <si>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</si>
  <si>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</si>
  <si>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</si>
  <si>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</si>
  <si>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</si>
  <si>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</si>
  <si>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</si>
  <si>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</si>
  <si>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</si>
  <si>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</si>
  <si>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</si>
  <si>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</si>
  <si>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</si>
  <si>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</si>
  <si>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</si>
  <si>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</si>
  <si>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</si>
  <si>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</si>
  <si>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</si>
  <si>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</si>
  <si>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</si>
  <si>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</si>
  <si>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</si>
  <si>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</si>
  <si>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</si>
  <si>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</si>
  <si>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</si>
  <si>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</si>
  <si>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</si>
  <si>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</si>
  <si>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</si>
  <si>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</si>
  <si>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</si>
  <si>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</si>
  <si>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</si>
  <si>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</si>
  <si>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</si>
  <si>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</si>
  <si>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</si>
  <si>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</si>
  <si>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</si>
  <si>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</si>
  <si>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</si>
  <si>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</si>
  <si>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</si>
  <si>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</si>
  <si>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</si>
  <si>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</si>
  <si>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</si>
  <si>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</si>
  <si>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</si>
  <si>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</si>
  <si>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1510180</t>
  </si>
  <si>
    <t>1216020</t>
  </si>
  <si>
    <t>0611060</t>
  </si>
  <si>
    <t>0611061</t>
  </si>
  <si>
    <t>1061</t>
  </si>
  <si>
    <t>Рішення 3-ї сесії Хмельницької міської ради від 14.01.2021 року №1</t>
  </si>
  <si>
    <t>0611210</t>
  </si>
  <si>
    <t>1210</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</si>
  <si>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</si>
  <si>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</si>
  <si>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</si>
  <si>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</si>
  <si>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</si>
  <si>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</si>
  <si>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</si>
  <si>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</si>
  <si>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</si>
  <si>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</si>
  <si>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</si>
  <si>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</si>
  <si>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</si>
  <si>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</si>
  <si>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</si>
  <si>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</si>
  <si>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</si>
  <si>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</si>
  <si>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</si>
  <si>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</si>
  <si>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</si>
  <si>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</si>
  <si>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</si>
  <si>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</si>
  <si>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</si>
  <si>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</si>
  <si>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</si>
  <si>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</si>
  <si>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</si>
  <si>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</si>
  <si>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</si>
  <si>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</si>
  <si>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</si>
  <si>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</si>
  <si>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</si>
  <si>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</si>
  <si>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</si>
  <si>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</si>
  <si>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</si>
  <si>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</si>
  <si>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</si>
  <si>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</si>
  <si>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</si>
  <si>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</si>
  <si>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</si>
  <si>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</si>
  <si>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</si>
  <si>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</si>
  <si>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</si>
  <si>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</si>
  <si>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</si>
  <si>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</si>
  <si>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</si>
  <si>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2717300</t>
  </si>
  <si>
    <t>2717370</t>
  </si>
  <si>
    <t>Забезпечення надання послуг з перевезення пасажирів автомобільним транспортом</t>
  </si>
  <si>
    <t>1917410</t>
  </si>
  <si>
    <t>7410</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</si>
  <si>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</si>
  <si>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</si>
  <si>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</si>
  <si>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</si>
  <si>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</si>
  <si>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</si>
  <si>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</si>
  <si>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</si>
  <si>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</si>
  <si>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</si>
  <si>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</si>
  <si>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</si>
  <si>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</si>
  <si>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</si>
  <si>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</si>
  <si>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</si>
  <si>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</si>
  <si>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</si>
  <si>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</si>
  <si>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</si>
  <si>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</si>
  <si>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</si>
  <si>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</si>
  <si>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</si>
  <si>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</si>
  <si>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</si>
  <si>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</si>
  <si>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</si>
  <si>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</si>
  <si>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</si>
  <si>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</si>
  <si>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</si>
  <si>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</si>
  <si>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</si>
  <si>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</si>
  <si>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</si>
  <si>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</si>
  <si>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</si>
  <si>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</si>
  <si>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</si>
  <si>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</si>
  <si>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</si>
  <si>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</si>
  <si>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</si>
  <si>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</si>
  <si>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</si>
  <si>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</si>
  <si>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</si>
  <si>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</si>
  <si>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</si>
  <si>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</si>
  <si>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</si>
  <si>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</si>
  <si>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</si>
  <si>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</si>
  <si>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</si>
  <si>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</si>
  <si>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</si>
  <si>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</si>
  <si>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</si>
  <si>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</si>
  <si>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</si>
  <si>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</si>
  <si>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</si>
  <si>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</si>
  <si>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</si>
  <si>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Інша діяльність у сфері транспорту</t>
  </si>
  <si>
    <t>1917450</t>
  </si>
  <si>
    <t>7450</t>
  </si>
  <si>
    <t>1117300</t>
  </si>
  <si>
    <t>1117320</t>
  </si>
  <si>
    <t>1117325</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</si>
  <si>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</si>
  <si>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</si>
  <si>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</si>
  <si>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</si>
  <si>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</si>
  <si>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</si>
  <si>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</si>
  <si>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</si>
  <si>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</si>
  <si>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</si>
  <si>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</si>
  <si>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2818340</t>
  </si>
  <si>
    <t>8340</t>
  </si>
  <si>
    <t>Природоохоронні заходи за рахунок цільових фондів</t>
  </si>
  <si>
    <t>0611033</t>
  </si>
  <si>
    <t>1033</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</si>
  <si>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</si>
  <si>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</si>
  <si>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</si>
  <si>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</si>
  <si>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</si>
  <si>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</si>
  <si>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</si>
  <si>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</si>
  <si>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</si>
  <si>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</si>
  <si>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</si>
  <si>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</si>
  <si>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</si>
  <si>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</si>
  <si>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</si>
  <si>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</si>
  <si>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</si>
  <si>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</si>
  <si>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</si>
  <si>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</si>
  <si>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</si>
  <si>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</si>
  <si>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</si>
  <si>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</si>
  <si>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</si>
  <si>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</si>
  <si>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</si>
  <si>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</si>
  <si>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</si>
  <si>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</si>
  <si>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</si>
  <si>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</si>
  <si>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</si>
  <si>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</si>
  <si>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</si>
  <si>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</si>
  <si>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</si>
  <si>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</si>
  <si>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</si>
  <si>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</si>
  <si>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</si>
  <si>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</si>
  <si>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</si>
  <si>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</si>
  <si>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</si>
  <si>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</si>
  <si>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</si>
  <si>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</si>
  <si>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</si>
  <si>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</si>
  <si>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</si>
  <si>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</si>
  <si>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</si>
  <si>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</si>
  <si>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</si>
  <si>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</si>
  <si>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</si>
  <si>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</si>
  <si>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</si>
  <si>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</si>
  <si>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</si>
  <si>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</si>
  <si>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</si>
  <si>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</si>
  <si>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</si>
  <si>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</si>
  <si>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</si>
  <si>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</si>
  <si>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</si>
  <si>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</si>
  <si>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</si>
  <si>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</si>
  <si>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</si>
  <si>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</si>
  <si>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</si>
  <si>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</si>
  <si>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</si>
  <si>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</si>
  <si>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</si>
  <si>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</si>
  <si>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</si>
  <si>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</si>
  <si>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</si>
  <si>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</si>
  <si>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</si>
  <si>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</si>
  <si>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</si>
  <si>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</si>
  <si>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</si>
  <si>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</si>
  <si>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</si>
  <si>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</si>
  <si>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</si>
  <si>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0717640</t>
  </si>
  <si>
    <t>0710170</t>
  </si>
  <si>
    <t>Програма
підтримки обдарованих дітей м.Хмельницького (із змінами)</t>
  </si>
  <si>
    <t>1610180</t>
  </si>
  <si>
    <t>1216090</t>
  </si>
  <si>
    <t>1017640</t>
  </si>
  <si>
    <t>Програма розвитку  електротранспорту Хмельницької міської територіальної громади  на 2021 - 2025 роки (із змінами)</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</si>
  <si>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</si>
  <si>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</si>
  <si>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</si>
  <si>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</si>
  <si>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</si>
  <si>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</si>
  <si>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</si>
  <si>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</si>
  <si>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</si>
  <si>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</si>
  <si>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</si>
  <si>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</si>
  <si>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</si>
  <si>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</si>
  <si>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</si>
  <si>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</si>
  <si>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</si>
  <si>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</si>
  <si>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</si>
  <si>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</si>
  <si>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2717640</t>
  </si>
  <si>
    <t>Рішення 46-ї сесії Хмельницької міської ради від 07.10.2020 року №3</t>
  </si>
  <si>
    <t>2718000</t>
  </si>
  <si>
    <t>2718200</t>
  </si>
  <si>
    <t>2718240</t>
  </si>
  <si>
    <t>2713000</t>
  </si>
  <si>
    <t>2713230</t>
  </si>
  <si>
    <t>0817640</t>
  </si>
  <si>
    <t>Проєкт Програми підтримки та розвитку Хмельницького комунального підприємства «Міськсвітло»  на 2023-2027 роки</t>
  </si>
  <si>
    <t>1919000</t>
  </si>
  <si>
    <t>1919800</t>
  </si>
  <si>
    <t>1117640</t>
  </si>
  <si>
    <t>Дотації з державного бюджету місцевим бюджетам</t>
  </si>
  <si>
    <t>41020000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</si>
  <si>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</si>
  <si>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</si>
  <si>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</si>
  <si>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</si>
  <si>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</si>
  <si>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</si>
  <si>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</si>
  <si>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</si>
  <si>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</si>
  <si>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</si>
  <si>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</si>
  <si>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</si>
  <si>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</si>
  <si>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</si>
  <si>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</si>
  <si>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</si>
  <si>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</si>
  <si>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</si>
  <si>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</si>
  <si>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</si>
  <si>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</si>
  <si>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</si>
  <si>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</si>
  <si>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</si>
  <si>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</si>
  <si>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</si>
  <si>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</si>
  <si>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</si>
  <si>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</si>
  <si>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</si>
  <si>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</si>
  <si>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</si>
  <si>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</si>
  <si>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</si>
  <si>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</si>
  <si>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</si>
  <si>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</si>
  <si>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</si>
  <si>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</si>
  <si>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</si>
  <si>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</si>
  <si>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</si>
  <si>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</si>
  <si>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</si>
  <si>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</si>
  <si>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</si>
  <si>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</si>
  <si>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</si>
  <si>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</si>
  <si>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</si>
  <si>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</si>
  <si>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</si>
  <si>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</si>
  <si>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</si>
  <si>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</si>
  <si>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</si>
  <si>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</si>
  <si>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</si>
  <si>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</si>
  <si>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</si>
  <si>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Програма розвитку та вдосконалення міського пасажирського транспорту  міста Хмельницького на 2019 - 2023 роки  (із змінами і доповненнями)</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</si>
  <si>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</si>
  <si>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</si>
  <si>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</si>
  <si>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</si>
  <si>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</si>
  <si>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</si>
  <si>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</si>
  <si>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</si>
  <si>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</si>
  <si>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</si>
  <si>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</si>
  <si>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</si>
  <si>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</si>
  <si>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</si>
  <si>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</si>
  <si>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</si>
  <si>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</si>
  <si>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</si>
  <si>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</si>
  <si>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</si>
  <si>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</si>
  <si>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</si>
  <si>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</si>
  <si>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</si>
  <si>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</si>
  <si>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</si>
  <si>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</si>
  <si>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</si>
  <si>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</si>
  <si>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</si>
  <si>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</si>
  <si>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</si>
  <si>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</si>
  <si>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</si>
  <si>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</si>
  <si>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</si>
  <si>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</si>
  <si>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Повернення бюджетних коштів з депозитів, надходження внаслідок продажу/пред'явлення цінних паперів</t>
  </si>
  <si>
    <t>Надходження внаслідок продажу/пред'явлення цінних паперів</t>
  </si>
  <si>
    <t xml:space="preserve"> Придбання цінних паперів</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</si>
  <si>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</si>
  <si>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</si>
  <si>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</si>
  <si>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</si>
  <si>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</si>
  <si>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</si>
  <si>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</si>
  <si>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</si>
  <si>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</si>
  <si>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</si>
  <si>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</si>
  <si>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</si>
  <si>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t>1218100</t>
  </si>
  <si>
    <t>1218110</t>
  </si>
  <si>
    <t>Заходи з озеленення</t>
  </si>
  <si>
    <t>Програма заходів національного спротиву Хмельницької міської територіальної громади на 2024 рік</t>
  </si>
  <si>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</si>
  <si>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</si>
  <si>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</si>
  <si>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</si>
  <si>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</si>
  <si>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</si>
  <si>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</si>
  <si>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</si>
  <si>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</si>
  <si>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</si>
  <si>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Рішення 36-ї сесії Хмельницької міської ради від 21.12.2023 року №2</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</si>
  <si>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</si>
  <si>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</si>
  <si>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</si>
  <si>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</si>
  <si>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</si>
  <si>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8880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</si>
  <si>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</si>
  <si>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</si>
  <si>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</si>
  <si>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</si>
  <si>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</si>
  <si>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</si>
  <si>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</si>
  <si>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</si>
  <si>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</si>
  <si>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4122</t>
  </si>
  <si>
    <t xml:space="preserve">Повернення кредитів підприємствами, установами, організаціями </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</si>
  <si>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</si>
  <si>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</si>
  <si>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</si>
  <si>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</si>
  <si>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</si>
  <si>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</si>
  <si>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</si>
  <si>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</si>
  <si>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</si>
  <si>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</si>
  <si>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Рішення 36-ї сесії Хмельницької міської ради від 21.12.2023 року №58</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</si>
  <si>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</si>
  <si>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</si>
  <si>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</si>
  <si>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</si>
  <si>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</si>
  <si>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</si>
  <si>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</si>
  <si>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</si>
  <si>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</si>
  <si>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</si>
  <si>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</si>
  <si>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Програма підтримки ОСББ Хмельницької міської територіальної громади на 2023 – 2026 роки (із змінами)</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</si>
  <si>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</si>
  <si>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</si>
  <si>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</si>
  <si>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</si>
  <si>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</si>
  <si>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</si>
  <si>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</si>
  <si>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</si>
  <si>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</si>
  <si>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</si>
  <si>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</si>
  <si>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</si>
  <si>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</si>
  <si>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</si>
  <si>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</si>
  <si>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</si>
  <si>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</si>
  <si>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  до рішення №  </t>
  </si>
  <si>
    <t>1216091</t>
  </si>
  <si>
    <t>6091</t>
  </si>
  <si>
    <t>1416091</t>
  </si>
  <si>
    <t>Програма економічного і соціального розвитку Хмельницької міської територіальної громади на 2025 рік</t>
  </si>
  <si>
    <t>1511000</t>
  </si>
  <si>
    <t>1511300</t>
  </si>
  <si>
    <t>1300</t>
  </si>
  <si>
    <t>1514000</t>
  </si>
  <si>
    <t>1514080</t>
  </si>
  <si>
    <t>Проектування, реставрація та охорона пам'яток культурної спадщини</t>
  </si>
  <si>
    <t>1514084</t>
  </si>
  <si>
    <t>4084</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</si>
  <si>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</si>
  <si>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</si>
  <si>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</si>
  <si>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</si>
  <si>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</si>
  <si>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</si>
  <si>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</si>
  <si>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</si>
  <si>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</si>
  <si>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</si>
  <si>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</si>
  <si>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0813250</t>
  </si>
  <si>
    <t>3250</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</si>
  <si>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</si>
  <si>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</si>
  <si>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</si>
  <si>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</si>
  <si>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</si>
  <si>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</si>
  <si>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</si>
  <si>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</si>
  <si>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</si>
  <si>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</si>
  <si>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</si>
  <si>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</si>
  <si>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</si>
  <si>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</si>
  <si>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</si>
  <si>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</si>
  <si>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</si>
  <si>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</si>
  <si>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</si>
  <si>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</si>
  <si>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</si>
  <si>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</si>
  <si>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</si>
  <si>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</si>
  <si>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</si>
  <si>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</si>
  <si>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</si>
  <si>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</si>
  <si>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</si>
  <si>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</si>
  <si>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</si>
  <si>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</si>
  <si>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</si>
  <si>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</si>
  <si>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</si>
  <si>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</si>
  <si>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</si>
  <si>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</si>
  <si>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</si>
  <si>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</si>
  <si>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</si>
  <si>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 xml:space="preserve">На кінець періоду </t>
  </si>
  <si>
    <t>На кінець періоду</t>
  </si>
  <si>
    <t>0617300</t>
  </si>
  <si>
    <t>0617330</t>
  </si>
  <si>
    <t>0712170</t>
  </si>
  <si>
    <t>2170</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</si>
  <si>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</si>
  <si>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</si>
  <si>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</si>
  <si>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</si>
  <si>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</si>
  <si>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</si>
  <si>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</si>
  <si>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</si>
  <si>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</si>
  <si>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Видатки, пов'язані з наданням підтримки внутрішньо переміщеним та/або евакуйованим особам у зв'язку із введенням воєнного стану</t>
  </si>
  <si>
    <t>Рішення 50-ї сесії Хмельницької міської ради від 05.03.2025 року №4</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</si>
  <si>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</si>
  <si>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</si>
  <si>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</si>
  <si>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</si>
  <si>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</si>
  <si>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</si>
  <si>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</si>
  <si>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</si>
  <si>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</si>
  <si>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</si>
  <si>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</si>
  <si>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</si>
  <si>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</si>
  <si>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</si>
  <si>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</si>
  <si>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</si>
  <si>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</si>
  <si>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</si>
  <si>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1115070</t>
  </si>
  <si>
    <t>5070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</si>
  <si>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</si>
  <si>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</si>
  <si>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</si>
  <si>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</si>
  <si>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0813245</t>
  </si>
  <si>
    <t>0217630</t>
  </si>
  <si>
    <t>0618100</t>
  </si>
  <si>
    <t>0618110</t>
  </si>
  <si>
    <t>0719000</t>
  </si>
  <si>
    <t>0719700</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</si>
  <si>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2025-2026 роки</t>
  </si>
  <si>
    <t>Рішення 50-ї сесії Хмельницької міської ради від 05.03.2025 року №3</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</si>
  <si>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  (із змінами)</t>
  </si>
  <si>
    <t>Програма "Безпечна громада на 2025 – 2026 роки" (із змінами)</t>
  </si>
  <si>
    <t>Рішення 54 сесії Хмельницької міської ради від 27.06.2025 року № 16</t>
  </si>
  <si>
    <t>Василь НОВАЧОК</t>
  </si>
  <si>
    <t>Заступник міського голови –
директор департаменту інфраструктури міста</t>
  </si>
  <si>
    <t>бюджету Хмельницької міської територіальної громади  на 2026 рік</t>
  </si>
  <si>
    <r>
      <t xml:space="preserve">Найменування згідно
 з </t>
    </r>
    <r>
      <rPr>
        <b/>
        <u/>
        <sz val="10"/>
        <rFont val="Times New Roman"/>
        <family val="1"/>
        <charset val="204"/>
      </rPr>
      <t>Класифікацією доходів бюджету</t>
    </r>
  </si>
  <si>
    <t>бюджету Хмельницької міської територіальної громади на 2026 рік</t>
  </si>
  <si>
    <t>видатків бюджету Хмельницької міської територіальної громади на 2026 рік</t>
  </si>
  <si>
    <t>бюджету Хмельницької міської територіальної громади у 2026 році</t>
  </si>
  <si>
    <t>МІЖБЮДЖЕТНІ ТРАНСФЕРТИ НА 2026 РІК</t>
  </si>
  <si>
    <t>Обсяги</t>
  </si>
  <si>
    <t>публічних інвестицій бюджету у розрізі інвестиційних проєктів та програм публічних інвестицій</t>
  </si>
  <si>
    <t>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</si>
  <si>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</si>
  <si>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</si>
  <si>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</si>
  <si>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</si>
  <si>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бюджету Хмельницької міської територіальної громади за галузь (сектор) / головного розпорядника коштів бюджету Хмельницької міської територіальної громади / відповідального виконавця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</si>
  <si>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</si>
  <si>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</si>
  <si>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</si>
  <si>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бюджету Хмельницької міської територіальної громади</t>
  </si>
  <si>
    <t>міжбюджетних трансфертів з державного бюджету</t>
  </si>
  <si>
    <t>міжбюджетних трансфертів з інших місцевих бюджетів</t>
  </si>
  <si>
    <t>місцевих запозичень</t>
  </si>
  <si>
    <t>Період реалізації публічного інвестиційного проєкту / програми публічних інвестицій (рік початку і завершення)</t>
  </si>
  <si>
    <t>інших джерел</t>
  </si>
  <si>
    <t>1.1</t>
  </si>
  <si>
    <t>1.2</t>
  </si>
  <si>
    <t>2.1</t>
  </si>
  <si>
    <t>програм у 2026 році</t>
  </si>
  <si>
    <t>на 2026 рік</t>
  </si>
  <si>
    <t>Хмельницької міської територіальної громади у 2026 році</t>
  </si>
  <si>
    <t>Інша діяльність, пов'язана з експлуатацією об'єктів житлово-комунального господарств</t>
  </si>
  <si>
    <t>Програма "Моє укриття" на 2024-2026 роки (із змінами)</t>
  </si>
  <si>
    <t>Утримання та ефективна експлуатація об'єктів житлово-комунального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</si>
  <si>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</si>
  <si>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1213250</t>
  </si>
  <si>
    <t>Програма економічного і соціального розвитку Хмельницької міської територіальної громади на 2026 рік</t>
  </si>
  <si>
    <t>Соціальна сфера</t>
  </si>
  <si>
    <t>Управління праці та соціального захисту населення Хмельницької міської ради</t>
  </si>
  <si>
    <t>Управління житлової політики і майна Хмельницької міської ради</t>
  </si>
  <si>
    <t>2026 рік</t>
  </si>
  <si>
    <t>Програма грантової підтримки інноваційних проєктів для підвищення обороноздатності України на 2026 - 2027 роки</t>
  </si>
  <si>
    <t>Програма розвитку підприємництва Хмельницької міської територіальної громади на 2026 - 2030 роки</t>
  </si>
  <si>
    <t>Програма підтримки Сил безпеки і оборони України на 2026 рік</t>
  </si>
  <si>
    <t>Керівництво і управління у відповідній сфері у містах (місті Києві), селищах, селах, територіальних громадах</t>
  </si>
  <si>
    <t>Програма для забезпечення виконання судових рішень на 2026-2030 роки</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</si>
  <si>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</si>
  <si>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підтримки сім’ї на 2026-2030 роки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</si>
  <si>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</si>
  <si>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заклади та заходи</t>
  </si>
  <si>
    <t>Забезпечення належних умов проживання ветеранів війни (придбання житла)</t>
  </si>
  <si>
    <t>Організація благоустрою населених пунктівв</t>
  </si>
  <si>
    <t>Програма підтримки і розвитку Хмельницького комунального підприємства «Міськсвітло» на 2023-2027 роки (із змінами)</t>
  </si>
  <si>
    <t>1617330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</si>
  <si>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</si>
  <si>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Муніципальна інфраструктура та послуги</t>
  </si>
  <si>
    <t>Управління комунальної інфраструктури Хмельницької міської ради</t>
  </si>
  <si>
    <t>Управління архітектури та містобудування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</si>
  <si>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</si>
  <si>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Транспорт</t>
  </si>
  <si>
    <t>Управління транспорту та зв'язку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</si>
  <si>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</si>
  <si>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1417480</t>
  </si>
  <si>
    <t>7480</t>
  </si>
  <si>
    <t>2026 - 2027 роки</t>
  </si>
  <si>
    <t>Управління капітального будівництва  Хмельницької міської ради</t>
  </si>
  <si>
    <t>Реконструкція під’їзної дороги від вул. Вінницьке шосе до вул. Вінницьке шосе, 18 (індустріальний парк) в м. Хмельницькому</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</si>
  <si>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</si>
  <si>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Освіта і наука</t>
  </si>
  <si>
    <t>Департамент освіти та науки Хмельницької міської ради</t>
  </si>
  <si>
    <t>2025 - 2027 роки</t>
  </si>
  <si>
    <t>Громадська безпека</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</si>
  <si>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</si>
  <si>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1514083</t>
  </si>
  <si>
    <t>4083</t>
  </si>
  <si>
    <t>Культура та інформація</t>
  </si>
  <si>
    <t>2025 - 2028 роки</t>
  </si>
  <si>
    <t>1515070</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</si>
  <si>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</si>
  <si>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Фізична культура і спорт</t>
  </si>
  <si>
    <t>Управління культури і туризму Хмельницької міської ради</t>
  </si>
  <si>
    <t>Управління молоді та спорту Хмельницької міської ради</t>
  </si>
  <si>
    <t>2025 - 2026 роки</t>
  </si>
  <si>
    <t>1513240</t>
  </si>
  <si>
    <t>1513245</t>
  </si>
  <si>
    <t>2024 - 2028 роки</t>
  </si>
  <si>
    <t>2024 - 2027 роки</t>
  </si>
  <si>
    <t>2026 - 2028 роки</t>
  </si>
  <si>
    <t>1516000</t>
  </si>
  <si>
    <t>1516091</t>
  </si>
  <si>
    <t>Програма заходів національного спротиву Хмельницької міської територіальної громади на 2026 рік</t>
  </si>
  <si>
    <t>1917300</t>
  </si>
  <si>
    <t>1917330</t>
  </si>
  <si>
    <t>2023 - 2026 роки</t>
  </si>
  <si>
    <t>Програма цифрового розвитку на 2021-2026 роки (із змінами)</t>
  </si>
  <si>
    <t>Програма охорони довкілля Хмельницької міської територіальної громади на 2026-2030 роки</t>
  </si>
  <si>
    <t xml:space="preserve">	Охорона навколишнього природного середовища</t>
  </si>
  <si>
    <t xml:space="preserve">Надання кредитів підприємствам, установам, організаціям </t>
  </si>
  <si>
    <t>Медіа (засоби масової інформації)</t>
  </si>
  <si>
    <t>Надходження коштів за надлишки загальної житлової площі при приватизації державного житлового фонду</t>
  </si>
  <si>
    <t>Надходження коштів за тимчасове користування місцями для розміщення зовнішньої реклами</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</si>
  <si>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об'єкту містобудування</t>
  </si>
  <si>
    <t>Надходження коштів участі замовників у створенні і розвитку інженерно-транспортної та соціальної інфраструктури Хмельницької міської територіальної громади</t>
  </si>
  <si>
    <t>Вільний залишок коштів на 01.01.2026 року:</t>
  </si>
  <si>
    <t>Програма фінансової підтримки комунальної установи Хмельницької міської ради «Агенція розвитку Хмельницького» на 2026 рік</t>
  </si>
  <si>
    <t>Програма міжнародного співробітництва та промоції Хмельницької міської територіальної громади на 2026-2030 роки</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</si>
  <si>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2026 – 2030 роки</t>
  </si>
  <si>
    <t>Надання загальної середньої освіти спеціалізованими закладами загальної середньої освіти за рахунок коштів місцевого бюджету</t>
  </si>
  <si>
    <r>
      <t xml:space="preserve">1 </t>
    </r>
    <r>
      <rPr>
        <sz val="2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</si>
  <si>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r>
      <t xml:space="preserve">1 </t>
    </r>
    <r>
      <rPr>
        <sz val="1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</si>
  <si>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t>2023 - 2027 роки</t>
  </si>
  <si>
    <t>0613242</t>
  </si>
  <si>
    <t>Надання спеціалізованої освіти мистецькими школамии</t>
  </si>
  <si>
    <t>Програма підтримки книговидання та читацької культури у Хмельницькій міській територіальній громаді на 2026-2030 роки «#ЩодняЧитай українське»</t>
  </si>
  <si>
    <t>Надання пільгових довгострокових кредитів молодим сім'ям та одиноким молодим громадянам на будівництво/реконструкцію/придбання житла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</si>
  <si>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</si>
  <si>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</si>
  <si>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Управління охорони здоров'я Хмельницької міської ради</t>
  </si>
  <si>
    <t>1.3</t>
  </si>
  <si>
    <t>2.2</t>
  </si>
  <si>
    <t>2.3</t>
  </si>
  <si>
    <t>2.4</t>
  </si>
  <si>
    <t>2.5</t>
  </si>
  <si>
    <t>3.1</t>
  </si>
  <si>
    <t>4.1</t>
  </si>
  <si>
    <t>4.2</t>
  </si>
  <si>
    <t>4.3</t>
  </si>
  <si>
    <t>4.4</t>
  </si>
  <si>
    <t>4.5</t>
  </si>
  <si>
    <t>4.6</t>
  </si>
  <si>
    <t>5.1</t>
  </si>
  <si>
    <t>6.1</t>
  </si>
  <si>
    <t>6.2</t>
  </si>
  <si>
    <t>6.3</t>
  </si>
  <si>
    <t>6.4</t>
  </si>
  <si>
    <t>6.5</t>
  </si>
  <si>
    <t>6.6</t>
  </si>
  <si>
    <t>7.1</t>
  </si>
  <si>
    <t>7.2</t>
  </si>
  <si>
    <t>7.3</t>
  </si>
  <si>
    <t>8.1</t>
  </si>
  <si>
    <t>8.2</t>
  </si>
  <si>
    <t>8.3</t>
  </si>
  <si>
    <t>9.1</t>
  </si>
  <si>
    <t>9.2</t>
  </si>
  <si>
    <t>Програма розвитку Хмельницької міської територіальної громади у сфері культури і туризму "Культурний вектор Хмельницької громади" на 2026-2030 роки</t>
  </si>
  <si>
    <t>Капітальний ремонт покрівлі та утеплення фасаду будівлі Хмельницького закладу дошкільної освіти № 18 «Зірочка» Хмельницької міської ради Хмельницької області по вул. Кам'янецька, 65/1, в м. Хмельницький, з метою виконання заходів з енергозбереження та підготовки до опалювального сезону</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</si>
  <si>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</si>
  <si>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Реконструкція існуючих газових мереж з заміною ВОГ теплогенераторної Череповецької філії Іванковецького ліцею Хмельницької міської ради по вул. Центральна, 36 в с. Черепова Хмельницької області</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</si>
  <si>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t>
  </si>
  <si>
    <t>Нове будівництво станції очищення господарсько побутових стічних вод продуктивністю ВІО-ЗІ-150 м3/добу в селищі Богданівці Хмельницького району Хмельницької області</t>
  </si>
  <si>
    <t>Капітальний ремонт системи водовідведення (каналізація) селища Богданівці Хмельницького району, Хмельницької області</t>
  </si>
  <si>
    <t>Нове будівництво мереж водопостачання та водовідведення для мікрорайону "Заріччя" в м. Хмельницькому</t>
  </si>
  <si>
    <t>Програма національно – патріотичного виховання мешканців Хмельницької міської територіальної громади на 2025-2026 роки (із змінами)</t>
  </si>
  <si>
    <t>Нове будівництво мереж дощової каналізації у мікрорайоні "Заріччя" в м. Хмельницькому</t>
  </si>
  <si>
    <t>Нове будівництво житлових вулиць для мікрорайону "Заріччя" в м. Хмельницькому</t>
  </si>
  <si>
    <t>Капітальний ремонт вул. Старокостянтинівське шосе - улаштування закритих водостоків з підключенням до діючих мереж дощової каналізації в м. Хмельницький</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</si>
  <si>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</si>
  <si>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 xml:space="preserve">Реконструкція з добудовою їдальні до існуючого приміщення СЗОШ І-ІІІ ступенів № 8 за адресою вул. Якова Гальчевського, 34 в м.Хмельницькому </t>
  </si>
  <si>
    <t>Капітальний ремонт (з дотриманням вимог по енергозбереженню) конструкції покрівлі головного корпусу комунального підприємства "Хмельницький міський перинатальний центр" Хмельницької міської ради по вул. Пулюя Івана, 6 в м. Хмельницький</t>
  </si>
  <si>
    <t xml:space="preserve">Реставрація Хмельницького міського будинку культури по вул. Проскурівській, 43 в м.Хмельницькому (коригування) </t>
  </si>
  <si>
    <t>Забезпечення житлом багатодітних прийомних сімей (дитячих будинків сімейного типу) в Хмельницькій територіальній громаді</t>
  </si>
  <si>
    <t>Нове будівництво індивідуального житлового будинку садибного типу для ДБСТ на  вул.Стельмаха (кадастровий номер земельної ділянки
№ 6810100000:21:003:0050) в  м. Хмельницькому</t>
  </si>
  <si>
    <t>Капітальний ремонт приміщень будівлі лікувально-оздоровчого комплексу «Г-2»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із впровадженням заходів з енергоефективності</t>
  </si>
  <si>
    <t>Реконструкція будівлі клубу-їдальні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 (коригування)</t>
  </si>
  <si>
    <t>Будівництво Палацу спорту по вул. Прибузькій, 5/1а у м. Хмельницькому (коригування)</t>
  </si>
  <si>
    <t>Нове будівництво вулиці Гетьманської у м.Хмельницькому</t>
  </si>
  <si>
    <t>Нове будівництво зовнішніх мереж  водопостачання та каналізації індустріального парку  "Хмельницький" по вул. Вінницьке шосе, 18 в м.Хмельницькому (коригування)</t>
  </si>
  <si>
    <t>Нове будівництво зовнішніх мереж  електропостачання індустріального парку  "Хмельницький" по  вул.Вінницьке шосе, 18 в м.Хмельницькому (коригування)</t>
  </si>
  <si>
    <t>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t>
  </si>
  <si>
    <t>DREAM-UA-101225-229FE201</t>
  </si>
  <si>
    <t>DREAM-UA-101225-03F93883</t>
  </si>
  <si>
    <t>Реконструкція відділення фізичної реабілітації та неврології комунального підприємства "Хмельницька міська дитяча лікарня" Хмельницької міської ради за адресою: м. Хмельницький, вул.Олега Ольжича,1</t>
  </si>
  <si>
    <t>Капітальний ремонт відділення анестезії та інтенсивної терапії комунального підприємства "Хмельницька інфекційна лікарня" Хмельницької міської ради за адресою: м. Хмельницький, вул. Г. Сковороди, 17</t>
  </si>
  <si>
    <t>Капітальний ремонт (опоряджувалльні роботи) частини приміщень, відділення сумісного перебування матері та дитини (з організацією сімейних полових блоків)  комунального підприємства "Хмельницький міський перинатальний центр" Хмельницької міської ради по вул. Пулюя Івана, 6 в м. Хмельницький</t>
  </si>
  <si>
    <t>Капітальний ремонт другого поверху травматологічного відділення та першого поверху травматологічного пункту та рентгенкабінетів  з облаштуванням центрального входу  корпусу №1 Комунального підприємства «Хмельницька міська лікарня» Хмельницької міської ради за адресою: м. Хмельницький, пров. Проскурівський 1</t>
  </si>
  <si>
    <t>Формування концепції інтегрованого розвитку території Хмельницької міської територіальної громади</t>
  </si>
  <si>
    <t>DREAM-UA-011225-56183114</t>
  </si>
  <si>
    <t>DREAM-UA-031225-0402Е2С8</t>
  </si>
  <si>
    <t>DREAM-UA-261125-4С35В78А</t>
  </si>
  <si>
    <t>DREAM-UA-051225-56С41DC8</t>
  </si>
  <si>
    <t>DREAM-UA-091225-1F7CD293</t>
  </si>
  <si>
    <t>DREAM-UA-051225-25E3F2D2</t>
  </si>
  <si>
    <t>DREAM-UA-061225-197BB4BB</t>
  </si>
  <si>
    <t>DREAM-UA-101225-FAC6C7AA</t>
  </si>
  <si>
    <t>DREAM-UA-241125-В0А44741</t>
  </si>
  <si>
    <t>DREAM-UA-041225-60ВА461В</t>
  </si>
  <si>
    <t>DREAM-UA-051225-С74Е469В</t>
  </si>
  <si>
    <t>DREAM-UA-101225-450540D4</t>
  </si>
  <si>
    <t>DREAM-UA-121225-5C87D9D9</t>
  </si>
  <si>
    <t>DREAM-UA-111225-2E6F492C</t>
  </si>
  <si>
    <t>DREAM-UA-061225-ВА70D8D2</t>
  </si>
  <si>
    <t>DREAM-UA-091225-4DC00B6A</t>
  </si>
  <si>
    <t>DREAM-UA-051225-99934103</t>
  </si>
  <si>
    <t>DREAM-UA-281125-8022DCDD</t>
  </si>
  <si>
    <t>DREAM-UA-011225-8E8D5B4F</t>
  </si>
  <si>
    <t>DREAM-UA-091225-1E84FCD6</t>
  </si>
  <si>
    <t>DREAM-UA-211125-АВ6455В1</t>
  </si>
  <si>
    <t>DREAM-UA-151225-7EFE223B</t>
  </si>
  <si>
    <t>DREAM-UA-051225-3C1F1AA4</t>
  </si>
  <si>
    <t>DREAM-UA-151225-DE7D558C</t>
  </si>
  <si>
    <t>DREAM-UA-151225-D56A3F45</t>
  </si>
  <si>
    <t>DREAM-UA-091225-1АВ779ЕС</t>
  </si>
  <si>
    <t>Комплексне дослідження, розроблення рекомендацій з ревіталізації малих річок (річка Плоска в межах громади)</t>
  </si>
  <si>
    <t>Розроблення схеми екологічної мережі території громади</t>
  </si>
  <si>
    <t xml:space="preserve">Організація і здійснення робіт з екологічної освіти, підготовки кадрів, підвищення кваліфікації та обміну досвідом роботи </t>
  </si>
  <si>
    <t>Виготовлення та розміщення інформаційних листівок, екологічної реклами, відеороликів тощо на тему: «Розумне поводження з відходами»</t>
  </si>
  <si>
    <t>Ліквідація стихійних сміттєзвалищ</t>
  </si>
  <si>
    <t>Нерозподілені видатки</t>
  </si>
  <si>
    <t>6.7</t>
  </si>
  <si>
    <t>Рішення 58-ї сесії Хмельницької міської ради від 18.12.2025 року №2</t>
  </si>
  <si>
    <t>Рішення 58-ї сесії Хмельницької міської ради від 18.12.2025 року №3</t>
  </si>
  <si>
    <t>Рішення 58-ї сесії Хмельницької міської ради від 18.12.2025 року №6</t>
  </si>
  <si>
    <t>Рішення 58-ї сесії Хмельницької міської ради від 18.12.2025 року №11</t>
  </si>
  <si>
    <t xml:space="preserve">Програма «Громадські ініціативи»
Хмельницької міської територіальної громади на 2026-2028 роки </t>
  </si>
  <si>
    <t>Рішення 58-ї сесії Хмельницької міської ради від 18.12.2025 року №15</t>
  </si>
  <si>
    <t>Рішення 58-ї сесії Хмельницької міської ради від 18.12.2025 року №16</t>
  </si>
  <si>
    <t>Рішення 58-ї сесії Хмельницької міської ради від 18.12.2025 року №17</t>
  </si>
  <si>
    <t>Рішення 58-ї сесії Хмельницької міської ради від 18.12.2025 року №18</t>
  </si>
  <si>
    <t>Рішення 58-ї сесії Хмельницької міської ради від 18.12.2025 року №19</t>
  </si>
  <si>
    <t>Рішення 58-ї сесії Хмельницької міської ради від 18.12.2025 року №29</t>
  </si>
  <si>
    <t>Програма соціальної підтримки осіб, які захищали незалежність, суверенітет та територіальну цілісність України, а також членів їх сімей на 2026 – 2029 роки</t>
  </si>
  <si>
    <t>Рішення 58-ї сесії Хмельницької міської ради від 18.12.2025 року №30</t>
  </si>
  <si>
    <t>Рішення 58-ї сесії Хмельницької міської ради від 18.12.2025 року №37</t>
  </si>
  <si>
    <t>Програма розвитку електротранспорту Хмельницької міської територіальної громади  на 2026 - 2030 роки</t>
  </si>
  <si>
    <t>Рішення 58-ї сесії Хмельницької міської ради від 18.12.2025 року №53</t>
  </si>
  <si>
    <t>Рішення 58-ї сесії Хмельницької міської ради від 18.12.2025 року №89</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</si>
  <si>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t>
  </si>
  <si>
    <t>Підготовка кадрів закладами професійної освіти та іншими закладами освіти</t>
  </si>
  <si>
    <t>Підготовка кадрів закладами професійної освіти та іншими закладами освіти за рахунок коштів місцевого бюджету</t>
  </si>
  <si>
    <t>Підготовка кадрів закладами професійної освіти та іншими закладами освіти за рахунок освітньої субвенції</t>
  </si>
  <si>
    <t>Інші заходи та заклади у сфері соціального захисту і соціального забезпечення</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</si>
  <si>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</si>
  <si>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</si>
  <si>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</si>
  <si>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</si>
  <si>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Освітня субвенція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</si>
  <si>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</si>
  <si>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Реалізація програми публічних інвестицій із забезпечення житлом дитячих будинків сімейного типу</t>
  </si>
  <si>
    <t>Забезпечення діяльності місцевих центрів фізичного здоров’я населення та проведення фізкультурно-масових заходів серед населення регіону</t>
  </si>
  <si>
    <t>Регіональний розвиток та інші публічні інвестиційні проекти/програми публічних інвестицій</t>
  </si>
  <si>
    <t>від                       2026 року</t>
  </si>
  <si>
    <t xml:space="preserve">до рішення  №             від             2026 року </t>
  </si>
  <si>
    <t>Додаток 4
до рішення  №               від                      2026 року</t>
  </si>
  <si>
    <t>до рішення №          
від                             2026 року</t>
  </si>
  <si>
    <t xml:space="preserve">Додаток 6
до рішення №         від                          2026 року
</t>
  </si>
  <si>
    <t xml:space="preserve">до рішення  №           від                 2026 року </t>
  </si>
  <si>
    <t xml:space="preserve"> від          .2026 року</t>
  </si>
  <si>
    <t>від                      2026 року</t>
  </si>
  <si>
    <t>Створення та розвиток зеленої інфраструктури (облаштування дощових садів, зелених дахів, луків, міні скверів)</t>
  </si>
  <si>
    <t>Біологічна меліорація водойм</t>
  </si>
  <si>
    <t>Придбання спецтехніки для очищення водойм</t>
  </si>
  <si>
    <t>Здійснення наукового дослідження стану поверхневих вод Хмельницької МТГ та тенденції до його змін за період 2000-2025 роки</t>
  </si>
  <si>
    <t xml:space="preserve">Придбання систем, приладів для здійснення контролю за якістю поверхневих та підземних вод </t>
  </si>
  <si>
    <t>Заходи щодо відновлення і підтримання сприятливого гідрологічного режиму та санітарного стану річок (встановлення меж прибережних захисних смуг поверхневих водних об’єктів)</t>
  </si>
  <si>
    <t>Проведення робіт, пов’язаних з поліпшення технічного стану та благоустрою водойм</t>
  </si>
  <si>
    <t xml:space="preserve">Придбання та впровадження установок, обладнання та машин для збору, транспортування, перероблення, знешкодження та складування побутових відходів </t>
  </si>
  <si>
    <t>Організація і забезпечення робіт з проведення моніторингу довкілля (атмосферного повітря, вод, ґрунтів)</t>
  </si>
  <si>
    <t>Розроблення документації із землеустрою для територій та об’єктів природно-заповідного фонду. Витрати на резервування територій для заповідання</t>
  </si>
  <si>
    <r>
      <t>Виготовлення наукових обґрунтувань об'єктів для заповідання</t>
    </r>
    <r>
      <rPr>
        <sz val="12"/>
        <color indexed="63"/>
        <rFont val="Times New Roman"/>
        <family val="1"/>
        <charset val="204"/>
      </rPr>
      <t xml:space="preserve"> </t>
    </r>
  </si>
  <si>
    <t xml:space="preserve">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 тому числі   встановлення меж в натурі)  </t>
  </si>
  <si>
    <t>Обслуговування та забезпечення функціонування системи моніторингу атмосферного повітря агломерації «Хмельницький»</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</si>
  <si>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</si>
  <si>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1917427</t>
  </si>
  <si>
    <t>7427</t>
  </si>
  <si>
    <t>Підготовка та реалізація публічних інвестиційних проектів/програм публічних інвестицій в галузі (секторі) «Транспорт» за рахунок коштів місцевого бюджету</t>
  </si>
  <si>
    <t>Програма сприяння діяльності Управління державного нагляду (контролю) у Хмельницькій області Державної служби України з безпеки на транспорті на 2026 рік</t>
  </si>
  <si>
    <t>8.4</t>
  </si>
  <si>
    <t>Нове будівництво проїзду від вул. Вінницьке шосе, 18 до Вінницького шосе в м. Хмельницькому</t>
  </si>
  <si>
    <t>DREAM-UA-160226-40807BFB</t>
  </si>
  <si>
    <t>2026 - 2029 роки</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</si>
  <si>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</si>
  <si>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6.8</t>
  </si>
  <si>
    <t>Реконструкція каналізаційних очисних споруд (КОС) та встановлення сонячних електричних панелей (СЕП) у місті Хмельницький в Україні</t>
  </si>
  <si>
    <t>DREAM-UA-210226-1F3CDF85</t>
  </si>
  <si>
    <t>6.9</t>
  </si>
  <si>
    <t>DREAM-UA-230226-34951951</t>
  </si>
  <si>
    <t>Будівництво артезіанської свердловини, водонапірної башти та водогону в с. Малашівці Хмельницького району Хмельницької області (коригування), I черга будівництва</t>
  </si>
  <si>
    <t>DREAM-UA-171225-0108D70E</t>
  </si>
  <si>
    <t>2026 - 2031 роки</t>
  </si>
  <si>
    <t>DREAM-UA-161225-751A9540</t>
  </si>
  <si>
    <t>Нове будівництво мереж теплопостачання для мікрорайону "Заріччя" в м. Хмельницький</t>
  </si>
  <si>
    <t>2026 - 2030 роки</t>
  </si>
  <si>
    <t>Рішення 59-ї сесії Хмельницької міської ради від 04.02.2026 року №1</t>
  </si>
  <si>
    <t>Програма підготовки мешканців Хмельницької міської територіальної громади до національного спротиву на 2026-2027 роки</t>
  </si>
  <si>
    <t>Рішення 60-ї сесії Хмельницької міської ради від 18.02.2026 року №7</t>
  </si>
  <si>
    <t>4.7</t>
  </si>
  <si>
    <t>DREAM-UA-101225-38A1DDE0</t>
  </si>
  <si>
    <t>DREAM-UA-231225-BABE2898</t>
  </si>
  <si>
    <t>Рішення 60-ї сесії Хмельницької міської ради від 18.02.2026 року №23</t>
  </si>
  <si>
    <t>Рішення 60-ї сесії Хмельницької міської ради від 18.02.2026 року №33</t>
  </si>
  <si>
    <t>0611273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</si>
  <si>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</si>
  <si>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</si>
  <si>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1.4</t>
  </si>
  <si>
    <t xml:space="preserve">Капітальний ремонт харчоблоку Комунального закладу загальної середньої освіти "Ліцей №13 Хмельницької міської ради" за адресою: м. Хмельницький, вул. Панаса Мирного, 27/1 </t>
  </si>
  <si>
    <t>DREAM-UA-190226-BAE3393A</t>
  </si>
  <si>
    <t xml:space="preserve">Передача коштів із спеціального до загального фонду бюджету </t>
  </si>
  <si>
    <t>до рішення № 2
 від  26.03.2026 року</t>
  </si>
  <si>
    <t>Рішення 61-ї сесії Хмельницької міської ради від 26.03.2026 року №5</t>
  </si>
  <si>
    <t xml:space="preserve">  - відшкодування витрат ДНЗ «Вище професійне училище № 11 м. Хмельницького» за надання освітніх послуг з вивчення предмету «Захист України» для студентів Хмельницькій гуманітарно-педагогічній академії</t>
  </si>
  <si>
    <t>0813193</t>
  </si>
  <si>
    <t>Програма висвітлення діяльності Хмельницької міської ради та її виконавчих органів на 2026 рік</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</si>
  <si>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2026 рік</t>
  </si>
  <si>
    <t>Рішення 62-ї сесії Хмельницької міської ради від 21.05.2026 року №2</t>
  </si>
  <si>
    <t xml:space="preserve">Зміни обсягів депозитів і цінних паперів, що використовуються для управління ліквідністю </t>
  </si>
  <si>
    <t>Розміщення бюджетних коштів на депозитах</t>
  </si>
  <si>
    <t>Повернення бюджетних коштів з депозитів</t>
  </si>
  <si>
    <t>2816000</t>
  </si>
  <si>
    <t>2816030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</si>
  <si>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 (із змінами)</t>
  </si>
  <si>
    <t>Програма організаційно-практичних заходів щодо комплексної підтримки державної установи «Хмельницький слідчий ізолятор»
на 2026 – 2027 роки</t>
  </si>
  <si>
    <t>Рішення 51-ї сесії Хмельницької міської ради від 27.03.2025 року №2</t>
  </si>
  <si>
    <t>Рішення 54-ї сесії Хмельницької міської ради від 27.06.2025 року №1</t>
  </si>
  <si>
    <t>Рішення 61-ї сесії Хмельницької міської ради від 26.03.2026 року №8</t>
  </si>
  <si>
    <t>Рішення 61-ї сесії Хмельницької міської ради від 26.03.2026 року №46</t>
  </si>
  <si>
    <t>Проведення експертної грошової оцінки земельної ділянки чи права на неїї</t>
  </si>
  <si>
    <t>1517400</t>
  </si>
  <si>
    <t>1517480</t>
  </si>
  <si>
    <t>Нове будівництво проїзду від вулиці Січових стрільців до вулиці Гетьманської
у м. Хмельницькому</t>
  </si>
  <si>
    <t>DREAM-UA-210426-7D8D4044</t>
  </si>
  <si>
    <t>7.4</t>
  </si>
  <si>
    <t>7.5</t>
  </si>
  <si>
    <t>Нове будівництво проїзду від сполучення між вул. Січових стрільців та вул. Гетьманської у м. Хмельницькому</t>
  </si>
  <si>
    <t>DREAM-UA-210426-ECA7B203</t>
  </si>
  <si>
    <t>1517460</t>
  </si>
  <si>
    <t>1517461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</si>
  <si>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(із змінами)</t>
  </si>
  <si>
    <t>Програма підтримки і розвитку спеціалізованого комунального підприємства «Хмельницька міська ритуальна служба»
на 2023 – 2027 роки (із змінами)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</si>
  <si>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</si>
  <si>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</si>
  <si>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РІЗНИЦЯ ДОХОДІВ</t>
  </si>
  <si>
    <t>РІЗНИЦЯ</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</si>
  <si>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2026-2027 роки</t>
  </si>
  <si>
    <t>1419800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</si>
</sst>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212"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1"/>
      <name val="Times New Roman"/>
      <family val="1"/>
      <charset val="204"/>
    </font>
    <font>
      <b/>
      <i/>
      <sz val="11"/>
      <name val="Times New Roman"/>
      <family val="1"/>
      <charset val="204"/>
    </font>
    <font>
      <b/>
      <sz val="11"/>
      <name val="Times New Roman"/>
      <family val="1"/>
      <charset val="204"/>
    </font>
    <font>
      <sz val="11"/>
      <name val="Arial Cyr"/>
      <charset val="204"/>
    </font>
    <font>
      <sz val="14"/>
      <name val="Times New Roman"/>
      <family val="1"/>
      <charset val="204"/>
    </font>
    <font>
      <sz val="11"/>
      <color rgb="FF000000"/>
      <name val="Times New Roman"/>
      <family val="1"/>
      <charset val="204"/>
    </font>
    <font>
      <b/>
      <i/>
      <sz val="12.5"/>
      <color rgb="FFFF0000"/>
      <name val="Times New Roman"/>
      <family val="1"/>
      <charset val="204"/>
    </font>
    <font>
      <sz val="20"/>
      <name val="Times New Roman"/>
      <family val="1"/>
      <charset val="204"/>
    </font>
    <font>
      <vertAlign val="superscript"/>
      <sz val="10"/>
      <name val="Times New Roman"/>
      <family val="1"/>
      <charset val="204"/>
    </font>
    <font>
      <b/>
      <sz val="48"/>
      <color rgb="FFCCFF99"/>
      <name val="Times New Roman Cyr"/>
      <family val="1"/>
      <charset val="204"/>
    </font>
    <font>
      <sz val="36"/>
      <color rgb="FFCCFF99"/>
      <name val="Times New Roman Cyr"/>
      <family val="1"/>
      <charset val="204"/>
    </font>
    <font>
      <b/>
      <sz val="16"/>
      <color rgb="FFCCFF99"/>
      <name val="Times New Roman"/>
      <family val="1"/>
      <charset val="204"/>
    </font>
    <font>
      <sz val="11"/>
      <color rgb="FFFF0000"/>
      <name val="Arial Cyr"/>
      <charset val="204"/>
    </font>
    <font>
      <b/>
      <sz val="18"/>
      <color rgb="FFFF0000"/>
      <name val="Times New Roman"/>
      <family val="1"/>
      <charset val="204"/>
    </font>
    <font>
      <b/>
      <sz val="16"/>
      <name val="Times New Roman"/>
      <family val="1"/>
      <charset val="204"/>
    </font>
    <font>
      <b/>
      <u/>
      <sz val="16"/>
      <name val="Times New Roman"/>
      <family val="1"/>
      <charset val="204"/>
    </font>
    <font>
      <u/>
      <sz val="10"/>
      <name val="Arial Cyr"/>
      <charset val="204"/>
    </font>
    <font>
      <b/>
      <sz val="12"/>
      <name val="Times New Roman"/>
      <family val="1"/>
      <charset val="204"/>
    </font>
    <font>
      <sz val="12"/>
      <name val="Arial Cyr"/>
      <charset val="204"/>
    </font>
    <font>
      <sz val="8"/>
      <name val="Times New Roman"/>
      <family val="1"/>
      <charset val="204"/>
    </font>
    <font>
      <b/>
      <sz val="10"/>
      <name val="Times New Roman"/>
      <family val="1"/>
      <charset val="204"/>
    </font>
    <font>
      <b/>
      <u/>
      <sz val="10"/>
      <name val="Times New Roman"/>
      <family val="1"/>
      <charset val="204"/>
    </font>
    <font>
      <b/>
      <sz val="14"/>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u/>
      <sz val="36"/>
      <name val="Times New Roman"/>
      <family val="1"/>
      <charset val="204"/>
    </font>
    <font>
      <u/>
      <sz val="36"/>
      <name val="Arial Cyr"/>
      <charset val="204"/>
    </font>
    <font>
      <sz val="10"/>
      <name val="Times New Roman CYR"/>
      <charset val="204"/>
    </font>
    <font>
      <u/>
      <sz val="10"/>
      <name val="Times New Roman"/>
      <family val="1"/>
      <charset val="204"/>
    </font>
    <font>
      <b/>
      <sz val="10"/>
      <name val="Times New Roman CYR"/>
      <charset val="204"/>
    </font>
    <font>
      <sz val="22"/>
      <name val="Times New Roman"/>
      <family val="1"/>
      <charset val="204"/>
    </font>
    <font>
      <b/>
      <sz val="18"/>
      <name val="Times New Roman"/>
      <family val="1"/>
      <charset val="204"/>
    </font>
    <font>
      <sz val="12"/>
      <name val="Arial"/>
      <family val="2"/>
      <charset val="204"/>
    </font>
    <font>
      <b/>
      <sz val="12.5"/>
      <name val="Times New Roman"/>
      <family val="1"/>
      <charset val="204"/>
    </font>
    <font>
      <sz val="37"/>
      <color theme="1"/>
      <name val="Times New Roman"/>
      <family val="1"/>
      <charset val="204"/>
    </font>
    <font>
      <b/>
      <i/>
      <sz val="37"/>
      <color rgb="FF00FFCC"/>
      <name val="Times New Roman"/>
      <family val="1"/>
      <charset val="204"/>
    </font>
    <font>
      <i/>
      <sz val="36"/>
      <color theme="1"/>
      <name val="Times New Roman"/>
      <family val="1"/>
      <charset val="204"/>
    </font>
    <font>
      <i/>
      <sz val="37"/>
      <color theme="1"/>
      <name val="Times New Roman"/>
      <family val="1"/>
      <charset val="204"/>
    </font>
    <font>
      <sz val="11"/>
      <color theme="1"/>
      <name val="Times New Roman"/>
      <family val="1"/>
      <charset val="204"/>
    </font>
    <font>
      <b/>
      <i/>
      <sz val="37"/>
      <color theme="1"/>
      <name val="Times New Roman"/>
      <family val="1"/>
      <charset val="204"/>
    </font>
    <font>
      <b/>
      <i/>
      <sz val="36"/>
      <color theme="1"/>
      <name val="Times New Roman"/>
      <family val="1"/>
      <charset val="204"/>
    </font>
    <font>
      <i/>
      <sz val="36"/>
      <name val="Times New Roman"/>
      <family val="1"/>
      <charset val="204"/>
    </font>
    <font>
      <b/>
      <sz val="11"/>
      <color theme="1"/>
      <name val="Times New Roman"/>
      <family val="1"/>
      <charset val="204"/>
    </font>
    <font>
      <b/>
      <i/>
      <sz val="11"/>
      <color theme="1"/>
      <name val="Times New Roman"/>
      <family val="1"/>
      <charset val="204"/>
    </font>
    <font>
      <b/>
      <i/>
      <sz val="37"/>
      <color rgb="FFCCFF66"/>
      <name val="Times New Roman"/>
      <family val="1"/>
      <charset val="204"/>
    </font>
    <font>
      <b/>
      <sz val="37"/>
      <color rgb="FFCCFF66"/>
      <name val="Times New Roman"/>
      <family val="1"/>
      <charset val="204"/>
    </font>
    <font>
      <sz val="12"/>
      <color theme="1"/>
      <name val="Times New Roman"/>
      <family val="1"/>
      <charset val="204"/>
    </font>
    <font>
      <b/>
      <sz val="12"/>
      <color rgb="FFCCFF66"/>
      <name val="Times New Roman"/>
      <family val="1"/>
      <charset val="204"/>
    </font>
    <font>
      <sz val="10"/>
      <color theme="1"/>
      <name val="Times New Roman"/>
      <family val="1"/>
      <charset val="204"/>
    </font>
    <font>
      <b/>
      <i/>
      <sz val="10"/>
      <color theme="1"/>
      <name val="Times New Roman"/>
      <family val="1"/>
      <charset val="204"/>
    </font>
    <font>
      <b/>
      <sz val="10"/>
      <color theme="1"/>
      <name val="Times New Roman"/>
      <family val="1"/>
      <charset val="204"/>
    </font>
    <font>
      <i/>
      <sz val="10"/>
      <color theme="1"/>
      <name val="Times New Roman"/>
      <family val="1"/>
      <charset val="204"/>
    </font>
    <font>
      <i/>
      <sz val="11"/>
      <color theme="1"/>
      <name val="Times New Roman"/>
      <family val="1"/>
      <charset val="204"/>
    </font>
    <font>
      <sz val="12.5"/>
      <name val="Times New Roman"/>
      <family val="1"/>
      <charset val="204"/>
    </font>
    <font>
      <b/>
      <i/>
      <sz val="12.5"/>
      <name val="Times New Roman"/>
      <family val="1"/>
      <charset val="204"/>
    </font>
    <font>
      <b/>
      <sz val="14"/>
      <color rgb="FFCCFF66"/>
      <name val="Times New Roman"/>
      <family val="1"/>
      <charset val="204"/>
    </font>
    <font>
      <sz val="10"/>
      <color rgb="FF00FFCC"/>
      <name val="Times New Roman"/>
      <family val="1"/>
      <charset val="204"/>
    </font>
    <font>
      <b/>
      <sz val="28"/>
      <color rgb="FFCCFF66"/>
      <name val="Times New Roman"/>
      <family val="1"/>
      <charset val="204"/>
    </font>
    <font>
      <b/>
      <sz val="36"/>
      <color rgb="FFCCFF66"/>
      <name val="Times New Roman"/>
      <family val="1"/>
      <charset val="204"/>
    </font>
    <font>
      <i/>
      <sz val="11"/>
      <name val="Times New Roman"/>
      <family val="1"/>
      <charset val="204"/>
    </font>
    <font>
      <b/>
      <sz val="12"/>
      <color rgb="FFCCFF66"/>
      <name val="Times New Roman CYR"/>
      <charset val="204"/>
    </font>
    <font>
      <b/>
      <sz val="72"/>
      <color rgb="FFCCFF66"/>
      <name val="Times New Roman"/>
      <family val="1"/>
      <charset val="204"/>
    </font>
    <font>
      <b/>
      <i/>
      <sz val="10"/>
      <name val="Times New Roman"/>
      <family val="1"/>
      <charset val="204"/>
    </font>
    <font>
      <b/>
      <sz val="48"/>
      <color rgb="FFCCFF66"/>
      <name val="Times New Roman Cyr"/>
      <family val="1"/>
      <charset val="204"/>
    </font>
    <font>
      <b/>
      <sz val="10"/>
      <color rgb="FFCCFF66"/>
      <name val="Times New Roman"/>
      <family val="1"/>
      <charset val="204"/>
    </font>
    <font>
      <i/>
      <sz val="10"/>
      <name val="Times New Roman"/>
      <family val="1"/>
      <charset val="204"/>
    </font>
    <font>
      <sz val="10"/>
      <color theme="1"/>
      <name val="Arial Cyr"/>
      <charset val="204"/>
    </font>
    <font>
      <sz val="8"/>
      <name val="Arial Cyr"/>
      <charset val="204"/>
    </font>
    <font>
      <sz val="12"/>
      <color rgb="FF000000"/>
      <name val="Times New Roman"/>
      <family val="1"/>
      <charset val="204"/>
    </font>
    <font>
      <sz val="12"/>
      <color indexed="63"/>
      <name val="Times New Roman"/>
      <family val="1"/>
      <charset val="204"/>
    </font>
    <font>
      <b/>
      <i/>
      <sz val="12.5"/>
      <color theme="1"/>
      <name val="Times New Roman"/>
      <family val="1"/>
      <charset val="204"/>
    </font>
    <font>
      <b/>
      <sz val="12.5"/>
      <color theme="1"/>
      <name val="Times New Roman"/>
      <family val="1"/>
      <charset val="204"/>
    </font>
    <font>
      <sz val="12.5"/>
      <color theme="1"/>
      <name val="Times New Roman"/>
      <family val="1"/>
      <charset val="204"/>
    </font>
    <font>
      <sz val="10"/>
      <color theme="7" tint="0.59999389629810485"/>
      <name val="Arial Cyr"/>
      <charset val="204"/>
    </font>
  </fonts>
  <fills count="45">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patternFill patternType="solid">
        <fgColor rgb="FFFFAFAF"/>
        <bgColor indexed="64"/>
      </patternFill>
    </fill>
    <fill>
      <gradientFill type="path" left="0.5" right="0.5" top="0.5" bottom="0.5">
        <stop position="0">
          <color theme="0"/>
        </stop>
        <stop position="1">
          <color rgb="FFFFC000"/>
        </stop>
      </gradientFill>
    </fill>
    <fill>
      <gradientFill degree="90">
        <stop position="0">
          <color rgb="FFFFC000"/>
        </stop>
        <stop position="1">
          <color auto="1"/>
        </stop>
      </gradientFill>
    </fill>
    <fill>
      <patternFill patternType="solid">
        <fgColor rgb="FFCCFF66"/>
        <bgColor indexed="64"/>
      </patternFill>
    </fill>
    <fill>
      <gradientFill degree="90">
        <stop position="0">
          <color theme="0"/>
        </stop>
        <stop position="0.5">
          <color rgb="FFCCFF66"/>
        </stop>
        <stop position="1">
          <color theme="0"/>
        </stop>
      </gradientFill>
    </fill>
    <fill>
      <patternFill patternType="solid">
        <fgColor theme="3" tint="0.59999389629810485"/>
        <bgColor indexed="64"/>
      </patternFill>
    </fill>
    <fill>
      <patternFill patternType="solid">
        <fgColor rgb="FF92D05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
      <left/>
      <right/>
      <top/>
      <bottom style="double">
        <color theme="0" tint="-0.499984740745262"/>
      </bottom>
      <diagonal/>
    </border>
  </borders>
  <cellStyleXfs count="188">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3" borderId="0" applyNumberFormat="0" applyBorder="0" applyAlignment="0" applyProtection="0"/>
    <xf numFmtId="0" fontId="41" fillId="2"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17" fillId="2" borderId="1" applyNumberFormat="0" applyAlignment="0" applyProtection="0"/>
    <xf numFmtId="0" fontId="43" fillId="23" borderId="11" applyNumberFormat="0" applyAlignment="0" applyProtection="0"/>
    <xf numFmtId="0" fontId="44" fillId="23" borderId="1" applyNumberFormat="0" applyAlignment="0" applyProtection="0"/>
    <xf numFmtId="0" fontId="40" fillId="0" borderId="0" applyNumberFormat="0" applyFill="0" applyBorder="0" applyAlignment="0" applyProtection="0">
      <alignment vertical="top"/>
      <protection locked="0"/>
    </xf>
    <xf numFmtId="0" fontId="45"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6" fillId="4" borderId="0" applyNumberFormat="0" applyBorder="0" applyAlignment="0" applyProtection="0"/>
    <xf numFmtId="0" fontId="47" fillId="8" borderId="0" applyNumberFormat="0" applyBorder="0" applyAlignment="0" applyProtection="0"/>
    <xf numFmtId="0" fontId="48" fillId="0" borderId="0" applyNumberFormat="0" applyFill="0" applyBorder="0" applyAlignment="0" applyProtection="0"/>
    <xf numFmtId="0" fontId="41"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2"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7" fillId="0" borderId="0"/>
    <xf numFmtId="0" fontId="55"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1"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4" applyNumberFormat="0" applyFill="0" applyAlignment="0" applyProtection="0"/>
    <xf numFmtId="0" fontId="88" fillId="0" borderId="0" applyNumberFormat="0" applyFill="0" applyBorder="0" applyAlignment="0" applyProtection="0"/>
    <xf numFmtId="0" fontId="34" fillId="0" borderId="0"/>
    <xf numFmtId="0" fontId="41" fillId="0" borderId="0"/>
    <xf numFmtId="0" fontId="55" fillId="0" borderId="0"/>
    <xf numFmtId="0" fontId="38" fillId="0" borderId="0"/>
    <xf numFmtId="0" fontId="2" fillId="0" borderId="0"/>
    <xf numFmtId="0" fontId="2" fillId="0" borderId="0"/>
    <xf numFmtId="0" fontId="38" fillId="0" borderId="0"/>
    <xf numFmtId="0" fontId="52" fillId="0" borderId="0"/>
    <xf numFmtId="0" fontId="38" fillId="0" borderId="0"/>
    <xf numFmtId="0" fontId="52" fillId="0" borderId="0"/>
    <xf numFmtId="0" fontId="12" fillId="0" borderId="0"/>
    <xf numFmtId="0" fontId="16" fillId="0" borderId="0"/>
    <xf numFmtId="0" fontId="38" fillId="0" borderId="0"/>
    <xf numFmtId="0" fontId="41" fillId="0" borderId="0"/>
    <xf numFmtId="0" fontId="41" fillId="0" borderId="0"/>
    <xf numFmtId="0" fontId="16" fillId="0" borderId="0"/>
    <xf numFmtId="0" fontId="16" fillId="0" borderId="0"/>
    <xf numFmtId="0" fontId="41" fillId="0" borderId="0"/>
    <xf numFmtId="0" fontId="10" fillId="0" borderId="0"/>
    <xf numFmtId="0" fontId="2" fillId="0" borderId="0"/>
    <xf numFmtId="0" fontId="2" fillId="0" borderId="0"/>
    <xf numFmtId="0" fontId="52" fillId="0" borderId="0"/>
    <xf numFmtId="0" fontId="87"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169" fontId="52"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36">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59" fillId="0" borderId="0" xfId="0" applyFont="1"/>
    <xf numFmtId="0" fontId="67" fillId="0" borderId="0" xfId="0" applyFont="1"/>
    <xf numFmtId="0" fontId="68" fillId="0" borderId="0" xfId="0" applyFont="1"/>
    <xf numFmtId="0" fontId="73" fillId="0" borderId="0" xfId="35" applyFont="1"/>
    <xf numFmtId="0" fontId="74" fillId="0" borderId="0" xfId="35" applyFont="1" applyAlignment="1">
      <alignment horizontal="center" vertical="center"/>
    </xf>
    <xf numFmtId="0" fontId="62" fillId="0" borderId="0" xfId="0" applyFont="1"/>
    <xf numFmtId="2" fontId="76" fillId="0" borderId="0" xfId="36" applyNumberFormat="1" applyFont="1" applyFill="1" applyAlignment="1">
      <alignment horizontal="center" vertical="top"/>
    </xf>
    <xf numFmtId="0" fontId="72" fillId="0" borderId="0" xfId="35" applyFont="1" applyAlignment="1">
      <alignment horizontal="center" vertical="center"/>
    </xf>
    <xf numFmtId="0" fontId="62" fillId="0" borderId="0" xfId="36" applyFont="1">
      <alignment vertical="top"/>
    </xf>
    <xf numFmtId="0" fontId="58" fillId="0" borderId="0" xfId="0" applyFont="1"/>
    <xf numFmtId="0" fontId="50" fillId="0" borderId="0" xfId="0" applyFont="1" applyAlignment="1">
      <alignment horizontal="left" vertical="center"/>
    </xf>
    <xf numFmtId="0" fontId="51" fillId="0" borderId="0" xfId="0" applyFont="1" applyAlignment="1">
      <alignment horizontal="left" vertical="center"/>
    </xf>
    <xf numFmtId="0" fontId="13" fillId="27" borderId="0" xfId="0" applyFont="1" applyFill="1" applyAlignment="1">
      <alignment vertical="center"/>
    </xf>
    <xf numFmtId="0" fontId="30" fillId="27" borderId="0" xfId="0" applyFont="1" applyFill="1" applyAlignment="1">
      <alignment vertical="center"/>
    </xf>
    <xf numFmtId="0" fontId="58" fillId="27" borderId="0" xfId="0" applyFont="1" applyFill="1"/>
    <xf numFmtId="0" fontId="0" fillId="27" borderId="0" xfId="0" applyFill="1"/>
    <xf numFmtId="0" fontId="30" fillId="27" borderId="0" xfId="0" applyFont="1" applyFill="1" applyAlignment="1">
      <alignment horizontal="right" vertical="center"/>
    </xf>
    <xf numFmtId="0" fontId="61" fillId="27" borderId="0" xfId="38" applyFont="1" applyFill="1" applyBorder="1" applyAlignment="1" applyProtection="1">
      <alignment horizontal="center" vertical="center" wrapText="1"/>
      <protection locked="0"/>
    </xf>
    <xf numFmtId="0" fontId="15" fillId="27" borderId="0" xfId="0" applyFont="1" applyFill="1"/>
    <xf numFmtId="0" fontId="59" fillId="27" borderId="0" xfId="0" applyFont="1" applyFill="1"/>
    <xf numFmtId="4" fontId="29" fillId="27" borderId="0" xfId="0" applyNumberFormat="1" applyFont="1" applyFill="1" applyAlignment="1">
      <alignment horizontal="left" vertical="center"/>
    </xf>
    <xf numFmtId="4" fontId="66" fillId="27" borderId="0" xfId="0" applyNumberFormat="1" applyFont="1" applyFill="1" applyAlignment="1">
      <alignment horizontal="left" vertical="center"/>
    </xf>
    <xf numFmtId="0" fontId="84" fillId="27" borderId="0" xfId="0" applyFont="1" applyFill="1"/>
    <xf numFmtId="4" fontId="71" fillId="27" borderId="0" xfId="0" applyNumberFormat="1" applyFont="1" applyFill="1" applyAlignment="1">
      <alignment horizontal="left" vertical="center"/>
    </xf>
    <xf numFmtId="4" fontId="57" fillId="27" borderId="0" xfId="0" applyNumberFormat="1" applyFont="1" applyFill="1" applyAlignment="1">
      <alignment horizontal="left" vertical="center"/>
    </xf>
    <xf numFmtId="4" fontId="60" fillId="27" borderId="0" xfId="0" applyNumberFormat="1" applyFont="1" applyFill="1" applyAlignment="1">
      <alignment horizontal="left" vertical="center"/>
    </xf>
    <xf numFmtId="4" fontId="86" fillId="27" borderId="0" xfId="0" applyNumberFormat="1" applyFont="1" applyFill="1" applyAlignment="1">
      <alignment horizontal="left" vertical="center"/>
    </xf>
    <xf numFmtId="0" fontId="36" fillId="27" borderId="0" xfId="0" applyFont="1" applyFill="1"/>
    <xf numFmtId="4" fontId="78" fillId="27" borderId="0" xfId="0" applyNumberFormat="1" applyFont="1" applyFill="1" applyAlignment="1">
      <alignment horizontal="left" vertical="center"/>
    </xf>
    <xf numFmtId="4" fontId="61" fillId="27" borderId="0" xfId="0" applyNumberFormat="1" applyFont="1" applyFill="1" applyAlignment="1">
      <alignment horizontal="left" vertical="center"/>
    </xf>
    <xf numFmtId="0" fontId="67" fillId="27" borderId="0" xfId="0" applyFont="1" applyFill="1"/>
    <xf numFmtId="4" fontId="30" fillId="27" borderId="0" xfId="0" applyNumberFormat="1" applyFont="1" applyFill="1" applyAlignment="1">
      <alignment horizontal="left" vertical="center"/>
    </xf>
    <xf numFmtId="4" fontId="39" fillId="27" borderId="0" xfId="0" applyNumberFormat="1" applyFont="1" applyFill="1"/>
    <xf numFmtId="4" fontId="69" fillId="27" borderId="0" xfId="0" applyNumberFormat="1" applyFont="1" applyFill="1" applyAlignment="1">
      <alignment horizontal="left" vertical="center"/>
    </xf>
    <xf numFmtId="4" fontId="85" fillId="27" borderId="0" xfId="0" applyNumberFormat="1" applyFont="1" applyFill="1" applyAlignment="1">
      <alignment horizontal="left" vertical="center"/>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4" fontId="31" fillId="27" borderId="0" xfId="0" applyNumberFormat="1" applyFont="1" applyFill="1" applyAlignment="1">
      <alignment horizontal="center" vertical="center" wrapText="1"/>
    </xf>
    <xf numFmtId="4" fontId="31" fillId="27" borderId="0" xfId="0" applyNumberFormat="1" applyFont="1" applyFill="1" applyAlignment="1">
      <alignment horizontal="left" vertical="center" wrapText="1"/>
    </xf>
    <xf numFmtId="4" fontId="65" fillId="27" borderId="0" xfId="0" applyNumberFormat="1" applyFont="1" applyFill="1" applyAlignment="1">
      <alignment horizontal="center" vertical="center" wrapText="1"/>
    </xf>
    <xf numFmtId="4" fontId="32" fillId="27" borderId="0" xfId="0" applyNumberFormat="1" applyFont="1" applyFill="1" applyAlignment="1">
      <alignment horizontal="left" vertical="center" wrapText="1"/>
    </xf>
    <xf numFmtId="4" fontId="32" fillId="27" borderId="0" xfId="0" applyNumberFormat="1" applyFont="1" applyFill="1" applyAlignment="1">
      <alignment horizontal="center" vertical="center" wrapText="1"/>
    </xf>
    <xf numFmtId="4" fontId="65" fillId="27" borderId="0" xfId="0" applyNumberFormat="1" applyFont="1" applyFill="1" applyAlignment="1">
      <alignment horizontal="left" vertical="center" wrapText="1"/>
    </xf>
    <xf numFmtId="4" fontId="77" fillId="27" borderId="0" xfId="0" applyNumberFormat="1" applyFont="1" applyFill="1" applyAlignment="1">
      <alignment horizontal="left" vertical="center" wrapText="1"/>
    </xf>
    <xf numFmtId="4" fontId="83" fillId="27" borderId="0" xfId="0" applyNumberFormat="1" applyFont="1" applyFill="1" applyAlignment="1">
      <alignment horizontal="left" vertical="center" wrapText="1"/>
    </xf>
    <xf numFmtId="4" fontId="79" fillId="27" borderId="0" xfId="0" applyNumberFormat="1" applyFont="1" applyFill="1" applyAlignment="1">
      <alignment horizontal="left" vertical="center" wrapText="1"/>
    </xf>
    <xf numFmtId="4" fontId="80" fillId="27" borderId="0" xfId="0" applyNumberFormat="1" applyFont="1" applyFill="1" applyAlignment="1">
      <alignment horizontal="center" vertical="center" wrapText="1"/>
    </xf>
    <xf numFmtId="4" fontId="49" fillId="27" borderId="0" xfId="0" applyNumberFormat="1" applyFont="1" applyFill="1" applyAlignment="1">
      <alignment vertical="center"/>
    </xf>
    <xf numFmtId="4" fontId="61" fillId="27" borderId="0" xfId="0" applyNumberFormat="1" applyFont="1" applyFill="1" applyAlignment="1">
      <alignment horizontal="center" vertical="center"/>
    </xf>
    <xf numFmtId="0" fontId="14" fillId="27" borderId="0" xfId="0" applyFont="1" applyFill="1" applyAlignment="1">
      <alignment vertical="center"/>
    </xf>
    <xf numFmtId="0" fontId="81" fillId="27" borderId="0" xfId="0" applyFont="1" applyFill="1" applyAlignment="1">
      <alignment vertical="center"/>
    </xf>
    <xf numFmtId="4" fontId="14" fillId="27" borderId="0" xfId="0" applyNumberFormat="1" applyFont="1" applyFill="1" applyAlignment="1">
      <alignment vertical="center"/>
    </xf>
    <xf numFmtId="4" fontId="13" fillId="27" borderId="0" xfId="0" applyNumberFormat="1" applyFont="1" applyFill="1" applyAlignment="1">
      <alignment vertical="center"/>
    </xf>
    <xf numFmtId="0" fontId="82" fillId="27" borderId="0" xfId="0" applyFont="1" applyFill="1" applyAlignment="1">
      <alignment vertical="center"/>
    </xf>
    <xf numFmtId="4" fontId="53" fillId="27" borderId="0" xfId="0" applyNumberFormat="1" applyFont="1" applyFill="1" applyAlignment="1">
      <alignment vertical="center"/>
    </xf>
    <xf numFmtId="168" fontId="37" fillId="27" borderId="0" xfId="0" applyNumberFormat="1" applyFont="1" applyFill="1" applyAlignment="1">
      <alignment vertical="center"/>
    </xf>
    <xf numFmtId="4" fontId="29" fillId="28" borderId="0" xfId="36" applyNumberFormat="1" applyFont="1" applyFill="1" applyBorder="1" applyAlignment="1">
      <alignment horizontal="center" vertical="center" wrapText="1"/>
    </xf>
    <xf numFmtId="4" fontId="70" fillId="27" borderId="0" xfId="0" applyNumberFormat="1" applyFont="1" applyFill="1" applyAlignment="1">
      <alignment vertical="center"/>
    </xf>
    <xf numFmtId="0" fontId="29" fillId="27" borderId="0" xfId="0" applyFont="1" applyFill="1" applyAlignment="1">
      <alignment horizontal="right" vertical="center"/>
    </xf>
    <xf numFmtId="0" fontId="53" fillId="27" borderId="0" xfId="0" applyFont="1" applyFill="1" applyAlignment="1">
      <alignment vertical="center"/>
    </xf>
    <xf numFmtId="4" fontId="56" fillId="27" borderId="0" xfId="0" applyNumberFormat="1" applyFont="1" applyFill="1" applyAlignment="1">
      <alignment vertical="center"/>
    </xf>
    <xf numFmtId="4" fontId="37" fillId="27" borderId="0" xfId="0" applyNumberFormat="1" applyFont="1" applyFill="1" applyAlignment="1">
      <alignment vertical="center"/>
    </xf>
    <xf numFmtId="0" fontId="54" fillId="27" borderId="0" xfId="0" applyFont="1" applyFill="1"/>
    <xf numFmtId="10" fontId="37" fillId="27" borderId="0" xfId="0" applyNumberFormat="1" applyFont="1" applyFill="1" applyAlignment="1">
      <alignment vertical="center"/>
    </xf>
    <xf numFmtId="0" fontId="37" fillId="27" borderId="0" xfId="0" applyFont="1" applyFill="1" applyAlignment="1">
      <alignment vertical="center"/>
    </xf>
    <xf numFmtId="4" fontId="61" fillId="27" borderId="15" xfId="0" applyNumberFormat="1" applyFont="1" applyFill="1" applyBorder="1" applyAlignment="1">
      <alignment horizontal="center" vertical="center" wrapText="1"/>
    </xf>
    <xf numFmtId="2" fontId="75" fillId="27"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0" fillId="27" borderId="0" xfId="0" applyNumberFormat="1" applyFont="1" applyFill="1" applyAlignment="1">
      <alignment vertical="center"/>
    </xf>
    <xf numFmtId="0" fontId="89" fillId="0" borderId="0" xfId="0" applyFont="1"/>
    <xf numFmtId="0" fontId="89" fillId="27" borderId="0" xfId="0" applyFont="1" applyFill="1"/>
    <xf numFmtId="4" fontId="92" fillId="27" borderId="0" xfId="0" applyNumberFormat="1" applyFont="1" applyFill="1"/>
    <xf numFmtId="4" fontId="91" fillId="27" borderId="0" xfId="0" applyNumberFormat="1" applyFont="1" applyFill="1" applyAlignment="1">
      <alignment horizontal="center" vertical="center"/>
    </xf>
    <xf numFmtId="4" fontId="93" fillId="28" borderId="15" xfId="0" applyNumberFormat="1" applyFont="1" applyFill="1" applyBorder="1" applyAlignment="1">
      <alignment horizontal="center" vertical="center"/>
    </xf>
    <xf numFmtId="4" fontId="94" fillId="27" borderId="0" xfId="0" applyNumberFormat="1" applyFont="1" applyFill="1" applyAlignment="1">
      <alignment vertical="center"/>
    </xf>
    <xf numFmtId="4" fontId="95" fillId="27" borderId="0" xfId="0" applyNumberFormat="1" applyFont="1" applyFill="1" applyAlignment="1">
      <alignment vertical="center"/>
    </xf>
    <xf numFmtId="0" fontId="96" fillId="27" borderId="0" xfId="0" applyFont="1" applyFill="1" applyAlignment="1">
      <alignment vertical="center"/>
    </xf>
    <xf numFmtId="0" fontId="97" fillId="27" borderId="0" xfId="0" applyFont="1" applyFill="1" applyAlignment="1">
      <alignment vertical="center"/>
    </xf>
    <xf numFmtId="166" fontId="98" fillId="27" borderId="0" xfId="0" applyNumberFormat="1" applyFont="1" applyFill="1" applyAlignment="1">
      <alignment horizontal="right" vertical="center" wrapText="1"/>
    </xf>
    <xf numFmtId="166" fontId="99" fillId="27" borderId="0" xfId="0" applyNumberFormat="1" applyFont="1" applyFill="1" applyAlignment="1">
      <alignment horizontal="right" vertical="center" wrapText="1"/>
    </xf>
    <xf numFmtId="0" fontId="99" fillId="27" borderId="0" xfId="0" applyFont="1" applyFill="1" applyAlignment="1">
      <alignment vertical="center"/>
    </xf>
    <xf numFmtId="0" fontId="98" fillId="27" borderId="0" xfId="0" applyFont="1" applyFill="1" applyAlignment="1">
      <alignment vertical="center"/>
    </xf>
    <xf numFmtId="4" fontId="98" fillId="27" borderId="0" xfId="0" applyNumberFormat="1" applyFont="1" applyFill="1" applyAlignment="1">
      <alignment vertical="center"/>
    </xf>
    <xf numFmtId="2" fontId="100" fillId="27" borderId="0" xfId="0" applyNumberFormat="1" applyFont="1" applyFill="1" applyAlignment="1">
      <alignment horizontal="center" vertical="center"/>
    </xf>
    <xf numFmtId="0" fontId="75" fillId="0" borderId="0" xfId="36" applyFont="1">
      <alignment vertical="top"/>
    </xf>
    <xf numFmtId="49" fontId="30" fillId="0" borderId="15" xfId="0" applyNumberFormat="1" applyFont="1" applyBorder="1" applyAlignment="1">
      <alignment horizontal="center" vertical="center" wrapText="1"/>
    </xf>
    <xf numFmtId="0" fontId="72" fillId="0" borderId="0" xfId="39" applyFont="1"/>
    <xf numFmtId="0" fontId="64" fillId="0" borderId="0" xfId="39" applyFont="1" applyAlignment="1">
      <alignment wrapText="1"/>
    </xf>
    <xf numFmtId="0" fontId="104" fillId="0" borderId="0" xfId="39" applyFont="1" applyAlignment="1">
      <alignment wrapText="1"/>
    </xf>
    <xf numFmtId="0" fontId="105" fillId="0" borderId="0" xfId="39" applyFont="1" applyAlignment="1">
      <alignment wrapText="1"/>
    </xf>
    <xf numFmtId="0" fontId="72" fillId="0" borderId="0" xfId="39" applyFont="1" applyAlignment="1">
      <alignment wrapText="1"/>
    </xf>
    <xf numFmtId="0" fontId="108" fillId="0" borderId="0" xfId="39" applyFont="1" applyAlignment="1">
      <alignment wrapText="1"/>
    </xf>
    <xf numFmtId="4" fontId="106" fillId="27" borderId="23" xfId="39" applyNumberFormat="1" applyFont="1" applyFill="1" applyBorder="1" applyAlignment="1">
      <alignment horizontal="center" vertical="center" wrapText="1"/>
    </xf>
    <xf numFmtId="4" fontId="107" fillId="27" borderId="23" xfId="39" applyNumberFormat="1" applyFont="1" applyFill="1" applyBorder="1" applyAlignment="1">
      <alignment horizontal="center" vertical="center" wrapText="1"/>
    </xf>
    <xf numFmtId="0" fontId="72" fillId="0" borderId="0" xfId="39" applyFont="1" applyAlignment="1">
      <alignment vertical="center"/>
    </xf>
    <xf numFmtId="4" fontId="72" fillId="0" borderId="0" xfId="39" applyNumberFormat="1" applyFont="1"/>
    <xf numFmtId="0" fontId="101" fillId="0" borderId="0" xfId="0" applyFont="1" applyAlignment="1">
      <alignment horizontal="justify" vertical="center"/>
    </xf>
    <xf numFmtId="0" fontId="102" fillId="0" borderId="0" xfId="39" applyFont="1"/>
    <xf numFmtId="4" fontId="58" fillId="27" borderId="0" xfId="0" applyNumberFormat="1" applyFont="1" applyFill="1"/>
    <xf numFmtId="4" fontId="58" fillId="0" borderId="0" xfId="0" applyNumberFormat="1" applyFont="1"/>
    <xf numFmtId="0" fontId="72" fillId="27" borderId="23" xfId="0" applyFont="1" applyFill="1" applyBorder="1" applyAlignment="1">
      <alignment horizontal="center" vertical="center" wrapText="1"/>
    </xf>
    <xf numFmtId="0" fontId="72" fillId="27" borderId="23" xfId="0" applyFont="1" applyFill="1" applyBorder="1" applyAlignment="1">
      <alignment horizontal="left" vertical="center" wrapText="1"/>
    </xf>
    <xf numFmtId="4" fontId="72" fillId="27" borderId="23" xfId="0" applyNumberFormat="1" applyFont="1" applyFill="1" applyBorder="1" applyAlignment="1">
      <alignment horizontal="center" vertical="center" wrapText="1"/>
    </xf>
    <xf numFmtId="4" fontId="59" fillId="27" borderId="0" xfId="0" applyNumberFormat="1" applyFont="1" applyFill="1"/>
    <xf numFmtId="4" fontId="59" fillId="0" borderId="0" xfId="0" applyNumberFormat="1" applyFont="1"/>
    <xf numFmtId="0" fontId="72" fillId="0" borderId="0" xfId="0" applyFont="1"/>
    <xf numFmtId="0" fontId="61" fillId="0" borderId="0" xfId="0" applyFont="1"/>
    <xf numFmtId="49" fontId="57" fillId="0" borderId="15" xfId="0" applyNumberFormat="1" applyFont="1" applyBorder="1" applyAlignment="1">
      <alignment horizontal="center" vertical="center" wrapText="1"/>
    </xf>
    <xf numFmtId="49" fontId="61" fillId="27" borderId="0" xfId="0" applyNumberFormat="1" applyFont="1" applyFill="1" applyAlignment="1">
      <alignment horizontal="center" vertical="center" wrapText="1"/>
    </xf>
    <xf numFmtId="4" fontId="65" fillId="0" borderId="15" xfId="0" applyNumberFormat="1" applyFont="1" applyBorder="1" applyAlignment="1">
      <alignment horizontal="center" vertical="center" wrapText="1"/>
    </xf>
    <xf numFmtId="49" fontId="61" fillId="0" borderId="15" xfId="0" applyNumberFormat="1" applyFont="1" applyBorder="1" applyAlignment="1">
      <alignment horizontal="center" vertical="center" wrapText="1"/>
    </xf>
    <xf numFmtId="4" fontId="62" fillId="0" borderId="15" xfId="38" applyNumberFormat="1" applyFont="1" applyFill="1" applyBorder="1" applyAlignment="1" applyProtection="1">
      <alignment horizontal="center" vertical="center" wrapText="1"/>
      <protection locked="0"/>
    </xf>
    <xf numFmtId="4" fontId="62" fillId="0" borderId="15" xfId="38" applyNumberFormat="1" applyFont="1" applyFill="1" applyBorder="1" applyAlignment="1">
      <alignment horizontal="center" vertical="center" wrapText="1"/>
    </xf>
    <xf numFmtId="4" fontId="65" fillId="0" borderId="15" xfId="38" applyNumberFormat="1" applyFont="1" applyFill="1" applyBorder="1" applyAlignment="1">
      <alignment horizontal="center" vertical="center" wrapText="1"/>
    </xf>
    <xf numFmtId="4" fontId="62" fillId="0" borderId="15" xfId="0" applyNumberFormat="1" applyFont="1" applyBorder="1" applyAlignment="1">
      <alignment horizontal="center" vertical="center"/>
    </xf>
    <xf numFmtId="0" fontId="103" fillId="27" borderId="0" xfId="0" applyFont="1" applyFill="1"/>
    <xf numFmtId="4" fontId="62" fillId="0" borderId="15" xfId="0" applyNumberFormat="1" applyFont="1" applyBorder="1" applyAlignment="1">
      <alignment horizontal="center" vertical="center" wrapText="1"/>
    </xf>
    <xf numFmtId="0" fontId="106" fillId="27" borderId="0" xfId="0" applyFont="1" applyFill="1"/>
    <xf numFmtId="49" fontId="60" fillId="0" borderId="15" xfId="0" applyNumberFormat="1" applyFont="1" applyBorder="1" applyAlignment="1">
      <alignment horizontal="center" vertical="center" wrapText="1"/>
    </xf>
    <xf numFmtId="4" fontId="77" fillId="0" borderId="15" xfId="0" applyNumberFormat="1" applyFont="1" applyBorder="1" applyAlignment="1">
      <alignment horizontal="center" vertical="center" wrapText="1"/>
    </xf>
    <xf numFmtId="0" fontId="107" fillId="27" borderId="0" xfId="0" applyFont="1" applyFill="1"/>
    <xf numFmtId="0" fontId="72" fillId="27" borderId="0" xfId="0" applyFont="1" applyFill="1"/>
    <xf numFmtId="49" fontId="86" fillId="0" borderId="15" xfId="0" applyNumberFormat="1" applyFont="1" applyBorder="1" applyAlignment="1">
      <alignment horizontal="center" vertical="center" wrapText="1"/>
    </xf>
    <xf numFmtId="4" fontId="109" fillId="0" borderId="15" xfId="0" applyNumberFormat="1" applyFont="1" applyBorder="1" applyAlignment="1">
      <alignment horizontal="center" vertical="center" wrapText="1"/>
    </xf>
    <xf numFmtId="4" fontId="110" fillId="27" borderId="0" xfId="0" applyNumberFormat="1" applyFont="1" applyFill="1" applyAlignment="1">
      <alignment horizontal="center" vertical="center"/>
    </xf>
    <xf numFmtId="4" fontId="68" fillId="27" borderId="0" xfId="0" applyNumberFormat="1" applyFont="1" applyFill="1"/>
    <xf numFmtId="49" fontId="86" fillId="27" borderId="15" xfId="0" applyNumberFormat="1" applyFont="1" applyFill="1" applyBorder="1" applyAlignment="1">
      <alignment horizontal="center" vertical="center" wrapText="1"/>
    </xf>
    <xf numFmtId="4" fontId="109" fillId="27" borderId="15" xfId="0" applyNumberFormat="1" applyFont="1" applyFill="1" applyBorder="1" applyAlignment="1">
      <alignment horizontal="center" vertical="center" wrapText="1"/>
    </xf>
    <xf numFmtId="49" fontId="57" fillId="27" borderId="15" xfId="0" applyNumberFormat="1" applyFont="1" applyFill="1" applyBorder="1" applyAlignment="1">
      <alignment horizontal="center" vertical="center" wrapText="1"/>
    </xf>
    <xf numFmtId="49" fontId="60" fillId="27" borderId="15" xfId="0" applyNumberFormat="1" applyFont="1" applyFill="1" applyBorder="1" applyAlignment="1">
      <alignment horizontal="center" vertical="center" wrapText="1"/>
    </xf>
    <xf numFmtId="4" fontId="77" fillId="27" borderId="15" xfId="0" applyNumberFormat="1" applyFont="1" applyFill="1" applyBorder="1" applyAlignment="1">
      <alignment horizontal="center" vertical="center" wrapText="1"/>
    </xf>
    <xf numFmtId="0" fontId="112" fillId="27" borderId="0" xfId="0" applyFont="1" applyFill="1"/>
    <xf numFmtId="4" fontId="62" fillId="27" borderId="0" xfId="0" applyNumberFormat="1" applyFont="1" applyFill="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0" fontId="86" fillId="0" borderId="15" xfId="38" applyFont="1" applyFill="1" applyBorder="1" applyAlignment="1" applyProtection="1">
      <alignment horizontal="center" vertical="center" wrapText="1"/>
      <protection locked="0"/>
    </xf>
    <xf numFmtId="0" fontId="61" fillId="0" borderId="0" xfId="38" applyFont="1" applyFill="1" applyBorder="1" applyAlignment="1" applyProtection="1">
      <alignment horizontal="center" wrapText="1"/>
      <protection locked="0"/>
    </xf>
    <xf numFmtId="0" fontId="61" fillId="0" borderId="17" xfId="38" applyFont="1" applyFill="1" applyBorder="1" applyAlignment="1" applyProtection="1">
      <alignment horizontal="center" vertical="top" wrapText="1"/>
      <protection locked="0"/>
    </xf>
    <xf numFmtId="4" fontId="109" fillId="27" borderId="0" xfId="0" applyNumberFormat="1" applyFont="1" applyFill="1" applyAlignment="1">
      <alignment horizontal="center" vertical="center" wrapText="1"/>
    </xf>
    <xf numFmtId="4" fontId="109" fillId="0" borderId="15" xfId="38" applyNumberFormat="1" applyFont="1" applyFill="1" applyBorder="1" applyAlignment="1" applyProtection="1">
      <alignment horizontal="center" vertical="center" wrapText="1"/>
      <protection locked="0"/>
    </xf>
    <xf numFmtId="4" fontId="77" fillId="0" borderId="15" xfId="38" applyNumberFormat="1" applyFont="1" applyFill="1" applyBorder="1" applyAlignment="1" applyProtection="1">
      <alignment horizontal="center" vertical="center" wrapText="1"/>
      <protection locked="0"/>
    </xf>
    <xf numFmtId="4" fontId="65" fillId="27" borderId="15" xfId="38" applyNumberFormat="1" applyFont="1" applyFill="1" applyBorder="1" applyAlignment="1" applyProtection="1">
      <alignment horizontal="center" vertical="center" wrapText="1"/>
      <protection locked="0"/>
    </xf>
    <xf numFmtId="4" fontId="62" fillId="27" borderId="15" xfId="38" applyNumberFormat="1" applyFont="1" applyFill="1" applyBorder="1" applyAlignment="1" applyProtection="1">
      <alignment horizontal="center" vertical="center" wrapText="1"/>
      <protection locked="0"/>
    </xf>
    <xf numFmtId="0" fontId="101" fillId="27" borderId="0" xfId="0" applyFont="1" applyFill="1"/>
    <xf numFmtId="0" fontId="61" fillId="27" borderId="0" xfId="38" applyFont="1" applyFill="1" applyBorder="1" applyAlignment="1" applyProtection="1">
      <alignment horizontal="center" wrapText="1"/>
      <protection locked="0"/>
    </xf>
    <xf numFmtId="0" fontId="61" fillId="27" borderId="17" xfId="38" applyFont="1" applyFill="1" applyBorder="1" applyAlignment="1" applyProtection="1">
      <alignment horizontal="center" vertical="top" wrapText="1"/>
      <protection locked="0"/>
    </xf>
    <xf numFmtId="4" fontId="60" fillId="0" borderId="15" xfId="38" applyNumberFormat="1" applyFont="1" applyFill="1" applyBorder="1" applyAlignment="1" applyProtection="1">
      <alignment horizontal="center" vertical="center" wrapText="1"/>
      <protection locked="0"/>
    </xf>
    <xf numFmtId="0" fontId="60" fillId="0" borderId="15" xfId="0" applyFont="1" applyBorder="1" applyAlignment="1">
      <alignment horizontal="center" vertical="center" wrapText="1"/>
    </xf>
    <xf numFmtId="0" fontId="86" fillId="0" borderId="15" xfId="0" applyFont="1" applyBorder="1" applyAlignment="1">
      <alignment horizontal="center" vertical="center" wrapText="1"/>
    </xf>
    <xf numFmtId="0" fontId="113" fillId="0" borderId="0" xfId="0" applyFont="1" applyAlignment="1">
      <alignment horizontal="left" vertical="center"/>
    </xf>
    <xf numFmtId="0" fontId="114" fillId="0" borderId="0" xfId="0" applyFont="1" applyAlignment="1">
      <alignment horizontal="left" vertical="center"/>
    </xf>
    <xf numFmtId="0" fontId="72" fillId="0" borderId="0" xfId="35" applyFont="1"/>
    <xf numFmtId="0" fontId="73" fillId="0" borderId="9" xfId="35" applyFont="1" applyBorder="1"/>
    <xf numFmtId="0" fontId="73" fillId="0" borderId="10" xfId="35" applyFont="1" applyBorder="1"/>
    <xf numFmtId="0" fontId="105" fillId="0" borderId="0" xfId="35" applyFont="1"/>
    <xf numFmtId="0" fontId="115" fillId="0" borderId="0" xfId="35" applyFont="1"/>
    <xf numFmtId="0" fontId="64" fillId="0" borderId="0" xfId="35" applyFont="1" applyAlignment="1">
      <alignment horizontal="center" vertical="center" wrapText="1"/>
    </xf>
    <xf numFmtId="4" fontId="104" fillId="0" borderId="0" xfId="35" applyNumberFormat="1" applyFont="1" applyAlignment="1">
      <alignment horizontal="center" vertical="center"/>
    </xf>
    <xf numFmtId="0" fontId="116" fillId="0" borderId="0" xfId="0" applyFont="1" applyAlignment="1">
      <alignment vertical="center"/>
    </xf>
    <xf numFmtId="4" fontId="117" fillId="0" borderId="0" xfId="0" applyNumberFormat="1" applyFont="1" applyAlignment="1">
      <alignment vertical="center"/>
    </xf>
    <xf numFmtId="4" fontId="118" fillId="0" borderId="0" xfId="0" applyNumberFormat="1" applyFont="1" applyAlignment="1">
      <alignment vertical="center"/>
    </xf>
    <xf numFmtId="0" fontId="118" fillId="0" borderId="0" xfId="0" applyFont="1" applyAlignment="1">
      <alignment vertical="center"/>
    </xf>
    <xf numFmtId="4" fontId="116" fillId="0" borderId="0" xfId="0" applyNumberFormat="1" applyFont="1" applyAlignment="1">
      <alignment vertical="center"/>
    </xf>
    <xf numFmtId="0" fontId="117" fillId="0" borderId="0" xfId="0" applyFont="1" applyAlignment="1">
      <alignment vertical="center"/>
    </xf>
    <xf numFmtId="0" fontId="119" fillId="0" borderId="0" xfId="35" applyFont="1"/>
    <xf numFmtId="0" fontId="62" fillId="0" borderId="0" xfId="35" applyFont="1"/>
    <xf numFmtId="0" fontId="120" fillId="0" borderId="0" xfId="35" applyFont="1"/>
    <xf numFmtId="0" fontId="81" fillId="0" borderId="0" xfId="0" applyFont="1" applyAlignment="1">
      <alignment vertical="center"/>
    </xf>
    <xf numFmtId="0" fontId="121" fillId="26" borderId="0" xfId="0" applyFont="1" applyFill="1"/>
    <xf numFmtId="0" fontId="58" fillId="26" borderId="0" xfId="0" applyFont="1" applyFill="1"/>
    <xf numFmtId="0" fontId="59" fillId="26" borderId="0" xfId="0" applyFont="1" applyFill="1"/>
    <xf numFmtId="4" fontId="61" fillId="0" borderId="15" xfId="0" applyNumberFormat="1" applyFont="1" applyBorder="1" applyAlignment="1">
      <alignment horizontal="center" vertical="center" wrapText="1"/>
    </xf>
    <xf numFmtId="0" fontId="122" fillId="26" borderId="0" xfId="0" applyFont="1" applyFill="1"/>
    <xf numFmtId="49" fontId="61" fillId="26" borderId="15" xfId="0" applyNumberFormat="1" applyFont="1" applyFill="1" applyBorder="1" applyAlignment="1">
      <alignment horizontal="center" vertical="center" wrapText="1"/>
    </xf>
    <xf numFmtId="4" fontId="61" fillId="26" borderId="15" xfId="0" applyNumberFormat="1" applyFont="1" applyFill="1" applyBorder="1" applyAlignment="1">
      <alignment horizontal="center" vertical="center" wrapText="1"/>
    </xf>
    <xf numFmtId="49" fontId="61" fillId="26" borderId="15" xfId="0" applyNumberFormat="1" applyFont="1" applyFill="1" applyBorder="1" applyAlignment="1">
      <alignment horizontal="left" vertical="center" wrapText="1"/>
    </xf>
    <xf numFmtId="0" fontId="61" fillId="0" borderId="0" xfId="39" applyFont="1"/>
    <xf numFmtId="0" fontId="61" fillId="0" borderId="0" xfId="0" applyFont="1" applyAlignment="1">
      <alignment horizontal="left" vertical="center"/>
    </xf>
    <xf numFmtId="0" fontId="68" fillId="26" borderId="0" xfId="0" applyFont="1" applyFill="1"/>
    <xf numFmtId="0" fontId="81" fillId="26" borderId="0" xfId="0" applyFont="1" applyFill="1" applyAlignment="1">
      <alignment vertical="center"/>
    </xf>
    <xf numFmtId="0" fontId="72" fillId="27" borderId="0" xfId="35" applyFont="1" applyFill="1"/>
    <xf numFmtId="4" fontId="64" fillId="0" borderId="15" xfId="0" applyNumberFormat="1" applyFont="1" applyBorder="1" applyAlignment="1">
      <alignment horizontal="center" vertical="center" wrapText="1"/>
    </xf>
    <xf numFmtId="9" fontId="64" fillId="0" borderId="15" xfId="0" applyNumberFormat="1" applyFont="1" applyBorder="1" applyAlignment="1">
      <alignment horizontal="center" vertical="center" wrapText="1"/>
    </xf>
    <xf numFmtId="0" fontId="101" fillId="0" borderId="0" xfId="35" applyFont="1"/>
    <xf numFmtId="0" fontId="72" fillId="6" borderId="0" xfId="35" applyFont="1" applyFill="1"/>
    <xf numFmtId="0" fontId="72" fillId="25" borderId="0" xfId="35" applyFont="1" applyFill="1" applyAlignment="1">
      <alignment horizontal="center" vertical="center"/>
    </xf>
    <xf numFmtId="4" fontId="77" fillId="28" borderId="14" xfId="0" applyNumberFormat="1" applyFont="1" applyFill="1" applyBorder="1" applyAlignment="1">
      <alignment horizontal="center" vertical="center" wrapText="1"/>
    </xf>
    <xf numFmtId="166" fontId="61" fillId="0" borderId="15" xfId="30" applyNumberFormat="1" applyFont="1" applyBorder="1" applyAlignment="1">
      <alignment horizontal="center" vertical="center" wrapText="1"/>
    </xf>
    <xf numFmtId="4" fontId="61" fillId="0" borderId="15" xfId="38" applyNumberFormat="1" applyFont="1" applyFill="1" applyBorder="1" applyAlignment="1" applyProtection="1">
      <alignment horizontal="center" vertical="center" wrapText="1"/>
      <protection locked="0"/>
    </xf>
    <xf numFmtId="4" fontId="77" fillId="28" borderId="0" xfId="0" applyNumberFormat="1" applyFont="1" applyFill="1" applyAlignment="1">
      <alignment horizontal="center" vertical="center" wrapText="1"/>
    </xf>
    <xf numFmtId="166" fontId="61" fillId="27" borderId="15" xfId="30" applyNumberFormat="1" applyFont="1" applyFill="1" applyBorder="1" applyAlignment="1">
      <alignment horizontal="center" vertical="center" wrapText="1"/>
    </xf>
    <xf numFmtId="4" fontId="61" fillId="27" borderId="15" xfId="38" applyNumberFormat="1" applyFont="1" applyFill="1" applyBorder="1" applyAlignment="1" applyProtection="1">
      <alignment horizontal="center" vertical="center" wrapText="1"/>
      <protection locked="0"/>
    </xf>
    <xf numFmtId="4" fontId="125" fillId="27" borderId="0" xfId="0" applyNumberFormat="1" applyFont="1" applyFill="1" applyAlignment="1">
      <alignment horizontal="center" vertical="center" wrapText="1"/>
    </xf>
    <xf numFmtId="4" fontId="77" fillId="28" borderId="8" xfId="0" applyNumberFormat="1" applyFont="1" applyFill="1" applyBorder="1" applyAlignment="1">
      <alignment horizontal="center" vertical="center" wrapText="1"/>
    </xf>
    <xf numFmtId="0" fontId="77" fillId="27" borderId="0" xfId="0" applyFont="1" applyFill="1" applyAlignment="1">
      <alignment horizontal="center" vertical="center"/>
    </xf>
    <xf numFmtId="166" fontId="61" fillId="27" borderId="0" xfId="30" applyNumberFormat="1" applyFont="1" applyFill="1" applyAlignment="1">
      <alignment horizontal="center" vertical="center" wrapText="1"/>
    </xf>
    <xf numFmtId="166" fontId="61" fillId="25" borderId="15" xfId="30" applyNumberFormat="1" applyFont="1" applyFill="1" applyBorder="1" applyAlignment="1">
      <alignment horizontal="center" vertical="center" wrapText="1"/>
    </xf>
    <xf numFmtId="4" fontId="61" fillId="27" borderId="0" xfId="30" applyNumberFormat="1" applyFont="1" applyFill="1" applyAlignment="1">
      <alignment horizontal="center" vertical="center" wrapText="1"/>
    </xf>
    <xf numFmtId="4" fontId="126" fillId="0" borderId="15" xfId="0" applyNumberFormat="1" applyFont="1" applyBorder="1" applyAlignment="1">
      <alignment horizontal="center" vertical="center" wrapText="1"/>
    </xf>
    <xf numFmtId="4" fontId="61" fillId="0" borderId="16" xfId="0" applyNumberFormat="1" applyFont="1" applyBorder="1" applyAlignment="1">
      <alignment horizontal="center" vertical="center" wrapText="1"/>
    </xf>
    <xf numFmtId="4" fontId="126" fillId="27" borderId="15" xfId="0" applyNumberFormat="1" applyFont="1" applyFill="1" applyBorder="1" applyAlignment="1">
      <alignment horizontal="center" vertical="center" wrapText="1"/>
    </xf>
    <xf numFmtId="4" fontId="61" fillId="27" borderId="16" xfId="0" applyNumberFormat="1" applyFont="1" applyFill="1" applyBorder="1" applyAlignment="1">
      <alignment horizontal="center" vertical="center" wrapText="1"/>
    </xf>
    <xf numFmtId="4" fontId="60" fillId="27" borderId="0" xfId="38" applyNumberFormat="1" applyFont="1" applyFill="1" applyBorder="1" applyAlignment="1" applyProtection="1">
      <alignment horizontal="center" vertical="center" wrapText="1"/>
      <protection locked="0"/>
    </xf>
    <xf numFmtId="4" fontId="61" fillId="0" borderId="15" xfId="38" applyNumberFormat="1" applyFont="1" applyFill="1" applyBorder="1" applyAlignment="1">
      <alignment horizontal="center" vertical="center" wrapText="1"/>
    </xf>
    <xf numFmtId="4" fontId="61" fillId="27" borderId="15" xfId="38" applyNumberFormat="1" applyFont="1" applyFill="1" applyBorder="1" applyAlignment="1">
      <alignment horizontal="center" vertical="center" wrapText="1"/>
    </xf>
    <xf numFmtId="4" fontId="61" fillId="0" borderId="16" xfId="38" applyNumberFormat="1" applyFont="1" applyFill="1" applyBorder="1" applyAlignment="1" applyProtection="1">
      <alignment horizontal="center" vertical="center" wrapText="1"/>
      <protection locked="0"/>
    </xf>
    <xf numFmtId="4" fontId="61" fillId="0" borderId="16" xfId="38" applyNumberFormat="1" applyFont="1" applyFill="1" applyBorder="1" applyAlignment="1">
      <alignment horizontal="center" vertical="center" wrapText="1"/>
    </xf>
    <xf numFmtId="0" fontId="127" fillId="27" borderId="0" xfId="0" applyFont="1" applyFill="1" applyAlignment="1">
      <alignment horizontal="center" vertical="center"/>
    </xf>
    <xf numFmtId="0" fontId="128" fillId="27" borderId="0" xfId="0" applyFont="1" applyFill="1"/>
    <xf numFmtId="4" fontId="57" fillId="0" borderId="0" xfId="36" applyNumberFormat="1" applyFont="1" applyFill="1" applyBorder="1" applyAlignment="1">
      <alignment horizontal="center" vertical="center" wrapText="1"/>
    </xf>
    <xf numFmtId="4" fontId="129" fillId="0" borderId="0" xfId="0" applyNumberFormat="1" applyFont="1" applyAlignment="1">
      <alignment vertical="center"/>
    </xf>
    <xf numFmtId="4" fontId="130" fillId="0" borderId="0" xfId="0" applyNumberFormat="1" applyFont="1" applyAlignment="1">
      <alignment vertical="center"/>
    </xf>
    <xf numFmtId="0" fontId="129" fillId="0" borderId="0" xfId="0" applyFont="1" applyAlignment="1">
      <alignment vertical="center"/>
    </xf>
    <xf numFmtId="4" fontId="131" fillId="0" borderId="0" xfId="0" applyNumberFormat="1" applyFont="1" applyAlignment="1">
      <alignment vertical="center"/>
    </xf>
    <xf numFmtId="4" fontId="81" fillId="0" borderId="0" xfId="0" applyNumberFormat="1" applyFont="1" applyAlignment="1">
      <alignment vertical="center"/>
    </xf>
    <xf numFmtId="0" fontId="131" fillId="0" borderId="0" xfId="0" applyFont="1" applyAlignment="1">
      <alignment vertical="center"/>
    </xf>
    <xf numFmtId="0" fontId="132" fillId="0" borderId="0" xfId="0" applyFont="1"/>
    <xf numFmtId="0" fontId="130" fillId="0" borderId="0" xfId="0" applyFont="1" applyAlignment="1">
      <alignment vertical="center"/>
    </xf>
    <xf numFmtId="2" fontId="75" fillId="0" borderId="0" xfId="36" applyNumberFormat="1" applyFont="1" applyAlignment="1">
      <alignment horizontal="center" vertical="top"/>
    </xf>
    <xf numFmtId="2" fontId="101" fillId="0" borderId="15" xfId="36" applyNumberFormat="1" applyFont="1" applyFill="1" applyBorder="1" applyAlignment="1">
      <alignment horizontal="center" vertical="center" wrapText="1"/>
    </xf>
    <xf numFmtId="2" fontId="75" fillId="0" borderId="0" xfId="36" applyNumberFormat="1" applyFont="1" applyFill="1" applyAlignment="1">
      <alignment horizontal="center" vertical="top"/>
    </xf>
    <xf numFmtId="0" fontId="124" fillId="0" borderId="0" xfId="36" applyFont="1">
      <alignment vertical="top"/>
    </xf>
    <xf numFmtId="2" fontId="124" fillId="0" borderId="0" xfId="36" applyNumberFormat="1" applyFont="1">
      <alignment vertical="top"/>
    </xf>
    <xf numFmtId="0" fontId="133" fillId="0" borderId="0" xfId="36" applyFont="1" applyAlignment="1">
      <alignment horizontal="center" vertical="top" wrapText="1"/>
    </xf>
    <xf numFmtId="2" fontId="133" fillId="0" borderId="0" xfId="36" applyNumberFormat="1" applyFont="1" applyAlignment="1">
      <alignment horizontal="center" vertical="top" wrapText="1"/>
    </xf>
    <xf numFmtId="167" fontId="101" fillId="0" borderId="0" xfId="36" applyNumberFormat="1" applyFont="1" applyAlignment="1">
      <alignment horizontal="center" vertical="top"/>
    </xf>
    <xf numFmtId="0" fontId="134" fillId="0" borderId="0" xfId="38" applyFont="1" applyAlignment="1" applyProtection="1">
      <alignment horizontal="left" vertical="center" wrapText="1"/>
      <protection locked="0"/>
    </xf>
    <xf numFmtId="0" fontId="133" fillId="0" borderId="0" xfId="36" applyFont="1" applyAlignment="1">
      <alignment horizontal="left" vertical="top" wrapText="1"/>
    </xf>
    <xf numFmtId="0" fontId="120" fillId="0" borderId="0" xfId="36" applyFont="1">
      <alignment vertical="top"/>
    </xf>
    <xf numFmtId="0" fontId="102" fillId="0" borderId="0" xfId="0" applyFont="1"/>
    <xf numFmtId="0" fontId="120" fillId="0" borderId="0" xfId="0" applyFont="1"/>
    <xf numFmtId="49" fontId="29" fillId="0" borderId="15" xfId="0" applyNumberFormat="1" applyFont="1" applyBorder="1" applyAlignment="1">
      <alignment horizontal="center" vertical="center" wrapText="1"/>
    </xf>
    <xf numFmtId="0" fontId="33" fillId="0" borderId="0" xfId="0" applyFont="1"/>
    <xf numFmtId="0" fontId="12" fillId="0" borderId="0" xfId="35" applyAlignment="1">
      <alignment horizontal="center" vertical="center"/>
    </xf>
    <xf numFmtId="0" fontId="135" fillId="0" borderId="0" xfId="35" applyFont="1" applyAlignment="1">
      <alignment horizontal="center" vertical="center" wrapText="1"/>
    </xf>
    <xf numFmtId="0" fontId="135" fillId="0" borderId="15" xfId="0" applyFont="1" applyBorder="1" applyAlignment="1">
      <alignment horizontal="center" vertical="center" wrapText="1"/>
    </xf>
    <xf numFmtId="0" fontId="12" fillId="0" borderId="0" xfId="35"/>
    <xf numFmtId="0" fontId="135" fillId="0" borderId="0" xfId="39" applyFont="1"/>
    <xf numFmtId="0" fontId="138" fillId="0" borderId="0" xfId="0" applyFont="1"/>
    <xf numFmtId="0" fontId="135" fillId="0" borderId="0" xfId="0" applyFont="1" applyAlignment="1">
      <alignment horizontal="left" vertical="center"/>
    </xf>
    <xf numFmtId="0" fontId="135" fillId="0" borderId="0" xfId="0" applyFont="1"/>
    <xf numFmtId="4" fontId="103" fillId="0" borderId="23" xfId="0" applyNumberFormat="1" applyFont="1" applyBorder="1" applyAlignment="1">
      <alignment horizontal="center" vertical="center" wrapText="1"/>
    </xf>
    <xf numFmtId="4" fontId="72" fillId="0" borderId="23" xfId="0" applyNumberFormat="1" applyFont="1" applyBorder="1" applyAlignment="1">
      <alignment horizontal="center" vertical="center" wrapText="1"/>
    </xf>
    <xf numFmtId="0" fontId="30" fillId="0" borderId="0" xfId="39" applyFont="1" applyAlignment="1">
      <alignment vertical="center"/>
    </xf>
    <xf numFmtId="4" fontId="123" fillId="26" borderId="15" xfId="0" applyNumberFormat="1" applyFont="1" applyFill="1" applyBorder="1" applyAlignment="1">
      <alignment horizontal="center" vertical="center" wrapText="1"/>
    </xf>
    <xf numFmtId="0" fontId="140" fillId="0" borderId="0" xfId="0" applyFont="1" applyAlignment="1">
      <alignment horizontal="left" vertical="center"/>
    </xf>
    <xf numFmtId="49" fontId="61" fillId="0" borderId="16" xfId="0" applyNumberFormat="1" applyFont="1" applyBorder="1" applyAlignment="1">
      <alignment horizontal="center" vertical="center" wrapText="1"/>
    </xf>
    <xf numFmtId="4" fontId="103" fillId="0" borderId="23" xfId="39" applyNumberFormat="1" applyFont="1" applyBorder="1" applyAlignment="1">
      <alignment horizontal="center" vertical="center" wrapText="1"/>
    </xf>
    <xf numFmtId="4" fontId="106" fillId="0" borderId="23" xfId="39" applyNumberFormat="1" applyFont="1" applyBorder="1" applyAlignment="1">
      <alignment horizontal="center" vertical="center" wrapText="1"/>
    </xf>
    <xf numFmtId="0" fontId="72" fillId="0" borderId="23" xfId="39" applyFont="1" applyBorder="1" applyAlignment="1">
      <alignment horizontal="center" vertical="center" wrapText="1"/>
    </xf>
    <xf numFmtId="0" fontId="72" fillId="0" borderId="23" xfId="39" applyFont="1" applyBorder="1" applyAlignment="1">
      <alignment vertical="center" wrapText="1"/>
    </xf>
    <xf numFmtId="4" fontId="72" fillId="0" borderId="23" xfId="39" applyNumberFormat="1" applyFont="1" applyBorder="1" applyAlignment="1">
      <alignment horizontal="center" vertical="center" wrapText="1"/>
    </xf>
    <xf numFmtId="0" fontId="72" fillId="0" borderId="23" xfId="37" applyFont="1" applyBorder="1" applyAlignment="1">
      <alignment horizontal="justify" vertical="center" wrapText="1"/>
    </xf>
    <xf numFmtId="4" fontId="107" fillId="0" borderId="23" xfId="39" applyNumberFormat="1" applyFont="1" applyBorder="1" applyAlignment="1">
      <alignment horizontal="center" vertical="center" wrapText="1"/>
    </xf>
    <xf numFmtId="0" fontId="72" fillId="27" borderId="23" xfId="39" applyFont="1" applyFill="1" applyBorder="1" applyAlignment="1">
      <alignment horizontal="center" vertical="center" wrapText="1"/>
    </xf>
    <xf numFmtId="0" fontId="72" fillId="27" borderId="23" xfId="39" applyFont="1" applyFill="1" applyBorder="1" applyAlignment="1">
      <alignment vertical="center" wrapText="1"/>
    </xf>
    <xf numFmtId="4" fontId="103" fillId="27" borderId="23" xfId="39" applyNumberFormat="1" applyFont="1" applyFill="1" applyBorder="1" applyAlignment="1">
      <alignment horizontal="center" vertical="center" wrapText="1"/>
    </xf>
    <xf numFmtId="4" fontId="72" fillId="27" borderId="23" xfId="39" applyNumberFormat="1" applyFont="1" applyFill="1" applyBorder="1" applyAlignment="1">
      <alignment horizontal="center" vertical="center" wrapText="1"/>
    </xf>
    <xf numFmtId="0" fontId="107" fillId="27" borderId="23" xfId="39" applyFont="1" applyFill="1" applyBorder="1" applyAlignment="1">
      <alignment vertical="center" wrapText="1"/>
    </xf>
    <xf numFmtId="0" fontId="101" fillId="0" borderId="0" xfId="0" applyFont="1" applyAlignment="1">
      <alignment horizontal="left" vertical="center"/>
    </xf>
    <xf numFmtId="0" fontId="101" fillId="0" borderId="0" xfId="39" applyFont="1"/>
    <xf numFmtId="4" fontId="103" fillId="27" borderId="0" xfId="0" applyNumberFormat="1" applyFont="1" applyFill="1"/>
    <xf numFmtId="4" fontId="106" fillId="0" borderId="23" xfId="0" applyNumberFormat="1" applyFont="1" applyBorder="1" applyAlignment="1">
      <alignment horizontal="center" vertical="center" wrapText="1"/>
    </xf>
    <xf numFmtId="0" fontId="72" fillId="0" borderId="23" xfId="0" applyFont="1" applyBorder="1" applyAlignment="1">
      <alignment horizontal="center" vertical="center" wrapText="1"/>
    </xf>
    <xf numFmtId="0" fontId="72" fillId="0" borderId="23" xfId="0" applyFont="1" applyBorder="1" applyAlignment="1">
      <alignment horizontal="left" vertical="center" wrapText="1"/>
    </xf>
    <xf numFmtId="0" fontId="107" fillId="0" borderId="23" xfId="0" applyFont="1" applyBorder="1" applyAlignment="1">
      <alignment horizontal="center" vertical="center" wrapText="1"/>
    </xf>
    <xf numFmtId="4" fontId="107" fillId="0" borderId="23" xfId="0" applyNumberFormat="1" applyFont="1" applyBorder="1" applyAlignment="1">
      <alignment horizontal="center" vertical="center" wrapText="1"/>
    </xf>
    <xf numFmtId="0" fontId="107" fillId="0" borderId="23" xfId="0" applyFont="1" applyBorder="1" applyAlignment="1">
      <alignment horizontal="left" vertical="center" wrapText="1"/>
    </xf>
    <xf numFmtId="0" fontId="61" fillId="0" borderId="16" xfId="38" applyFont="1" applyFill="1" applyBorder="1" applyAlignment="1" applyProtection="1">
      <alignment horizontal="center" wrapText="1"/>
      <protection locked="0"/>
    </xf>
    <xf numFmtId="0" fontId="61" fillId="0" borderId="15" xfId="38" applyFont="1" applyFill="1" applyBorder="1" applyAlignment="1" applyProtection="1">
      <alignment horizontal="center" vertical="center" wrapText="1"/>
      <protection locked="0"/>
    </xf>
    <xf numFmtId="49" fontId="61" fillId="27" borderId="16" xfId="0" applyNumberFormat="1" applyFont="1" applyFill="1" applyBorder="1" applyAlignment="1">
      <alignment horizontal="center" wrapText="1"/>
    </xf>
    <xf numFmtId="49" fontId="61" fillId="27" borderId="17" xfId="0" applyNumberFormat="1" applyFont="1" applyFill="1" applyBorder="1" applyAlignment="1">
      <alignment horizontal="center" vertical="top" wrapText="1"/>
    </xf>
    <xf numFmtId="0" fontId="57" fillId="0" borderId="15" xfId="38" applyFont="1" applyFill="1" applyBorder="1" applyAlignment="1" applyProtection="1">
      <alignment horizontal="center" vertical="center" wrapText="1"/>
      <protection locked="0"/>
    </xf>
    <xf numFmtId="49" fontId="86" fillId="0" borderId="15" xfId="0" applyNumberFormat="1" applyFont="1" applyBorder="1" applyAlignment="1">
      <alignment horizontal="center" vertical="center"/>
    </xf>
    <xf numFmtId="49" fontId="61" fillId="0" borderId="15" xfId="0" applyNumberFormat="1" applyFont="1" applyBorder="1" applyAlignment="1">
      <alignment horizontal="center" vertical="center"/>
    </xf>
    <xf numFmtId="49" fontId="64" fillId="0" borderId="15" xfId="35" applyNumberFormat="1" applyFont="1" applyBorder="1" applyAlignment="1">
      <alignment horizontal="center" vertical="center" wrapText="1"/>
    </xf>
    <xf numFmtId="0" fontId="64" fillId="0" borderId="15" xfId="35" applyFont="1" applyBorder="1" applyAlignment="1">
      <alignment horizontal="center" vertical="center" wrapText="1"/>
    </xf>
    <xf numFmtId="4" fontId="64" fillId="0" borderId="15" xfId="35" applyNumberFormat="1" applyFont="1" applyBorder="1" applyAlignment="1">
      <alignment horizontal="center" vertical="center"/>
    </xf>
    <xf numFmtId="0" fontId="104" fillId="0" borderId="0" xfId="0" applyFont="1" applyAlignment="1">
      <alignment horizontal="center" vertical="center"/>
    </xf>
    <xf numFmtId="0" fontId="104" fillId="0" borderId="0" xfId="0" applyFont="1" applyAlignment="1">
      <alignment horizontal="left" vertical="center"/>
    </xf>
    <xf numFmtId="4" fontId="104" fillId="0" borderId="0" xfId="0" applyNumberFormat="1" applyFont="1" applyAlignment="1">
      <alignment horizontal="center" vertical="center"/>
    </xf>
    <xf numFmtId="0" fontId="64" fillId="0" borderId="0" xfId="0" applyFont="1" applyAlignment="1">
      <alignment horizontal="left" vertical="center"/>
    </xf>
    <xf numFmtId="0" fontId="64" fillId="0" borderId="0" xfId="39" applyFont="1"/>
    <xf numFmtId="49" fontId="61" fillId="0" borderId="19" xfId="0" applyNumberFormat="1" applyFont="1" applyBorder="1" applyAlignment="1">
      <alignment horizontal="center" vertical="center" wrapText="1"/>
    </xf>
    <xf numFmtId="4" fontId="57" fillId="0" borderId="21" xfId="0" applyNumberFormat="1" applyFont="1" applyBorder="1" applyAlignment="1">
      <alignment horizontal="center" vertical="center" wrapText="1"/>
    </xf>
    <xf numFmtId="49" fontId="61" fillId="0" borderId="19" xfId="0" applyNumberFormat="1" applyFont="1" applyBorder="1" applyAlignment="1">
      <alignment horizontal="left" vertical="center" wrapText="1"/>
    </xf>
    <xf numFmtId="4" fontId="61" fillId="0" borderId="21" xfId="0" applyNumberFormat="1" applyFont="1" applyBorder="1" applyAlignment="1">
      <alignment horizontal="center" vertical="center" wrapText="1"/>
    </xf>
    <xf numFmtId="4" fontId="61" fillId="26" borderId="21" xfId="0" applyNumberFormat="1" applyFont="1" applyFill="1" applyBorder="1" applyAlignment="1">
      <alignment horizontal="center" vertical="center" wrapText="1"/>
    </xf>
    <xf numFmtId="49" fontId="61" fillId="0" borderId="15" xfId="0" applyNumberFormat="1" applyFont="1" applyBorder="1" applyAlignment="1">
      <alignment horizontal="left" vertical="center" wrapText="1"/>
    </xf>
    <xf numFmtId="4" fontId="61" fillId="0" borderId="19" xfId="0" applyNumberFormat="1" applyFont="1" applyBorder="1" applyAlignment="1">
      <alignment horizontal="center" vertical="center" wrapText="1"/>
    </xf>
    <xf numFmtId="0" fontId="122" fillId="0" borderId="0" xfId="0" applyFont="1"/>
    <xf numFmtId="166" fontId="61" fillId="0" borderId="16" xfId="30" applyNumberFormat="1" applyFont="1" applyBorder="1" applyAlignment="1">
      <alignment horizontal="center" vertical="center" wrapText="1"/>
    </xf>
    <xf numFmtId="4" fontId="141" fillId="0" borderId="15" xfId="36" applyNumberFormat="1" applyFont="1" applyFill="1" applyBorder="1" applyAlignment="1">
      <alignment horizontal="center" vertical="center" wrapText="1"/>
    </xf>
    <xf numFmtId="0" fontId="16" fillId="0" borderId="0" xfId="39" applyFont="1" applyAlignment="1">
      <alignment vertical="center" wrapText="1"/>
    </xf>
    <xf numFmtId="4" fontId="29" fillId="29" borderId="7" xfId="36" applyNumberFormat="1" applyFont="1" applyFill="1" applyBorder="1" applyAlignment="1">
      <alignment horizontal="center" vertical="center" wrapText="1"/>
    </xf>
    <xf numFmtId="0" fontId="12" fillId="0" borderId="0" xfId="39"/>
    <xf numFmtId="4" fontId="144" fillId="27" borderId="0" xfId="0" applyNumberFormat="1" applyFont="1" applyFill="1" applyAlignment="1">
      <alignment vertical="center"/>
    </xf>
    <xf numFmtId="10" fontId="145" fillId="27" borderId="0" xfId="0" applyNumberFormat="1" applyFont="1" applyFill="1" applyAlignment="1">
      <alignment vertical="center"/>
    </xf>
    <xf numFmtId="166" fontId="144" fillId="27" borderId="0" xfId="0" applyNumberFormat="1" applyFont="1" applyFill="1" applyAlignment="1">
      <alignment horizontal="right" vertical="center" wrapText="1"/>
    </xf>
    <xf numFmtId="4" fontId="146" fillId="27" borderId="15" xfId="35" applyNumberFormat="1" applyFont="1" applyFill="1" applyBorder="1" applyAlignment="1">
      <alignment horizontal="left" vertical="center"/>
    </xf>
    <xf numFmtId="0" fontId="67" fillId="35" borderId="0" xfId="0" applyFont="1" applyFill="1"/>
    <xf numFmtId="4" fontId="69" fillId="35" borderId="0" xfId="0" applyNumberFormat="1" applyFont="1" applyFill="1" applyAlignment="1">
      <alignment horizontal="left" vertical="center"/>
    </xf>
    <xf numFmtId="0" fontId="36" fillId="35" borderId="0" xfId="0" applyFont="1" applyFill="1"/>
    <xf numFmtId="4" fontId="101" fillId="0" borderId="15" xfId="36" applyNumberFormat="1" applyFont="1" applyFill="1" applyBorder="1" applyAlignment="1">
      <alignment horizontal="center" vertical="center"/>
    </xf>
    <xf numFmtId="49" fontId="61" fillId="0" borderId="16" xfId="0" applyNumberFormat="1" applyFont="1" applyBorder="1" applyAlignment="1">
      <alignment vertical="center" wrapText="1"/>
    </xf>
    <xf numFmtId="49" fontId="61" fillId="33" borderId="15" xfId="0" applyNumberFormat="1" applyFont="1" applyFill="1" applyBorder="1" applyAlignment="1">
      <alignment horizontal="center" vertical="center" wrapText="1"/>
    </xf>
    <xf numFmtId="49" fontId="61" fillId="33" borderId="16" xfId="0" applyNumberFormat="1" applyFont="1" applyFill="1" applyBorder="1" applyAlignment="1">
      <alignment vertical="center" wrapText="1"/>
    </xf>
    <xf numFmtId="4" fontId="61" fillId="33" borderId="15" xfId="38" applyNumberFormat="1" applyFont="1" applyFill="1" applyBorder="1" applyAlignment="1" applyProtection="1">
      <alignment horizontal="center" vertical="center" wrapText="1"/>
      <protection locked="0"/>
    </xf>
    <xf numFmtId="4" fontId="61" fillId="33" borderId="15" xfId="38" applyNumberFormat="1" applyFont="1" applyFill="1" applyBorder="1" applyAlignment="1">
      <alignment horizontal="center" vertical="center" wrapText="1"/>
    </xf>
    <xf numFmtId="49" fontId="61" fillId="30" borderId="15" xfId="0" applyNumberFormat="1" applyFont="1" applyFill="1" applyBorder="1" applyAlignment="1">
      <alignment horizontal="center" vertical="center" wrapText="1"/>
    </xf>
    <xf numFmtId="4" fontId="61" fillId="30" borderId="21" xfId="0" applyNumberFormat="1" applyFont="1" applyFill="1" applyBorder="1" applyAlignment="1">
      <alignment horizontal="center" vertical="center" wrapText="1"/>
    </xf>
    <xf numFmtId="4" fontId="61" fillId="30" borderId="15" xfId="0" applyNumberFormat="1" applyFont="1" applyFill="1" applyBorder="1" applyAlignment="1">
      <alignment horizontal="center" vertical="center" wrapText="1"/>
    </xf>
    <xf numFmtId="49" fontId="86" fillId="0" borderId="16" xfId="0" applyNumberFormat="1" applyFont="1" applyBorder="1" applyAlignment="1">
      <alignment horizontal="center" vertical="center" wrapText="1"/>
    </xf>
    <xf numFmtId="4" fontId="109" fillId="0" borderId="16" xfId="0" applyNumberFormat="1" applyFont="1" applyBorder="1" applyAlignment="1">
      <alignment horizontal="center" vertical="center" wrapText="1"/>
    </xf>
    <xf numFmtId="49" fontId="61" fillId="0" borderId="16" xfId="0" applyNumberFormat="1" applyFont="1" applyBorder="1" applyAlignment="1">
      <alignment horizontal="center" wrapText="1"/>
    </xf>
    <xf numFmtId="49" fontId="61" fillId="0" borderId="0" xfId="0" applyNumberFormat="1" applyFont="1" applyAlignment="1">
      <alignment horizontal="center" vertical="center" wrapText="1"/>
    </xf>
    <xf numFmtId="49" fontId="61" fillId="0" borderId="17" xfId="0" applyNumberFormat="1" applyFont="1" applyBorder="1" applyAlignment="1">
      <alignment horizontal="center" vertical="top" wrapText="1"/>
    </xf>
    <xf numFmtId="0" fontId="106" fillId="0" borderId="23" xfId="0" applyFont="1" applyBorder="1" applyAlignment="1">
      <alignment horizontal="center" vertical="center" wrapText="1"/>
    </xf>
    <xf numFmtId="0" fontId="106" fillId="0" borderId="23" xfId="0" applyFont="1" applyBorder="1" applyAlignment="1">
      <alignment horizontal="left" vertical="center" wrapText="1"/>
    </xf>
    <xf numFmtId="0" fontId="106" fillId="0" borderId="23" xfId="39" applyFont="1" applyBorder="1" applyAlignment="1">
      <alignment horizontal="center" vertical="center" wrapText="1"/>
    </xf>
    <xf numFmtId="0" fontId="106" fillId="0" borderId="23" xfId="37" applyFont="1" applyBorder="1" applyAlignment="1">
      <alignment horizontal="justify" vertical="center" wrapText="1"/>
    </xf>
    <xf numFmtId="49" fontId="135" fillId="0" borderId="15" xfId="0" applyNumberFormat="1" applyFont="1" applyBorder="1" applyAlignment="1">
      <alignment horizontal="center" vertical="center" wrapText="1"/>
    </xf>
    <xf numFmtId="2" fontId="29" fillId="37" borderId="15" xfId="0" applyNumberFormat="1" applyFont="1" applyFill="1" applyBorder="1" applyAlignment="1">
      <alignment horizontal="center" vertical="center"/>
    </xf>
    <xf numFmtId="4" fontId="31" fillId="37" borderId="15" xfId="0" applyNumberFormat="1" applyFont="1" applyFill="1" applyBorder="1" applyAlignment="1">
      <alignment horizontal="center" vertical="center"/>
    </xf>
    <xf numFmtId="4" fontId="135" fillId="34" borderId="15" xfId="0" applyNumberFormat="1" applyFont="1" applyFill="1" applyBorder="1" applyAlignment="1">
      <alignment horizontal="center" vertical="center"/>
    </xf>
    <xf numFmtId="4" fontId="61" fillId="35" borderId="15" xfId="0" applyNumberFormat="1" applyFont="1" applyFill="1" applyBorder="1" applyAlignment="1">
      <alignment horizontal="center" vertical="center" wrapText="1"/>
    </xf>
    <xf numFmtId="0" fontId="0" fillId="0" borderId="0" xfId="0" applyAlignment="1">
      <alignment vertical="center"/>
    </xf>
    <xf numFmtId="4" fontId="65"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wrapText="1"/>
    </xf>
    <xf numFmtId="4" fontId="62" fillId="33" borderId="15" xfId="0" applyNumberFormat="1" applyFont="1" applyFill="1" applyBorder="1" applyAlignment="1">
      <alignment horizontal="center" vertical="center"/>
    </xf>
    <xf numFmtId="4" fontId="65" fillId="33" borderId="0" xfId="0" applyNumberFormat="1" applyFont="1" applyFill="1" applyAlignment="1">
      <alignment horizontal="center" vertical="center" wrapText="1"/>
    </xf>
    <xf numFmtId="4" fontId="65" fillId="33" borderId="0" xfId="0" applyNumberFormat="1" applyFont="1" applyFill="1" applyAlignment="1">
      <alignment horizontal="left" vertical="center" wrapText="1"/>
    </xf>
    <xf numFmtId="0" fontId="0" fillId="33" borderId="0" xfId="0" applyFill="1"/>
    <xf numFmtId="0" fontId="30" fillId="0" borderId="0" xfId="39" applyFont="1" applyAlignment="1">
      <alignment horizontal="left" vertical="center" wrapText="1"/>
    </xf>
    <xf numFmtId="0" fontId="135" fillId="0" borderId="0" xfId="39" applyFont="1" applyAlignment="1">
      <alignment horizontal="left" vertical="center"/>
    </xf>
    <xf numFmtId="0" fontId="58" fillId="0" borderId="15" xfId="0" applyFont="1" applyBorder="1" applyAlignment="1">
      <alignment horizontal="center"/>
    </xf>
    <xf numFmtId="0" fontId="135" fillId="0" borderId="0" xfId="39" applyFont="1" applyAlignment="1">
      <alignment horizontal="left" wrapText="1"/>
    </xf>
    <xf numFmtId="0" fontId="140" fillId="0" borderId="0" xfId="0" applyFont="1" applyAlignment="1">
      <alignment horizontal="justify"/>
    </xf>
    <xf numFmtId="0" fontId="140" fillId="0" borderId="0" xfId="0" applyFont="1" applyAlignment="1">
      <alignment horizontal="justify" vertical="center"/>
    </xf>
    <xf numFmtId="49" fontId="86" fillId="0" borderId="0" xfId="0" applyNumberFormat="1" applyFont="1" applyAlignment="1">
      <alignment horizontal="center" vertical="center" wrapText="1"/>
    </xf>
    <xf numFmtId="49" fontId="60" fillId="38" borderId="15" xfId="0" applyNumberFormat="1" applyFont="1" applyFill="1" applyBorder="1" applyAlignment="1">
      <alignment horizontal="center" vertical="center" wrapText="1"/>
    </xf>
    <xf numFmtId="49" fontId="61" fillId="38" borderId="15"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4" fontId="65" fillId="33" borderId="15" xfId="38" applyNumberFormat="1" applyFont="1" applyFill="1" applyBorder="1" applyAlignment="1" applyProtection="1">
      <alignment horizontal="center" vertical="center" wrapText="1"/>
      <protection locked="0"/>
    </xf>
    <xf numFmtId="4" fontId="62" fillId="33" borderId="15" xfId="38" applyNumberFormat="1" applyFont="1" applyFill="1" applyBorder="1" applyAlignment="1" applyProtection="1">
      <alignment horizontal="center" vertical="center" wrapText="1"/>
      <protection locked="0"/>
    </xf>
    <xf numFmtId="0" fontId="61" fillId="33" borderId="15" xfId="38" applyFont="1" applyFill="1" applyBorder="1" applyAlignment="1" applyProtection="1">
      <alignment horizontal="center" vertical="center" wrapText="1"/>
      <protection locked="0"/>
    </xf>
    <xf numFmtId="0" fontId="72" fillId="0" borderId="0" xfId="39" applyFont="1" applyAlignment="1">
      <alignment vertical="center" wrapText="1"/>
    </xf>
    <xf numFmtId="0" fontId="101" fillId="0" borderId="0" xfId="0" applyFont="1" applyAlignment="1">
      <alignment horizontal="justify" vertical="center" wrapText="1"/>
    </xf>
    <xf numFmtId="0" fontId="103" fillId="0" borderId="23" xfId="0" applyFont="1" applyBorder="1" applyAlignment="1">
      <alignment horizontal="center" vertical="center" wrapText="1"/>
    </xf>
    <xf numFmtId="0" fontId="103" fillId="0" borderId="23" xfId="0" applyFont="1" applyBorder="1" applyAlignment="1">
      <alignment horizontal="left" vertical="center" wrapText="1"/>
    </xf>
    <xf numFmtId="4" fontId="103" fillId="27" borderId="0" xfId="0" applyNumberFormat="1" applyFont="1" applyFill="1" applyAlignment="1">
      <alignment horizontal="center" vertical="center"/>
    </xf>
    <xf numFmtId="0" fontId="101" fillId="0" borderId="0" xfId="0" applyFont="1"/>
    <xf numFmtId="0" fontId="101" fillId="0" borderId="0" xfId="0" applyFont="1" applyAlignment="1">
      <alignment horizontal="left" vertical="center" wrapText="1"/>
    </xf>
    <xf numFmtId="0" fontId="101" fillId="0" borderId="0" xfId="0" applyFont="1" applyAlignment="1">
      <alignment wrapText="1"/>
    </xf>
    <xf numFmtId="0" fontId="147" fillId="0" borderId="0" xfId="0" applyFont="1"/>
    <xf numFmtId="0" fontId="64" fillId="0" borderId="0" xfId="39" applyFont="1" applyAlignment="1">
      <alignment horizontal="left" vertical="center"/>
    </xf>
    <xf numFmtId="0" fontId="61" fillId="0" borderId="0" xfId="0" applyFont="1" applyAlignment="1">
      <alignment vertical="center"/>
    </xf>
    <xf numFmtId="4" fontId="123" fillId="0" borderId="0" xfId="0" applyNumberFormat="1" applyFont="1" applyAlignment="1">
      <alignment horizontal="center" vertical="center" wrapText="1"/>
    </xf>
    <xf numFmtId="4" fontId="57" fillId="26" borderId="15" xfId="0" applyNumberFormat="1" applyFont="1" applyFill="1" applyBorder="1" applyAlignment="1">
      <alignment horizontal="center" vertical="center" wrapText="1"/>
    </xf>
    <xf numFmtId="0" fontId="61" fillId="0" borderId="0" xfId="39" applyFont="1" applyAlignment="1">
      <alignment horizontal="left" vertical="center"/>
    </xf>
    <xf numFmtId="0" fontId="10" fillId="0" borderId="0" xfId="0" applyFont="1"/>
    <xf numFmtId="0" fontId="135" fillId="0" borderId="0" xfId="39" applyFont="1" applyAlignment="1">
      <alignment horizontal="center" vertical="center"/>
    </xf>
    <xf numFmtId="0" fontId="10" fillId="0" borderId="0" xfId="0" applyFont="1" applyAlignment="1">
      <alignment horizontal="center" vertical="center"/>
    </xf>
    <xf numFmtId="0" fontId="149" fillId="0" borderId="0" xfId="39" applyFont="1" applyAlignment="1">
      <alignment horizontal="center" vertical="center"/>
    </xf>
    <xf numFmtId="0" fontId="10" fillId="0" borderId="0" xfId="0" applyFont="1" applyAlignment="1">
      <alignment horizontal="center"/>
    </xf>
    <xf numFmtId="0" fontId="154" fillId="0" borderId="0" xfId="39" applyFont="1" applyAlignment="1">
      <alignment vertical="center"/>
    </xf>
    <xf numFmtId="0" fontId="12" fillId="0" borderId="0" xfId="39" applyAlignment="1">
      <alignment horizontal="right" vertical="center"/>
    </xf>
    <xf numFmtId="0" fontId="155" fillId="0" borderId="23" xfId="39" applyFont="1" applyBorder="1" applyAlignment="1">
      <alignment horizontal="center" vertical="center" wrapText="1"/>
    </xf>
    <xf numFmtId="0" fontId="157"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right"/>
    </xf>
    <xf numFmtId="0" fontId="162" fillId="0" borderId="23" xfId="0" applyFont="1" applyBorder="1" applyAlignment="1">
      <alignment horizontal="center" vertical="center" wrapText="1"/>
    </xf>
    <xf numFmtId="0" fontId="154" fillId="0" borderId="23" xfId="0" applyFont="1" applyBorder="1" applyAlignment="1">
      <alignment horizontal="center" vertical="top" wrapText="1"/>
    </xf>
    <xf numFmtId="0" fontId="155" fillId="37" borderId="23" xfId="0" applyFont="1" applyFill="1" applyBorder="1" applyAlignment="1">
      <alignment horizontal="center" vertical="center" wrapText="1"/>
    </xf>
    <xf numFmtId="0" fontId="155" fillId="37" borderId="23" xfId="0" applyFont="1" applyFill="1" applyBorder="1" applyAlignment="1">
      <alignment horizontal="left" vertical="center" wrapText="1"/>
    </xf>
    <xf numFmtId="4" fontId="155" fillId="37" borderId="23" xfId="0" applyNumberFormat="1" applyFont="1" applyFill="1" applyBorder="1" applyAlignment="1">
      <alignment horizontal="center" vertical="center" wrapText="1"/>
    </xf>
    <xf numFmtId="0" fontId="16" fillId="0" borderId="0" xfId="0" applyFont="1" applyAlignment="1">
      <alignment horizontal="justify" vertical="center"/>
    </xf>
    <xf numFmtId="0" fontId="16" fillId="0" borderId="0" xfId="0" applyFont="1" applyAlignment="1">
      <alignment horizontal="left" vertical="center"/>
    </xf>
    <xf numFmtId="0" fontId="30" fillId="0" borderId="0" xfId="0" applyFont="1" applyAlignment="1">
      <alignment horizontal="center" vertical="top"/>
    </xf>
    <xf numFmtId="0" fontId="30" fillId="0" borderId="0" xfId="0" applyFont="1" applyAlignment="1">
      <alignment horizontal="right" vertical="center"/>
    </xf>
    <xf numFmtId="0" fontId="29" fillId="0" borderId="15" xfId="0" applyFont="1" applyBorder="1" applyAlignment="1">
      <alignment horizontal="center" vertical="top" wrapText="1"/>
    </xf>
    <xf numFmtId="0" fontId="61" fillId="38" borderId="15" xfId="38" applyFont="1" applyFill="1" applyBorder="1" applyAlignment="1" applyProtection="1">
      <alignment horizontal="center" vertical="center" wrapText="1"/>
      <protection locked="0"/>
    </xf>
    <xf numFmtId="49" fontId="57" fillId="38" borderId="15" xfId="0" applyNumberFormat="1" applyFont="1" applyFill="1" applyBorder="1" applyAlignment="1">
      <alignment horizontal="center" vertical="center" wrapText="1"/>
    </xf>
    <xf numFmtId="0" fontId="135" fillId="0" borderId="0" xfId="0" applyFont="1" applyAlignment="1">
      <alignment horizontal="justify" vertical="center"/>
    </xf>
    <xf numFmtId="0" fontId="135" fillId="0" borderId="0" xfId="39" applyFont="1" applyAlignment="1">
      <alignment vertical="center"/>
    </xf>
    <xf numFmtId="0" fontId="165" fillId="0" borderId="0" xfId="35" applyFont="1"/>
    <xf numFmtId="0" fontId="157" fillId="0" borderId="0" xfId="35" applyFont="1" applyAlignment="1">
      <alignment horizontal="center" vertical="center" wrapText="1"/>
    </xf>
    <xf numFmtId="0" fontId="154" fillId="0" borderId="0" xfId="35" applyFont="1" applyAlignment="1">
      <alignment horizontal="center" vertical="center" wrapText="1"/>
    </xf>
    <xf numFmtId="0" fontId="12" fillId="0" borderId="0" xfId="0" applyFont="1" applyAlignment="1">
      <alignment horizontal="center" vertical="center"/>
    </xf>
    <xf numFmtId="0" fontId="165" fillId="0" borderId="0" xfId="35" applyFont="1" applyAlignment="1">
      <alignment horizontal="center"/>
    </xf>
    <xf numFmtId="0" fontId="154" fillId="0" borderId="0" xfId="35" applyFont="1" applyAlignment="1">
      <alignment horizontal="right"/>
    </xf>
    <xf numFmtId="0" fontId="166" fillId="0" borderId="0" xfId="0" applyFont="1" applyAlignment="1">
      <alignment horizontal="center"/>
    </xf>
    <xf numFmtId="0" fontId="157" fillId="0" borderId="0" xfId="35" applyFont="1" applyAlignment="1">
      <alignment horizontal="center"/>
    </xf>
    <xf numFmtId="0" fontId="12" fillId="0" borderId="0" xfId="35" applyAlignment="1">
      <alignment horizontal="right" vertical="center"/>
    </xf>
    <xf numFmtId="0" fontId="155" fillId="0" borderId="15" xfId="35" applyFont="1" applyBorder="1" applyAlignment="1">
      <alignment horizontal="center" vertical="center" wrapText="1"/>
    </xf>
    <xf numFmtId="0" fontId="155" fillId="0" borderId="15" xfId="0" applyFont="1" applyBorder="1" applyAlignment="1">
      <alignment horizontal="center" vertical="center"/>
    </xf>
    <xf numFmtId="0" fontId="167" fillId="0" borderId="15" xfId="35" applyFont="1" applyBorder="1" applyAlignment="1">
      <alignment horizontal="center" vertical="top" wrapText="1"/>
    </xf>
    <xf numFmtId="2" fontId="137" fillId="37" borderId="15" xfId="0" applyNumberFormat="1" applyFont="1" applyFill="1" applyBorder="1" applyAlignment="1">
      <alignment horizontal="center" vertical="center"/>
    </xf>
    <xf numFmtId="4" fontId="137" fillId="37" borderId="15" xfId="0" applyNumberFormat="1" applyFont="1" applyFill="1" applyBorder="1" applyAlignment="1">
      <alignment horizontal="center" vertical="center"/>
    </xf>
    <xf numFmtId="0" fontId="168" fillId="0" borderId="0" xfId="0" applyFont="1" applyAlignment="1">
      <alignment vertical="center"/>
    </xf>
    <xf numFmtId="0" fontId="168" fillId="0" borderId="0" xfId="0" applyFont="1" applyAlignment="1">
      <alignment horizontal="center" vertical="center"/>
    </xf>
    <xf numFmtId="0" fontId="168" fillId="0" borderId="0" xfId="0" applyFont="1" applyAlignment="1">
      <alignment horizontal="center" vertical="center" wrapText="1"/>
    </xf>
    <xf numFmtId="4" fontId="30"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0" fontId="135" fillId="0" borderId="0" xfId="35" applyFont="1" applyAlignment="1">
      <alignment horizontal="right" vertical="center" wrapText="1"/>
    </xf>
    <xf numFmtId="0" fontId="166" fillId="0" borderId="0" xfId="0" applyFont="1"/>
    <xf numFmtId="0" fontId="12" fillId="0" borderId="28" xfId="0" applyFont="1" applyBorder="1" applyAlignment="1">
      <alignment vertical="top"/>
    </xf>
    <xf numFmtId="0" fontId="16" fillId="0" borderId="0" xfId="0" applyFont="1" applyAlignment="1">
      <alignment horizontal="center" vertical="center"/>
    </xf>
    <xf numFmtId="0" fontId="153" fillId="0" borderId="0" xfId="0" applyFont="1"/>
    <xf numFmtId="0" fontId="12" fillId="0" borderId="0" xfId="0" applyFont="1" applyAlignment="1">
      <alignment horizontal="center" vertical="top"/>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5" fillId="0" borderId="15" xfId="35" applyFont="1" applyBorder="1" applyAlignment="1">
      <alignment horizontal="center" vertical="center" wrapText="1"/>
    </xf>
    <xf numFmtId="0" fontId="135" fillId="0" borderId="0" xfId="35" applyFont="1" applyAlignment="1">
      <alignment horizontal="center" vertical="center"/>
    </xf>
    <xf numFmtId="0" fontId="64" fillId="0" borderId="0" xfId="35" applyFont="1" applyAlignment="1">
      <alignment horizontal="center" vertical="center"/>
    </xf>
    <xf numFmtId="0" fontId="64" fillId="25" borderId="0" xfId="35" applyFont="1" applyFill="1" applyAlignment="1">
      <alignment horizontal="center" vertical="center"/>
    </xf>
    <xf numFmtId="0" fontId="30" fillId="0" borderId="15" xfId="0" applyFont="1" applyBorder="1" applyAlignment="1">
      <alignment horizontal="center" vertical="top" wrapText="1"/>
    </xf>
    <xf numFmtId="0" fontId="29" fillId="34" borderId="15" xfId="0" applyFont="1" applyFill="1" applyBorder="1" applyAlignment="1">
      <alignment horizontal="center" vertical="center"/>
    </xf>
    <xf numFmtId="0" fontId="29" fillId="34" borderId="15" xfId="0" applyFont="1" applyFill="1" applyBorder="1" applyAlignment="1">
      <alignment horizontal="left" vertical="center"/>
    </xf>
    <xf numFmtId="4" fontId="29" fillId="34" borderId="15" xfId="0" applyNumberFormat="1" applyFont="1" applyFill="1" applyBorder="1" applyAlignment="1">
      <alignment horizontal="center" vertical="center"/>
    </xf>
    <xf numFmtId="4" fontId="29" fillId="0" borderId="0" xfId="36" applyNumberFormat="1" applyFont="1" applyFill="1" applyBorder="1" applyAlignment="1">
      <alignment horizontal="center" vertical="center" wrapText="1"/>
    </xf>
    <xf numFmtId="0" fontId="30" fillId="0" borderId="0" xfId="39" applyFont="1" applyAlignment="1">
      <alignment horizontal="left" vertical="center"/>
    </xf>
    <xf numFmtId="0" fontId="53" fillId="0" borderId="0" xfId="0" applyFont="1" applyAlignment="1">
      <alignment vertical="center"/>
    </xf>
    <xf numFmtId="4" fontId="53" fillId="0" borderId="0" xfId="0" applyNumberFormat="1" applyFont="1" applyAlignment="1">
      <alignment vertical="center"/>
    </xf>
    <xf numFmtId="4" fontId="37" fillId="0" borderId="0" xfId="0" applyNumberFormat="1" applyFont="1" applyAlignment="1">
      <alignment vertical="center"/>
    </xf>
    <xf numFmtId="0" fontId="38" fillId="0" borderId="0" xfId="36" applyFont="1">
      <alignment vertical="top"/>
    </xf>
    <xf numFmtId="0" fontId="170" fillId="0" borderId="0" xfId="36" applyFont="1">
      <alignment vertical="top"/>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center"/>
    </xf>
    <xf numFmtId="0" fontId="10" fillId="0" borderId="0" xfId="0" applyFont="1" applyAlignment="1">
      <alignment vertical="center"/>
    </xf>
    <xf numFmtId="0" fontId="171" fillId="0" borderId="0" xfId="36" applyFont="1" applyAlignment="1">
      <alignment horizontal="center" vertical="top"/>
    </xf>
    <xf numFmtId="0" fontId="10" fillId="0" borderId="0" xfId="0" applyFont="1" applyAlignment="1">
      <alignment vertical="top"/>
    </xf>
    <xf numFmtId="0" fontId="151" fillId="0" borderId="0" xfId="0" applyFont="1" applyAlignment="1">
      <alignment horizontal="center" vertical="center"/>
    </xf>
    <xf numFmtId="0" fontId="171" fillId="0" borderId="0" xfId="36" applyFont="1" applyFill="1" applyAlignment="1">
      <alignment horizontal="center" vertical="center"/>
    </xf>
    <xf numFmtId="0" fontId="171" fillId="27"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52" fillId="27" borderId="0" xfId="36" applyFont="1" applyFill="1" applyAlignment="1">
      <alignment horizontal="center" vertical="top"/>
    </xf>
    <xf numFmtId="164" fontId="171" fillId="37" borderId="15" xfId="0" applyNumberFormat="1" applyFont="1" applyFill="1" applyBorder="1" applyAlignment="1">
      <alignment horizontal="center" vertical="center"/>
    </xf>
    <xf numFmtId="164" fontId="171" fillId="37" borderId="15" xfId="36" applyNumberFormat="1" applyFont="1" applyFill="1" applyBorder="1" applyAlignment="1">
      <alignment horizontal="center" vertical="center" wrapText="1"/>
    </xf>
    <xf numFmtId="2" fontId="171" fillId="36" borderId="15" xfId="36" applyNumberFormat="1" applyFont="1" applyFill="1" applyBorder="1" applyAlignment="1">
      <alignment horizontal="center" vertical="center" wrapText="1"/>
    </xf>
    <xf numFmtId="0" fontId="171" fillId="0" borderId="0" xfId="0" applyFont="1" applyAlignment="1">
      <alignment horizontal="center" vertical="center"/>
    </xf>
    <xf numFmtId="2" fontId="171" fillId="0" borderId="0" xfId="36" applyNumberFormat="1" applyFont="1" applyFill="1" applyBorder="1" applyAlignment="1">
      <alignment horizontal="left" vertical="center" wrapText="1"/>
    </xf>
    <xf numFmtId="4" fontId="171" fillId="0" borderId="0" xfId="36" applyNumberFormat="1" applyFont="1" applyFill="1" applyBorder="1" applyAlignment="1">
      <alignment horizontal="center" vertical="center" wrapText="1"/>
    </xf>
    <xf numFmtId="0" fontId="135" fillId="0" borderId="0" xfId="39" applyFont="1" applyAlignment="1">
      <alignment vertical="center" wrapText="1"/>
    </xf>
    <xf numFmtId="0" fontId="139" fillId="0" borderId="0" xfId="36" applyFont="1">
      <alignment vertical="top"/>
    </xf>
    <xf numFmtId="0" fontId="12" fillId="0" borderId="0" xfId="0" applyFont="1"/>
    <xf numFmtId="0" fontId="152" fillId="0" borderId="0" xfId="0" applyFont="1"/>
    <xf numFmtId="0" fontId="152" fillId="36" borderId="15" xfId="0" applyFont="1" applyFill="1" applyBorder="1" applyAlignment="1">
      <alignment horizontal="center" vertical="top" wrapText="1"/>
    </xf>
    <xf numFmtId="0" fontId="152" fillId="36" borderId="15" xfId="35" applyFont="1" applyFill="1" applyBorder="1" applyAlignment="1">
      <alignment horizontal="center" vertical="top" wrapText="1"/>
    </xf>
    <xf numFmtId="0" fontId="152" fillId="36" borderId="15" xfId="0" applyFont="1" applyFill="1" applyBorder="1" applyAlignment="1">
      <alignment horizontal="center" vertical="top"/>
    </xf>
    <xf numFmtId="2" fontId="152" fillId="37" borderId="15" xfId="0" applyNumberFormat="1" applyFont="1" applyFill="1" applyBorder="1" applyAlignment="1">
      <alignment horizontal="center" vertical="center"/>
    </xf>
    <xf numFmtId="4" fontId="152" fillId="37" borderId="15" xfId="0" applyNumberFormat="1" applyFont="1" applyFill="1" applyBorder="1" applyAlignment="1">
      <alignment horizontal="center" vertical="center"/>
    </xf>
    <xf numFmtId="0" fontId="152" fillId="0" borderId="0" xfId="0" applyFont="1" applyAlignment="1">
      <alignment horizontal="center" vertical="center"/>
    </xf>
    <xf numFmtId="4" fontId="152" fillId="0" borderId="0" xfId="0" applyNumberFormat="1" applyFont="1" applyAlignment="1">
      <alignment horizontal="center" vertical="center"/>
    </xf>
    <xf numFmtId="4" fontId="16" fillId="0" borderId="0" xfId="0" applyNumberFormat="1" applyFont="1" applyAlignment="1">
      <alignment horizontal="left" vertical="center"/>
    </xf>
    <xf numFmtId="0" fontId="16" fillId="0" borderId="0" xfId="0" applyFont="1" applyAlignment="1">
      <alignment horizontal="right" vertical="center"/>
    </xf>
    <xf numFmtId="4" fontId="16" fillId="0" borderId="0" xfId="0" applyNumberFormat="1" applyFont="1" applyAlignment="1">
      <alignment horizontal="center" vertical="center"/>
    </xf>
    <xf numFmtId="49" fontId="78" fillId="0" borderId="15" xfId="0" applyNumberFormat="1" applyFont="1" applyBorder="1" applyAlignment="1">
      <alignment horizontal="center" vertical="center" wrapText="1"/>
    </xf>
    <xf numFmtId="4" fontId="172"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173" fillId="28" borderId="14" xfId="0" applyNumberFormat="1" applyFont="1" applyFill="1" applyBorder="1" applyAlignment="1">
      <alignment horizontal="center" vertical="center" wrapText="1"/>
    </xf>
    <xf numFmtId="4" fontId="78" fillId="0" borderId="15" xfId="38" applyNumberFormat="1" applyFont="1" applyFill="1" applyBorder="1" applyAlignment="1" applyProtection="1">
      <alignment horizontal="center" vertical="center" wrapText="1"/>
      <protection locked="0"/>
    </xf>
    <xf numFmtId="4" fontId="78" fillId="0" borderId="16" xfId="0" applyNumberFormat="1" applyFont="1" applyBorder="1" applyAlignment="1">
      <alignment horizontal="center" vertical="center" wrapText="1"/>
    </xf>
    <xf numFmtId="0" fontId="78" fillId="0" borderId="15" xfId="0" applyFont="1" applyBorder="1" applyAlignment="1">
      <alignment horizontal="center" vertical="center" wrapText="1"/>
    </xf>
    <xf numFmtId="49" fontId="78" fillId="0" borderId="16" xfId="0" applyNumberFormat="1" applyFont="1" applyBorder="1" applyAlignment="1">
      <alignment horizontal="center" vertical="center" wrapText="1"/>
    </xf>
    <xf numFmtId="166" fontId="78" fillId="0" borderId="15" xfId="30" applyNumberFormat="1" applyFont="1" applyBorder="1" applyAlignment="1">
      <alignment horizontal="center" vertical="center" wrapText="1"/>
    </xf>
    <xf numFmtId="4" fontId="78" fillId="0" borderId="15" xfId="0" applyNumberFormat="1" applyFont="1" applyBorder="1" applyAlignment="1">
      <alignment horizontal="center" vertical="center" wrapText="1"/>
    </xf>
    <xf numFmtId="4" fontId="78" fillId="0" borderId="21" xfId="38" applyNumberFormat="1" applyFont="1" applyFill="1" applyBorder="1" applyAlignment="1" applyProtection="1">
      <alignment horizontal="center" vertical="center" wrapText="1"/>
      <protection locked="0"/>
    </xf>
    <xf numFmtId="4" fontId="78" fillId="0" borderId="16" xfId="38" applyNumberFormat="1" applyFont="1" applyFill="1" applyBorder="1" applyAlignment="1" applyProtection="1">
      <alignment horizontal="center" vertical="center" wrapText="1"/>
      <protection locked="0"/>
    </xf>
    <xf numFmtId="49" fontId="174" fillId="0" borderId="15" xfId="0" applyNumberFormat="1" applyFont="1" applyBorder="1" applyAlignment="1">
      <alignment horizontal="center" vertical="center" wrapText="1"/>
    </xf>
    <xf numFmtId="4" fontId="175" fillId="0" borderId="15" xfId="0" applyNumberFormat="1" applyFont="1" applyBorder="1" applyAlignment="1">
      <alignment horizontal="center" vertical="center" wrapText="1"/>
    </xf>
    <xf numFmtId="49" fontId="71" fillId="0" borderId="15" xfId="0" applyNumberFormat="1" applyFont="1" applyBorder="1" applyAlignment="1">
      <alignment horizontal="center" vertical="center" wrapText="1"/>
    </xf>
    <xf numFmtId="0" fontId="71" fillId="0" borderId="15" xfId="38" applyFont="1" applyFill="1" applyBorder="1" applyAlignment="1" applyProtection="1">
      <alignment horizontal="center" vertical="center" wrapText="1"/>
      <protection locked="0"/>
    </xf>
    <xf numFmtId="4" fontId="80" fillId="0" borderId="15" xfId="0" applyNumberFormat="1" applyFont="1" applyBorder="1" applyAlignment="1">
      <alignment horizontal="center" vertical="center" wrapText="1"/>
    </xf>
    <xf numFmtId="0" fontId="78"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72" fillId="0" borderId="15" xfId="0" applyNumberFormat="1" applyFont="1" applyBorder="1" applyAlignment="1">
      <alignment horizontal="center" vertical="center"/>
    </xf>
    <xf numFmtId="4" fontId="78" fillId="0" borderId="16" xfId="38" applyNumberFormat="1" applyFont="1" applyFill="1" applyBorder="1" applyAlignment="1">
      <alignment horizontal="center" vertical="center" wrapText="1"/>
    </xf>
    <xf numFmtId="49" fontId="176" fillId="0" borderId="15" xfId="0" applyNumberFormat="1" applyFont="1" applyBorder="1" applyAlignment="1">
      <alignment horizontal="center" vertical="center" wrapText="1"/>
    </xf>
    <xf numFmtId="0" fontId="176" fillId="0" borderId="15" xfId="38" applyFont="1" applyFill="1" applyBorder="1" applyAlignment="1" applyProtection="1">
      <alignment horizontal="center" vertical="center" wrapText="1"/>
      <protection locked="0"/>
    </xf>
    <xf numFmtId="4" fontId="176" fillId="0" borderId="15" xfId="30" applyNumberFormat="1" applyFont="1" applyBorder="1" applyAlignment="1">
      <alignment horizontal="center" vertical="center"/>
    </xf>
    <xf numFmtId="4" fontId="176" fillId="0" borderId="15" xfId="0" applyNumberFormat="1" applyFont="1" applyBorder="1" applyAlignment="1">
      <alignment horizontal="center" vertical="center" wrapText="1"/>
    </xf>
    <xf numFmtId="4" fontId="172" fillId="0" borderId="15" xfId="38" applyNumberFormat="1" applyFont="1" applyFill="1" applyBorder="1" applyAlignment="1">
      <alignment horizontal="center" vertical="center" wrapText="1"/>
    </xf>
    <xf numFmtId="4" fontId="177" fillId="0" borderId="15" xfId="0" applyNumberFormat="1" applyFont="1" applyBorder="1" applyAlignment="1">
      <alignment horizontal="center" vertical="center" wrapText="1"/>
    </xf>
    <xf numFmtId="49" fontId="178" fillId="0" borderId="15" xfId="0" applyNumberFormat="1" applyFont="1" applyBorder="1" applyAlignment="1">
      <alignment horizontal="center" vertical="center" wrapText="1"/>
    </xf>
    <xf numFmtId="0" fontId="178" fillId="0" borderId="17" xfId="38" applyFont="1" applyFill="1" applyBorder="1" applyAlignment="1" applyProtection="1">
      <alignment horizontal="center" vertical="center" wrapText="1"/>
      <protection locked="0"/>
    </xf>
    <xf numFmtId="4" fontId="173" fillId="31" borderId="8" xfId="0" applyNumberFormat="1" applyFont="1" applyFill="1" applyBorder="1" applyAlignment="1">
      <alignment horizontal="center" vertical="center" wrapText="1"/>
    </xf>
    <xf numFmtId="4" fontId="30" fillId="0" borderId="16" xfId="38" applyNumberFormat="1" applyFont="1" applyFill="1" applyBorder="1" applyAlignment="1">
      <alignment horizontal="center" vertical="center" wrapText="1"/>
    </xf>
    <xf numFmtId="4" fontId="30" fillId="0" borderId="15" xfId="38" applyNumberFormat="1" applyFont="1" applyFill="1" applyBorder="1" applyAlignment="1">
      <alignment horizontal="center" vertical="center" wrapText="1"/>
    </xf>
    <xf numFmtId="4" fontId="31" fillId="0" borderId="15"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pplyProtection="1">
      <alignment horizontal="center" vertical="center" wrapText="1"/>
      <protection locked="0"/>
    </xf>
    <xf numFmtId="4" fontId="32" fillId="0" borderId="15" xfId="0" applyNumberFormat="1" applyFont="1" applyBorder="1" applyAlignment="1">
      <alignment horizontal="center" vertical="center" wrapText="1"/>
    </xf>
    <xf numFmtId="166" fontId="30" fillId="0" borderId="15" xfId="30" applyNumberFormat="1" applyFont="1" applyBorder="1" applyAlignment="1">
      <alignment horizontal="center" vertical="center" wrapText="1"/>
    </xf>
    <xf numFmtId="4" fontId="173" fillId="28" borderId="8" xfId="0" applyNumberFormat="1" applyFont="1" applyFill="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66" fillId="0" borderId="15" xfId="0" applyNumberFormat="1" applyFont="1" applyBorder="1" applyAlignment="1">
      <alignment horizontal="center" vertical="center" wrapText="1"/>
    </xf>
    <xf numFmtId="4" fontId="66"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9" fontId="29" fillId="39" borderId="15" xfId="0" applyNumberFormat="1" applyFont="1" applyFill="1" applyBorder="1" applyAlignment="1">
      <alignment horizontal="center" vertical="center" wrapText="1"/>
    </xf>
    <xf numFmtId="0" fontId="29" fillId="39" borderId="15" xfId="38" applyFont="1" applyFill="1" applyBorder="1" applyAlignment="1" applyProtection="1">
      <alignment horizontal="center" vertical="center" wrapText="1"/>
      <protection locked="0"/>
    </xf>
    <xf numFmtId="4" fontId="29" fillId="39" borderId="15" xfId="38" applyNumberFormat="1" applyFont="1" applyFill="1" applyBorder="1" applyAlignment="1" applyProtection="1">
      <alignment horizontal="center" vertical="center" wrapText="1"/>
      <protection locked="0"/>
    </xf>
    <xf numFmtId="49" fontId="66" fillId="40" borderId="15" xfId="0" applyNumberFormat="1" applyFont="1" applyFill="1" applyBorder="1" applyAlignment="1">
      <alignment horizontal="center" vertical="center" wrapText="1"/>
    </xf>
    <xf numFmtId="0" fontId="66" fillId="40" borderId="15" xfId="38" applyFont="1" applyFill="1" applyBorder="1" applyAlignment="1" applyProtection="1">
      <alignment horizontal="center" vertical="center" wrapText="1"/>
      <protection locked="0"/>
    </xf>
    <xf numFmtId="4" fontId="66" fillId="40" borderId="15" xfId="38" applyNumberFormat="1" applyFont="1" applyFill="1" applyBorder="1" applyAlignment="1" applyProtection="1">
      <alignment horizontal="center" vertical="center" wrapText="1"/>
      <protection locked="0"/>
    </xf>
    <xf numFmtId="4" fontId="66" fillId="40" borderId="15" xfId="0" applyNumberFormat="1" applyFont="1" applyFill="1" applyBorder="1" applyAlignment="1">
      <alignment horizontal="center" vertical="center" wrapText="1"/>
    </xf>
    <xf numFmtId="49" fontId="179" fillId="0" borderId="15" xfId="0" applyNumberFormat="1" applyFont="1" applyBorder="1" applyAlignment="1">
      <alignment horizontal="center" vertical="center" wrapText="1"/>
    </xf>
    <xf numFmtId="4" fontId="83"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1" fillId="0" borderId="15" xfId="38" applyNumberFormat="1" applyFont="1" applyFill="1" applyBorder="1" applyAlignment="1" applyProtection="1">
      <alignment horizontal="center" vertical="center" wrapText="1"/>
      <protection locked="0"/>
    </xf>
    <xf numFmtId="4" fontId="32" fillId="0" borderId="15" xfId="38" applyNumberFormat="1" applyFont="1" applyFill="1" applyBorder="1" applyAlignment="1">
      <alignment horizontal="center" vertical="center" wrapText="1"/>
    </xf>
    <xf numFmtId="4" fontId="135" fillId="0" borderId="15" xfId="0" applyNumberFormat="1" applyFont="1" applyBorder="1" applyAlignment="1">
      <alignment horizontal="center" vertical="center" wrapText="1"/>
    </xf>
    <xf numFmtId="4" fontId="79"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0" fontId="135" fillId="0" borderId="15" xfId="38" applyFont="1" applyFill="1" applyBorder="1" applyAlignment="1" applyProtection="1">
      <alignment horizontal="center" vertical="center" wrapText="1"/>
      <protection locked="0"/>
    </xf>
    <xf numFmtId="9" fontId="136" fillId="0" borderId="15" xfId="0" applyNumberFormat="1" applyFont="1" applyBorder="1" applyAlignment="1">
      <alignment horizontal="center" vertical="center" wrapText="1"/>
    </xf>
    <xf numFmtId="9" fontId="108" fillId="0" borderId="15" xfId="0" applyNumberFormat="1" applyFont="1" applyBorder="1" applyAlignment="1">
      <alignment horizontal="center" vertical="center" wrapText="1"/>
    </xf>
    <xf numFmtId="9" fontId="181" fillId="0" borderId="15" xfId="0" applyNumberFormat="1" applyFont="1" applyBorder="1" applyAlignment="1">
      <alignment horizontal="center" vertical="center" wrapText="1"/>
    </xf>
    <xf numFmtId="4" fontId="177" fillId="0" borderId="15" xfId="38" applyNumberFormat="1" applyFont="1" applyFill="1" applyBorder="1" applyAlignment="1" applyProtection="1">
      <alignment horizontal="center" vertical="center" wrapText="1"/>
      <protection locked="0"/>
    </xf>
    <xf numFmtId="4" fontId="78" fillId="0" borderId="15" xfId="38" applyNumberFormat="1" applyFont="1" applyFill="1" applyBorder="1" applyAlignment="1">
      <alignment horizontal="center" vertical="center" wrapText="1"/>
    </xf>
    <xf numFmtId="49" fontId="136" fillId="40" borderId="15" xfId="0" applyNumberFormat="1" applyFont="1" applyFill="1" applyBorder="1" applyAlignment="1">
      <alignment horizontal="center" vertical="center" wrapText="1"/>
    </xf>
    <xf numFmtId="4" fontId="136" fillId="40" borderId="15" xfId="0" applyNumberFormat="1" applyFont="1" applyFill="1" applyBorder="1" applyAlignment="1">
      <alignment horizontal="center" vertical="center" wrapText="1"/>
    </xf>
    <xf numFmtId="49" fontId="137" fillId="39" borderId="15" xfId="0" applyNumberFormat="1" applyFont="1" applyFill="1" applyBorder="1" applyAlignment="1">
      <alignment horizontal="center" vertical="center" wrapText="1"/>
    </xf>
    <xf numFmtId="0" fontId="137" fillId="39" borderId="15" xfId="38" applyFont="1" applyFill="1" applyBorder="1" applyAlignment="1" applyProtection="1">
      <alignment horizontal="center" vertical="center" wrapText="1"/>
      <protection locked="0"/>
    </xf>
    <xf numFmtId="4" fontId="137" fillId="39" borderId="15" xfId="0" applyNumberFormat="1" applyFont="1" applyFill="1" applyBorder="1" applyAlignment="1">
      <alignment horizontal="center" vertical="center" wrapText="1"/>
    </xf>
    <xf numFmtId="4" fontId="182" fillId="28" borderId="14" xfId="0" applyNumberFormat="1" applyFont="1" applyFill="1" applyBorder="1" applyAlignment="1">
      <alignment horizontal="center" vertical="center" wrapText="1"/>
    </xf>
    <xf numFmtId="4" fontId="182" fillId="28" borderId="8" xfId="0" applyNumberFormat="1" applyFont="1" applyFill="1" applyBorder="1" applyAlignment="1">
      <alignment horizontal="center" vertical="center" wrapText="1"/>
    </xf>
    <xf numFmtId="49" fontId="180" fillId="39" borderId="15" xfId="0" applyNumberFormat="1" applyFont="1" applyFill="1" applyBorder="1" applyAlignment="1">
      <alignment horizontal="center" vertical="center" wrapText="1"/>
    </xf>
    <xf numFmtId="4" fontId="135" fillId="0" borderId="15" xfId="30" applyNumberFormat="1" applyFont="1" applyBorder="1" applyAlignment="1">
      <alignment horizontal="center" vertical="center"/>
    </xf>
    <xf numFmtId="9" fontId="135" fillId="0" borderId="15" xfId="0" applyNumberFormat="1" applyFont="1" applyBorder="1" applyAlignment="1">
      <alignment horizontal="center" vertical="center" wrapText="1"/>
    </xf>
    <xf numFmtId="0" fontId="29" fillId="0" borderId="15" xfId="38" applyFont="1" applyFill="1" applyBorder="1" applyAlignment="1" applyProtection="1">
      <alignment horizontal="center" vertical="center" wrapText="1"/>
      <protection locked="0"/>
    </xf>
    <xf numFmtId="4" fontId="83" fillId="0" borderId="15" xfId="38" applyNumberFormat="1"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center" wrapText="1"/>
      <protection locked="0"/>
    </xf>
    <xf numFmtId="0" fontId="66" fillId="0" borderId="17" xfId="38" applyFont="1" applyFill="1" applyBorder="1" applyAlignment="1" applyProtection="1">
      <alignment horizontal="center" vertical="center" wrapText="1"/>
      <protection locked="0"/>
    </xf>
    <xf numFmtId="4" fontId="183" fillId="27" borderId="0" xfId="0" applyNumberFormat="1" applyFont="1" applyFill="1" applyAlignment="1">
      <alignment horizontal="center" vertical="center" wrapText="1"/>
    </xf>
    <xf numFmtId="4" fontId="79" fillId="0" borderId="15" xfId="38" applyNumberFormat="1" applyFont="1" applyFill="1" applyBorder="1" applyAlignment="1" applyProtection="1">
      <alignment horizontal="center" vertical="center" wrapText="1"/>
      <protection locked="0"/>
    </xf>
    <xf numFmtId="4" fontId="185" fillId="27" borderId="15" xfId="0" applyNumberFormat="1" applyFont="1" applyFill="1" applyBorder="1" applyAlignment="1">
      <alignment horizontal="center" vertical="center"/>
    </xf>
    <xf numFmtId="0" fontId="178" fillId="0" borderId="15" xfId="0" applyFont="1" applyBorder="1" applyAlignment="1">
      <alignment horizontal="center" vertical="center" wrapText="1"/>
    </xf>
    <xf numFmtId="4" fontId="177" fillId="0" borderId="15" xfId="0" applyNumberFormat="1" applyFont="1" applyBorder="1" applyAlignment="1">
      <alignment horizontal="center" vertical="center"/>
    </xf>
    <xf numFmtId="0" fontId="186" fillId="0" borderId="23" xfId="0" applyFont="1" applyBorder="1" applyAlignment="1">
      <alignment horizontal="center" vertical="center" wrapText="1"/>
    </xf>
    <xf numFmtId="0" fontId="186" fillId="0" borderId="23" xfId="0" applyFont="1" applyBorder="1" applyAlignment="1">
      <alignment horizontal="left" vertical="center" wrapText="1"/>
    </xf>
    <xf numFmtId="4" fontId="186" fillId="0" borderId="23" xfId="0" applyNumberFormat="1" applyFont="1" applyBorder="1" applyAlignment="1">
      <alignment horizontal="center" vertical="center" wrapText="1"/>
    </xf>
    <xf numFmtId="0" fontId="187" fillId="0" borderId="23" xfId="0" applyFont="1" applyBorder="1" applyAlignment="1">
      <alignment horizontal="center" vertical="center" wrapText="1"/>
    </xf>
    <xf numFmtId="0" fontId="187" fillId="0" borderId="23" xfId="0" applyFont="1" applyBorder="1" applyAlignment="1">
      <alignment horizontal="left" vertical="center" wrapText="1"/>
    </xf>
    <xf numFmtId="4" fontId="187" fillId="0" borderId="23" xfId="0" applyNumberFormat="1" applyFont="1" applyBorder="1" applyAlignment="1">
      <alignment horizontal="center" vertical="center" wrapText="1"/>
    </xf>
    <xf numFmtId="0" fontId="188" fillId="0" borderId="23" xfId="0" applyFont="1" applyBorder="1" applyAlignment="1">
      <alignment horizontal="center" vertical="center" wrapText="1"/>
    </xf>
    <xf numFmtId="0" fontId="188" fillId="0" borderId="23" xfId="0" applyFont="1" applyBorder="1" applyAlignment="1">
      <alignment horizontal="left" vertical="center" wrapText="1"/>
    </xf>
    <xf numFmtId="4" fontId="188" fillId="0" borderId="23" xfId="0" applyNumberFormat="1" applyFont="1" applyBorder="1" applyAlignment="1">
      <alignment horizontal="center" vertical="center" wrapText="1"/>
    </xf>
    <xf numFmtId="0" fontId="189" fillId="0" borderId="23" xfId="0" applyFont="1" applyBorder="1" applyAlignment="1">
      <alignment horizontal="center" vertical="center" wrapText="1"/>
    </xf>
    <xf numFmtId="0" fontId="189" fillId="0" borderId="23" xfId="0" applyFont="1" applyBorder="1" applyAlignment="1">
      <alignment horizontal="left" vertical="center" wrapText="1"/>
    </xf>
    <xf numFmtId="4" fontId="189" fillId="0" borderId="23" xfId="0" applyNumberFormat="1" applyFont="1" applyBorder="1" applyAlignment="1">
      <alignment horizontal="center" vertical="center" wrapText="1"/>
    </xf>
    <xf numFmtId="49" fontId="180" fillId="0" borderId="15" xfId="0" applyNumberFormat="1" applyFont="1" applyBorder="1" applyAlignment="1">
      <alignment horizontal="center" vertical="center" wrapText="1"/>
    </xf>
    <xf numFmtId="0" fontId="180" fillId="0" borderId="15" xfId="38" applyFont="1" applyFill="1" applyBorder="1" applyAlignment="1" applyProtection="1">
      <alignment horizontal="center" vertical="center" wrapText="1"/>
      <protection locked="0"/>
    </xf>
    <xf numFmtId="49" fontId="181" fillId="0" borderId="15" xfId="0" applyNumberFormat="1" applyFont="1" applyBorder="1" applyAlignment="1">
      <alignment horizontal="center" vertical="center" wrapText="1"/>
    </xf>
    <xf numFmtId="0" fontId="181" fillId="0" borderId="15" xfId="38" applyFont="1" applyFill="1" applyBorder="1" applyAlignment="1" applyProtection="1">
      <alignment horizontal="center" vertical="center" wrapText="1"/>
      <protection locked="0"/>
    </xf>
    <xf numFmtId="49" fontId="176" fillId="0" borderId="15" xfId="35" applyNumberFormat="1" applyFont="1" applyBorder="1" applyAlignment="1">
      <alignment horizontal="center" vertical="center" wrapText="1"/>
    </xf>
    <xf numFmtId="49" fontId="190" fillId="0" borderId="15" xfId="0" applyNumberFormat="1" applyFont="1" applyBorder="1" applyAlignment="1">
      <alignment horizontal="center" vertical="center" wrapText="1"/>
    </xf>
    <xf numFmtId="0" fontId="190" fillId="0" borderId="15" xfId="38" applyFont="1" applyFill="1" applyBorder="1" applyAlignment="1" applyProtection="1">
      <alignment horizontal="center" vertical="center" wrapText="1"/>
      <protection locked="0"/>
    </xf>
    <xf numFmtId="0" fontId="176" fillId="0" borderId="15" xfId="35" applyFont="1" applyBorder="1" applyAlignment="1">
      <alignment horizontal="center" vertical="center" wrapText="1"/>
    </xf>
    <xf numFmtId="0" fontId="186" fillId="0" borderId="0" xfId="35" applyFont="1"/>
    <xf numFmtId="4" fontId="176" fillId="0" borderId="15" xfId="35" applyNumberFormat="1" applyFont="1" applyBorder="1" applyAlignment="1">
      <alignment horizontal="center" vertical="center"/>
    </xf>
    <xf numFmtId="4" fontId="190" fillId="0" borderId="15" xfId="0" applyNumberFormat="1" applyFont="1" applyBorder="1" applyAlignment="1">
      <alignment horizontal="center" vertical="center" wrapText="1"/>
    </xf>
    <xf numFmtId="4" fontId="181" fillId="0" borderId="15" xfId="0" applyNumberFormat="1" applyFont="1" applyBorder="1" applyAlignment="1">
      <alignment horizontal="center" vertical="center" wrapText="1"/>
    </xf>
    <xf numFmtId="4" fontId="180" fillId="0" borderId="15" xfId="0" applyNumberFormat="1" applyFont="1" applyBorder="1" applyAlignment="1">
      <alignment horizontal="center" vertical="center" wrapText="1"/>
    </xf>
    <xf numFmtId="0" fontId="136" fillId="40" borderId="15" xfId="38" applyFont="1" applyFill="1" applyBorder="1" applyAlignment="1" applyProtection="1">
      <alignment horizontal="center" vertical="center" wrapText="1"/>
      <protection locked="0"/>
    </xf>
    <xf numFmtId="4" fontId="136" fillId="40" borderId="15" xfId="38" applyNumberFormat="1" applyFont="1" applyFill="1" applyBorder="1" applyAlignment="1" applyProtection="1">
      <alignment horizontal="center" vertical="center" wrapText="1"/>
      <protection locked="0"/>
    </xf>
    <xf numFmtId="4" fontId="137" fillId="39"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lignment horizontal="center" vertical="center" wrapText="1"/>
    </xf>
    <xf numFmtId="0" fontId="173" fillId="27" borderId="0" xfId="0" applyFont="1" applyFill="1" applyAlignment="1">
      <alignment horizontal="center" vertical="center"/>
    </xf>
    <xf numFmtId="0" fontId="30" fillId="0" borderId="16" xfId="38" applyFont="1" applyFill="1" applyBorder="1" applyAlignment="1" applyProtection="1">
      <alignment horizontal="center" vertical="center" wrapText="1"/>
      <protection locked="0"/>
    </xf>
    <xf numFmtId="49" fontId="179"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29" fillId="0" borderId="16" xfId="0" applyNumberFormat="1" applyFont="1" applyBorder="1" applyAlignment="1">
      <alignment horizontal="center" vertical="center" wrapText="1"/>
    </xf>
    <xf numFmtId="166" fontId="30" fillId="0" borderId="16" xfId="30" applyNumberFormat="1" applyFont="1" applyBorder="1" applyAlignment="1">
      <alignment horizontal="center" vertical="center" wrapText="1"/>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92"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2" fontId="193" fillId="27" borderId="0" xfId="36" applyNumberFormat="1" applyFont="1" applyFill="1" applyAlignment="1">
      <alignment horizontal="center" vertical="top"/>
    </xf>
    <xf numFmtId="4" fontId="195" fillId="41" borderId="15" xfId="0" applyNumberFormat="1" applyFont="1" applyFill="1" applyBorder="1" applyAlignment="1">
      <alignment horizontal="center" vertical="center" wrapText="1"/>
    </xf>
    <xf numFmtId="4" fontId="195" fillId="26" borderId="15" xfId="0" applyNumberFormat="1" applyFont="1" applyFill="1" applyBorder="1" applyAlignment="1">
      <alignment horizontal="center" vertical="center" wrapText="1"/>
    </xf>
    <xf numFmtId="4" fontId="93" fillId="28" borderId="14" xfId="0" applyNumberFormat="1" applyFont="1" applyFill="1" applyBorder="1" applyAlignment="1">
      <alignment horizontal="center" vertical="center" wrapText="1"/>
    </xf>
    <xf numFmtId="4" fontId="93" fillId="28" borderId="8" xfId="0" applyNumberFormat="1" applyFont="1" applyFill="1" applyBorder="1" applyAlignment="1">
      <alignment horizontal="center" vertical="center" wrapText="1"/>
    </xf>
    <xf numFmtId="0" fontId="182" fillId="27" borderId="0" xfId="0" applyFont="1" applyFill="1" applyAlignment="1">
      <alignment horizontal="center" vertical="center"/>
    </xf>
    <xf numFmtId="4" fontId="196" fillId="27" borderId="0" xfId="0" applyNumberFormat="1" applyFont="1" applyFill="1" applyAlignment="1">
      <alignment horizontal="left" vertical="center"/>
    </xf>
    <xf numFmtId="49" fontId="136" fillId="0" borderId="15" xfId="0" applyNumberFormat="1" applyFont="1" applyBorder="1" applyAlignment="1">
      <alignment horizontal="center" vertical="center" wrapText="1"/>
    </xf>
    <xf numFmtId="0" fontId="136" fillId="0" borderId="15" xfId="38" applyFont="1" applyFill="1" applyBorder="1" applyAlignment="1" applyProtection="1">
      <alignment horizontal="center" vertical="center" wrapText="1"/>
      <protection locked="0"/>
    </xf>
    <xf numFmtId="49" fontId="137" fillId="0" borderId="15" xfId="0" applyNumberFormat="1" applyFont="1" applyBorder="1" applyAlignment="1">
      <alignment horizontal="center" vertical="center" wrapText="1"/>
    </xf>
    <xf numFmtId="0" fontId="137" fillId="0" borderId="15" xfId="38" applyFont="1" applyFill="1" applyBorder="1" applyAlignment="1" applyProtection="1">
      <alignment horizontal="center" vertical="center" wrapText="1"/>
      <protection locked="0"/>
    </xf>
    <xf numFmtId="49" fontId="135" fillId="0" borderId="15" xfId="35" applyNumberFormat="1" applyFont="1" applyBorder="1" applyAlignment="1">
      <alignment horizontal="center" vertical="center" wrapText="1"/>
    </xf>
    <xf numFmtId="49" fontId="197" fillId="0" borderId="15" xfId="0" applyNumberFormat="1" applyFont="1" applyBorder="1" applyAlignment="1">
      <alignment horizontal="center" vertical="center" wrapText="1"/>
    </xf>
    <xf numFmtId="0" fontId="197" fillId="0" borderId="15" xfId="38" applyFont="1" applyFill="1" applyBorder="1" applyAlignment="1" applyProtection="1">
      <alignment horizontal="center" vertical="center" wrapText="1"/>
      <protection locked="0"/>
    </xf>
    <xf numFmtId="4" fontId="135" fillId="0" borderId="15" xfId="35" applyNumberFormat="1" applyFont="1" applyBorder="1" applyAlignment="1">
      <alignment horizontal="center" vertical="center"/>
    </xf>
    <xf numFmtId="4" fontId="197" fillId="0" borderId="15" xfId="0" applyNumberFormat="1" applyFont="1" applyBorder="1" applyAlignment="1">
      <alignment horizontal="center" vertical="center" wrapText="1"/>
    </xf>
    <xf numFmtId="4" fontId="136" fillId="0" borderId="15" xfId="0" applyNumberFormat="1" applyFont="1" applyBorder="1" applyAlignment="1">
      <alignment horizontal="center" vertical="center" wrapText="1"/>
    </xf>
    <xf numFmtId="4" fontId="137" fillId="0" borderId="15" xfId="0" applyNumberFormat="1" applyFont="1" applyBorder="1" applyAlignment="1">
      <alignment horizontal="center" vertical="center" wrapText="1"/>
    </xf>
    <xf numFmtId="0" fontId="198" fillId="0" borderId="0" xfId="35" applyFont="1" applyAlignment="1">
      <alignment horizontal="center" vertical="center"/>
    </xf>
    <xf numFmtId="49" fontId="30" fillId="0" borderId="15" xfId="0" applyNumberFormat="1" applyFont="1" applyBorder="1" applyAlignment="1">
      <alignment horizontal="center" vertical="center"/>
    </xf>
    <xf numFmtId="49" fontId="179" fillId="0" borderId="15" xfId="0" applyNumberFormat="1" applyFont="1" applyBorder="1" applyAlignment="1">
      <alignment horizontal="center" vertical="center"/>
    </xf>
    <xf numFmtId="4" fontId="199" fillId="33" borderId="0" xfId="0" applyNumberFormat="1" applyFont="1" applyFill="1"/>
    <xf numFmtId="0" fontId="199" fillId="33" borderId="0" xfId="0" applyFont="1" applyFill="1"/>
    <xf numFmtId="0" fontId="199" fillId="27" borderId="0" xfId="0" applyFont="1" applyFill="1"/>
    <xf numFmtId="4" fontId="195" fillId="0" borderId="15" xfId="0" applyNumberFormat="1" applyFont="1" applyBorder="1" applyAlignment="1">
      <alignment horizontal="center" vertical="center" wrapText="1"/>
    </xf>
    <xf numFmtId="0" fontId="12" fillId="0" borderId="23" xfId="39" applyBorder="1" applyAlignment="1">
      <alignment horizontal="center" vertical="center" wrapText="1"/>
    </xf>
    <xf numFmtId="0" fontId="12" fillId="0" borderId="23" xfId="39" applyBorder="1" applyAlignment="1">
      <alignment vertical="center" wrapText="1"/>
    </xf>
    <xf numFmtId="4" fontId="155" fillId="0" borderId="23" xfId="39" applyNumberFormat="1" applyFont="1" applyBorder="1" applyAlignment="1">
      <alignment horizontal="center" vertical="center" wrapText="1"/>
    </xf>
    <xf numFmtId="4" fontId="12" fillId="0" borderId="23" xfId="39" applyNumberFormat="1" applyBorder="1" applyAlignment="1">
      <alignment horizontal="center" vertical="center" wrapText="1"/>
    </xf>
    <xf numFmtId="0" fontId="200" fillId="0" borderId="23" xfId="39" applyFont="1" applyBorder="1" applyAlignment="1">
      <alignment horizontal="center" vertical="center" wrapText="1"/>
    </xf>
    <xf numFmtId="0" fontId="200" fillId="0" borderId="23" xfId="39" applyFont="1" applyBorder="1" applyAlignment="1">
      <alignment vertical="center" wrapText="1"/>
    </xf>
    <xf numFmtId="4" fontId="200" fillId="0" borderId="23" xfId="39" applyNumberFormat="1" applyFont="1" applyBorder="1" applyAlignment="1">
      <alignment horizontal="center" vertical="center" wrapText="1"/>
    </xf>
    <xf numFmtId="0" fontId="12" fillId="0" borderId="23" xfId="37" applyFont="1" applyBorder="1" applyAlignment="1">
      <alignment horizontal="justify" vertical="center" wrapText="1"/>
    </xf>
    <xf numFmtId="0" fontId="155" fillId="0" borderId="23" xfId="37" applyFont="1" applyBorder="1" applyAlignment="1">
      <alignment horizontal="center" vertical="center" wrapText="1"/>
    </xf>
    <xf numFmtId="0" fontId="200" fillId="0" borderId="23" xfId="37" applyFont="1" applyBorder="1" applyAlignment="1">
      <alignment horizontal="justify" vertical="center" wrapText="1"/>
    </xf>
    <xf numFmtId="0" fontId="12" fillId="0" borderId="23" xfId="37" applyFont="1" applyBorder="1" applyAlignment="1">
      <alignment horizontal="left" vertical="center" wrapText="1"/>
    </xf>
    <xf numFmtId="0" fontId="200" fillId="0" borderId="23" xfId="37" applyFont="1" applyBorder="1" applyAlignment="1">
      <alignment horizontal="left" vertical="center" wrapText="1"/>
    </xf>
    <xf numFmtId="0" fontId="155" fillId="0" borderId="23" xfId="37" applyFont="1" applyBorder="1" applyAlignment="1">
      <alignment horizontal="justify" vertical="center" wrapText="1"/>
    </xf>
    <xf numFmtId="0" fontId="155" fillId="39" borderId="23" xfId="39" applyFont="1" applyFill="1" applyBorder="1" applyAlignment="1">
      <alignment horizontal="center" vertical="center" wrapText="1"/>
    </xf>
    <xf numFmtId="4" fontId="155" fillId="39" borderId="23" xfId="39" applyNumberFormat="1" applyFont="1" applyFill="1" applyBorder="1" applyAlignment="1">
      <alignment horizontal="center" vertical="center" wrapText="1"/>
    </xf>
    <xf numFmtId="0" fontId="12" fillId="0" borderId="23" xfId="37" applyFont="1" applyBorder="1" applyAlignment="1">
      <alignment vertical="center" wrapText="1"/>
    </xf>
    <xf numFmtId="0" fontId="200" fillId="0" borderId="23" xfId="37" applyFont="1" applyBorder="1" applyAlignment="1">
      <alignment vertical="center" wrapText="1"/>
    </xf>
    <xf numFmtId="0" fontId="155" fillId="0" borderId="23" xfId="37" applyFont="1" applyBorder="1" applyAlignment="1">
      <alignment vertical="center" wrapText="1"/>
    </xf>
    <xf numFmtId="0" fontId="12" fillId="0" borderId="23" xfId="0" applyFont="1" applyBorder="1" applyAlignment="1">
      <alignment horizontal="justify" vertical="center"/>
    </xf>
    <xf numFmtId="0" fontId="155" fillId="0" borderId="23" xfId="39" applyFont="1" applyBorder="1" applyAlignment="1">
      <alignment vertical="center" wrapText="1"/>
    </xf>
    <xf numFmtId="4" fontId="188" fillId="42" borderId="23" xfId="39" applyNumberFormat="1" applyFont="1" applyFill="1" applyBorder="1" applyAlignment="1">
      <alignment horizontal="center" vertical="center" wrapText="1"/>
    </xf>
    <xf numFmtId="0" fontId="188" fillId="42" borderId="23" xfId="39" applyFont="1" applyFill="1" applyBorder="1" applyAlignment="1">
      <alignment horizontal="center" vertical="center" wrapText="1"/>
    </xf>
    <xf numFmtId="0" fontId="188" fillId="42" borderId="23" xfId="37" applyFont="1" applyFill="1" applyBorder="1" applyAlignment="1">
      <alignment horizontal="center" vertical="center" wrapText="1"/>
    </xf>
    <xf numFmtId="0" fontId="188" fillId="0" borderId="23" xfId="39" applyFont="1" applyBorder="1" applyAlignment="1">
      <alignment horizontal="center" vertical="center" wrapText="1"/>
    </xf>
    <xf numFmtId="0" fontId="188" fillId="0" borderId="23" xfId="37" applyFont="1" applyBorder="1" applyAlignment="1">
      <alignment horizontal="center" vertical="center" wrapText="1"/>
    </xf>
    <xf numFmtId="4" fontId="188" fillId="0" borderId="23" xfId="39" applyNumberFormat="1" applyFont="1" applyBorder="1" applyAlignment="1">
      <alignment horizontal="center" vertical="center" wrapText="1"/>
    </xf>
    <xf numFmtId="0" fontId="186" fillId="0" borderId="23" xfId="39" applyFont="1" applyBorder="1" applyAlignment="1">
      <alignment horizontal="center" vertical="center" wrapText="1"/>
    </xf>
    <xf numFmtId="0" fontId="186" fillId="0" borderId="23" xfId="37" applyFont="1" applyBorder="1" applyAlignment="1">
      <alignment horizontal="justify" vertical="center" wrapText="1"/>
    </xf>
    <xf numFmtId="4" fontId="186" fillId="0" borderId="23" xfId="39" applyNumberFormat="1" applyFont="1" applyBorder="1" applyAlignment="1">
      <alignment horizontal="center" vertical="center" wrapText="1"/>
    </xf>
    <xf numFmtId="0" fontId="186" fillId="0" borderId="23" xfId="39" applyFont="1" applyBorder="1" applyAlignment="1">
      <alignment vertical="center" wrapText="1"/>
    </xf>
    <xf numFmtId="0" fontId="189" fillId="0" borderId="23" xfId="39" applyFont="1" applyBorder="1" applyAlignment="1">
      <alignment vertical="center" wrapText="1"/>
    </xf>
    <xf numFmtId="4" fontId="187" fillId="0" borderId="23" xfId="39" applyNumberFormat="1" applyFont="1" applyBorder="1" applyAlignment="1">
      <alignment horizontal="center" vertical="center" wrapText="1"/>
    </xf>
    <xf numFmtId="4" fontId="189" fillId="0" borderId="23" xfId="39" applyNumberFormat="1" applyFont="1" applyBorder="1" applyAlignment="1">
      <alignment horizontal="center" vertical="center" wrapText="1"/>
    </xf>
    <xf numFmtId="0" fontId="188" fillId="0" borderId="23" xfId="39" applyFont="1" applyBorder="1" applyAlignment="1">
      <alignment vertical="center" wrapText="1"/>
    </xf>
    <xf numFmtId="4" fontId="185" fillId="0" borderId="0" xfId="39" applyNumberFormat="1" applyFont="1"/>
    <xf numFmtId="4" fontId="201" fillId="27" borderId="0" xfId="0" applyNumberFormat="1" applyFont="1" applyFill="1" applyAlignment="1">
      <alignment vertical="center"/>
    </xf>
    <xf numFmtId="4" fontId="202" fillId="27" borderId="0" xfId="0" applyNumberFormat="1" applyFont="1" applyFill="1" applyAlignment="1">
      <alignment horizontal="center" vertical="center"/>
    </xf>
    <xf numFmtId="4" fontId="155" fillId="0" borderId="23" xfId="0" applyNumberFormat="1" applyFont="1" applyBorder="1" applyAlignment="1">
      <alignment horizontal="center" vertical="center" wrapText="1"/>
    </xf>
    <xf numFmtId="4" fontId="155" fillId="0" borderId="23" xfId="0" applyNumberFormat="1" applyFont="1" applyBorder="1" applyAlignment="1">
      <alignment horizontal="left" vertical="center" wrapText="1"/>
    </xf>
    <xf numFmtId="0" fontId="200" fillId="0" borderId="23" xfId="0" applyFont="1" applyBorder="1" applyAlignment="1">
      <alignment horizontal="center" vertical="center" wrapText="1"/>
    </xf>
    <xf numFmtId="4" fontId="200" fillId="0" borderId="23" xfId="0" applyNumberFormat="1" applyFont="1" applyBorder="1" applyAlignment="1">
      <alignment horizontal="left" vertical="center" wrapText="1"/>
    </xf>
    <xf numFmtId="4" fontId="200" fillId="0" borderId="23" xfId="0" applyNumberFormat="1" applyFont="1" applyBorder="1" applyAlignment="1">
      <alignment horizontal="center" vertical="center" wrapText="1"/>
    </xf>
    <xf numFmtId="0" fontId="200" fillId="0" borderId="23" xfId="0" applyFont="1" applyBorder="1" applyAlignment="1">
      <alignment horizontal="left" vertical="center" wrapText="1"/>
    </xf>
    <xf numFmtId="0" fontId="155" fillId="0" borderId="23" xfId="0" applyFont="1" applyBorder="1" applyAlignment="1">
      <alignment horizontal="center" vertical="center" wrapText="1"/>
    </xf>
    <xf numFmtId="0" fontId="155" fillId="0" borderId="23" xfId="0" applyFont="1" applyBorder="1" applyAlignment="1">
      <alignment horizontal="left" vertical="center" wrapText="1"/>
    </xf>
    <xf numFmtId="0" fontId="203" fillId="0" borderId="23" xfId="0" applyFont="1" applyBorder="1" applyAlignment="1">
      <alignment horizontal="center" vertical="center" wrapText="1"/>
    </xf>
    <xf numFmtId="0" fontId="203" fillId="0" borderId="23" xfId="0" applyFont="1" applyBorder="1" applyAlignment="1">
      <alignment horizontal="left" vertical="center" wrapText="1"/>
    </xf>
    <xf numFmtId="4" fontId="203" fillId="0" borderId="23" xfId="0" applyNumberFormat="1" applyFont="1" applyBorder="1" applyAlignment="1">
      <alignment horizontal="center" vertical="center" wrapText="1"/>
    </xf>
    <xf numFmtId="49" fontId="30" fillId="36" borderId="19" xfId="0" applyNumberFormat="1" applyFont="1" applyFill="1" applyBorder="1" applyAlignment="1">
      <alignment horizontal="center" vertical="center" wrapText="1"/>
    </xf>
    <xf numFmtId="49" fontId="30" fillId="36" borderId="19" xfId="0" applyNumberFormat="1" applyFont="1" applyFill="1" applyBorder="1" applyAlignment="1">
      <alignment horizontal="left" vertical="center" wrapText="1"/>
    </xf>
    <xf numFmtId="4" fontId="30" fillId="36" borderId="19"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4" fontId="29" fillId="0" borderId="21" xfId="0" applyNumberFormat="1" applyFont="1" applyBorder="1" applyAlignment="1">
      <alignment horizontal="center" vertical="center" wrapText="1"/>
    </xf>
    <xf numFmtId="0" fontId="184" fillId="0" borderId="0" xfId="0" applyFont="1" applyAlignment="1">
      <alignment horizontal="justify" vertical="center"/>
    </xf>
    <xf numFmtId="0" fontId="184" fillId="0" borderId="0" xfId="0" applyFont="1" applyAlignment="1">
      <alignment horizontal="left" vertical="center"/>
    </xf>
    <xf numFmtId="0" fontId="176" fillId="0" borderId="0" xfId="0" applyFont="1" applyAlignment="1">
      <alignment horizontal="left" vertical="center"/>
    </xf>
    <xf numFmtId="0" fontId="78" fillId="0" borderId="0" xfId="0" applyFont="1" applyAlignment="1">
      <alignment horizontal="left" vertical="center"/>
    </xf>
    <xf numFmtId="0" fontId="135" fillId="0" borderId="0" xfId="35" applyFont="1" applyAlignment="1">
      <alignment vertical="center" wrapText="1"/>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4" fontId="16" fillId="0" borderId="15" xfId="0" applyNumberFormat="1" applyFont="1" applyBorder="1" applyAlignment="1">
      <alignment horizontal="center" vertical="center"/>
    </xf>
    <xf numFmtId="4" fontId="61" fillId="43" borderId="15" xfId="0" applyNumberFormat="1" applyFont="1" applyFill="1" applyBorder="1" applyAlignment="1">
      <alignment horizontal="center" vertical="center" wrapText="1"/>
    </xf>
    <xf numFmtId="0" fontId="61" fillId="43" borderId="15" xfId="0" applyFont="1" applyFill="1" applyBorder="1" applyAlignment="1">
      <alignment horizontal="center" vertical="center" wrapText="1"/>
    </xf>
    <xf numFmtId="49" fontId="61" fillId="43" borderId="15" xfId="0" applyNumberFormat="1" applyFont="1" applyFill="1" applyBorder="1" applyAlignment="1">
      <alignment horizontal="center" vertical="center" wrapText="1"/>
    </xf>
    <xf numFmtId="4" fontId="61" fillId="31" borderId="15" xfId="0" applyNumberFormat="1" applyFont="1" applyFill="1" applyBorder="1" applyAlignment="1">
      <alignment horizontal="center" vertical="center" wrapText="1"/>
    </xf>
    <xf numFmtId="4" fontId="78" fillId="31" borderId="15" xfId="0" applyNumberFormat="1" applyFont="1" applyFill="1" applyBorder="1" applyAlignment="1">
      <alignment horizontal="center" vertical="center" wrapText="1"/>
    </xf>
    <xf numFmtId="4" fontId="30" fillId="31" borderId="15" xfId="0" applyNumberFormat="1" applyFont="1" applyFill="1" applyBorder="1" applyAlignment="1">
      <alignment horizontal="center" vertical="center" wrapText="1"/>
    </xf>
    <xf numFmtId="0" fontId="78" fillId="31" borderId="15" xfId="0" applyFont="1" applyFill="1" applyBorder="1" applyAlignment="1">
      <alignment horizontal="center" vertical="center" wrapText="1"/>
    </xf>
    <xf numFmtId="0" fontId="61" fillId="31" borderId="15" xfId="0" applyFont="1" applyFill="1" applyBorder="1" applyAlignment="1">
      <alignment horizontal="center" vertical="center" wrapText="1"/>
    </xf>
    <xf numFmtId="4" fontId="61" fillId="31" borderId="15" xfId="38" applyNumberFormat="1" applyFont="1" applyFill="1" applyBorder="1" applyAlignment="1" applyProtection="1">
      <alignment horizontal="center" vertical="center" wrapText="1"/>
      <protection locked="0"/>
    </xf>
    <xf numFmtId="0" fontId="30" fillId="31" borderId="15" xfId="0" applyFont="1" applyFill="1" applyBorder="1" applyAlignment="1">
      <alignment horizontal="center" vertical="center" wrapText="1"/>
    </xf>
    <xf numFmtId="4" fontId="32" fillId="0" borderId="16"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206" fillId="0" borderId="15" xfId="0" applyFont="1" applyBorder="1" applyAlignment="1">
      <alignment horizontal="center" vertical="center" wrapText="1"/>
    </xf>
    <xf numFmtId="49" fontId="178" fillId="32" borderId="15" xfId="0" applyNumberFormat="1" applyFont="1" applyFill="1" applyBorder="1" applyAlignment="1">
      <alignment horizontal="center" vertical="center" wrapText="1"/>
    </xf>
    <xf numFmtId="49" fontId="30" fillId="32" borderId="15" xfId="0" applyNumberFormat="1" applyFont="1" applyFill="1" applyBorder="1" applyAlignment="1">
      <alignment horizontal="center" vertical="center" wrapText="1"/>
    </xf>
    <xf numFmtId="4" fontId="30" fillId="0" borderId="16" xfId="38" applyNumberFormat="1" applyFont="1" applyFill="1" applyBorder="1" applyAlignment="1" applyProtection="1">
      <alignment horizontal="center" vertical="center" wrapText="1"/>
      <protection locked="0"/>
    </xf>
    <xf numFmtId="0" fontId="180" fillId="39" borderId="15" xfId="38" applyFont="1" applyFill="1" applyBorder="1" applyAlignment="1" applyProtection="1">
      <alignment horizontal="center" vertical="center" wrapText="1"/>
      <protection locked="0"/>
    </xf>
    <xf numFmtId="4" fontId="180" fillId="39" borderId="15" xfId="0" applyNumberFormat="1" applyFont="1" applyFill="1" applyBorder="1" applyAlignment="1">
      <alignment horizontal="center" vertical="center" wrapText="1"/>
    </xf>
    <xf numFmtId="0" fontId="78" fillId="0" borderId="17" xfId="38" applyFont="1" applyFill="1" applyBorder="1" applyAlignment="1" applyProtection="1">
      <alignment horizontal="center" vertical="center" wrapText="1"/>
      <protection locked="0"/>
    </xf>
    <xf numFmtId="4" fontId="175" fillId="0" borderId="15" xfId="38" applyNumberFormat="1" applyFont="1" applyFill="1" applyBorder="1" applyAlignment="1" applyProtection="1">
      <alignment horizontal="center" vertical="center" wrapText="1"/>
      <protection locked="0"/>
    </xf>
    <xf numFmtId="0" fontId="78" fillId="0" borderId="0" xfId="38" applyFont="1" applyFill="1" applyBorder="1" applyAlignment="1" applyProtection="1">
      <alignment horizontal="center" vertical="center" wrapText="1"/>
      <protection locked="0"/>
    </xf>
    <xf numFmtId="4" fontId="71" fillId="0" borderId="15" xfId="0" applyNumberFormat="1" applyFont="1" applyBorder="1" applyAlignment="1">
      <alignment horizontal="center" vertical="center" wrapText="1"/>
    </xf>
    <xf numFmtId="4" fontId="208" fillId="0" borderId="15" xfId="36" applyNumberFormat="1" applyFont="1" applyFill="1" applyBorder="1" applyAlignment="1">
      <alignment horizontal="center" vertical="center" wrapText="1"/>
    </xf>
    <xf numFmtId="2" fontId="184" fillId="0" borderId="15" xfId="36" applyNumberFormat="1" applyFont="1" applyFill="1" applyBorder="1" applyAlignment="1">
      <alignment horizontal="center" vertical="center" wrapText="1"/>
    </xf>
    <xf numFmtId="2" fontId="210" fillId="0" borderId="15" xfId="36" applyNumberFormat="1" applyFont="1" applyFill="1" applyBorder="1" applyAlignment="1">
      <alignment horizontal="center" vertical="center" wrapText="1"/>
    </xf>
    <xf numFmtId="4" fontId="184" fillId="0" borderId="15" xfId="36" applyNumberFormat="1" applyFont="1" applyFill="1" applyBorder="1" applyAlignment="1">
      <alignment horizontal="center" vertical="center"/>
    </xf>
    <xf numFmtId="4" fontId="123" fillId="26" borderId="0" xfId="0" applyNumberFormat="1" applyFont="1" applyFill="1" applyAlignment="1">
      <alignment horizontal="center" vertical="center" wrapText="1"/>
    </xf>
    <xf numFmtId="0" fontId="12" fillId="6" borderId="0" xfId="35" applyFill="1"/>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4" fontId="12" fillId="0" borderId="23" xfId="0" applyNumberFormat="1" applyFont="1" applyBorder="1" applyAlignment="1">
      <alignment horizontal="center" vertical="center" wrapText="1"/>
    </xf>
    <xf numFmtId="4" fontId="202" fillId="27" borderId="0" xfId="0" applyNumberFormat="1" applyFont="1" applyFill="1"/>
    <xf numFmtId="49" fontId="30" fillId="44" borderId="15" xfId="0" applyNumberFormat="1" applyFont="1" applyFill="1" applyBorder="1" applyAlignment="1">
      <alignment horizontal="center" vertical="center" wrapText="1"/>
    </xf>
    <xf numFmtId="4" fontId="31" fillId="0" borderId="15" xfId="38" applyNumberFormat="1" applyFont="1" applyFill="1" applyBorder="1" applyAlignment="1">
      <alignment horizontal="center" vertical="center" wrapText="1"/>
    </xf>
    <xf numFmtId="4" fontId="203" fillId="0" borderId="23" xfId="0" applyNumberFormat="1" applyFont="1" applyBorder="1" applyAlignment="1">
      <alignment horizontal="left" vertical="center" wrapText="1"/>
    </xf>
    <xf numFmtId="49" fontId="30" fillId="33" borderId="15" xfId="0" applyNumberFormat="1" applyFont="1" applyFill="1" applyBorder="1" applyAlignment="1">
      <alignment horizontal="center" vertical="center" wrapText="1"/>
    </xf>
    <xf numFmtId="49" fontId="78" fillId="33" borderId="15" xfId="0" applyNumberFormat="1" applyFont="1" applyFill="1" applyBorder="1" applyAlignment="1">
      <alignment horizontal="center" vertical="center" wrapText="1"/>
    </xf>
    <xf numFmtId="0" fontId="30" fillId="33" borderId="17" xfId="38" applyFont="1" applyFill="1" applyBorder="1" applyAlignment="1" applyProtection="1">
      <alignment horizontal="center" vertical="center" wrapText="1"/>
      <protection locked="0"/>
    </xf>
    <xf numFmtId="166" fontId="30" fillId="32" borderId="15" xfId="30" applyNumberFormat="1" applyFont="1" applyFill="1" applyBorder="1" applyAlignment="1">
      <alignment horizontal="center" vertical="center" wrapText="1"/>
    </xf>
    <xf numFmtId="0" fontId="30" fillId="0" borderId="0" xfId="38" applyFont="1" applyFill="1" applyBorder="1" applyAlignment="1" applyProtection="1">
      <alignment horizontal="center" vertical="center" wrapText="1"/>
      <protection locked="0"/>
    </xf>
    <xf numFmtId="0" fontId="30" fillId="33" borderId="0" xfId="38" applyFont="1" applyFill="1" applyBorder="1" applyAlignment="1" applyProtection="1">
      <alignment horizontal="center" vertical="center" wrapText="1"/>
      <protection locked="0"/>
    </xf>
    <xf numFmtId="4" fontId="29" fillId="0" borderId="15" xfId="0" applyNumberFormat="1" applyFont="1" applyBorder="1" applyAlignment="1">
      <alignment horizontal="center" vertical="center" wrapText="1"/>
    </xf>
    <xf numFmtId="4" fontId="93" fillId="28" borderId="0" xfId="0" applyNumberFormat="1" applyFont="1" applyFill="1" applyAlignment="1">
      <alignment horizontal="center" vertical="center" wrapText="1"/>
    </xf>
    <xf numFmtId="0" fontId="30" fillId="0" borderId="17" xfId="38" applyFont="1" applyFill="1" applyBorder="1" applyAlignment="1" applyProtection="1">
      <alignment horizontal="center" vertical="center" wrapText="1"/>
      <protection locked="0"/>
    </xf>
    <xf numFmtId="0" fontId="12"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58" fillId="0" borderId="0" xfId="0" applyFont="1"/>
    <xf numFmtId="0" fontId="12" fillId="0" borderId="0" xfId="0" applyFont="1" applyAlignment="1">
      <alignment horizontal="left" vertical="center"/>
    </xf>
    <xf numFmtId="0" fontId="0" fillId="0" borderId="0" xfId="0" applyAlignment="1">
      <alignment horizontal="left" vertical="center"/>
    </xf>
    <xf numFmtId="0" fontId="152" fillId="0" borderId="0" xfId="0" applyFont="1" applyAlignment="1">
      <alignment horizontal="center"/>
    </xf>
    <xf numFmtId="0" fontId="0" fillId="0" borderId="0" xfId="0" applyAlignment="1">
      <alignment horizontal="center"/>
    </xf>
    <xf numFmtId="0" fontId="166" fillId="0" borderId="0" xfId="0" applyFont="1" applyAlignment="1">
      <alignment horizontal="center"/>
    </xf>
    <xf numFmtId="0" fontId="135" fillId="0" borderId="0" xfId="0" applyFont="1" applyAlignment="1">
      <alignment horizontal="justify" vertical="center"/>
    </xf>
    <xf numFmtId="0" fontId="138" fillId="0" borderId="0" xfId="0" applyFont="1"/>
    <xf numFmtId="0" fontId="135" fillId="0" borderId="0" xfId="39" applyFont="1" applyAlignment="1">
      <alignment horizontal="left" vertical="center" wrapText="1"/>
    </xf>
    <xf numFmtId="0" fontId="149" fillId="0" borderId="0" xfId="39" applyFont="1" applyAlignment="1">
      <alignment horizontal="center" vertical="center"/>
    </xf>
    <xf numFmtId="0" fontId="10" fillId="0" borderId="0" xfId="0" applyFont="1" applyAlignment="1">
      <alignment horizontal="center"/>
    </xf>
    <xf numFmtId="0" fontId="150" fillId="0" borderId="0" xfId="39" applyFont="1" applyAlignment="1">
      <alignment horizontal="center" vertical="center"/>
    </xf>
    <xf numFmtId="0" fontId="151" fillId="0" borderId="0" xfId="0" applyFont="1"/>
    <xf numFmtId="0" fontId="152" fillId="0" borderId="0" xfId="39" applyFont="1" applyAlignment="1">
      <alignment horizontal="center" vertical="center"/>
    </xf>
    <xf numFmtId="0" fontId="153" fillId="0" borderId="0" xfId="0" applyFont="1"/>
    <xf numFmtId="0" fontId="155" fillId="0" borderId="23" xfId="39" applyFont="1" applyBorder="1" applyAlignment="1">
      <alignment horizontal="center" vertical="top" wrapText="1"/>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01" fillId="0" borderId="0" xfId="0" applyFont="1" applyAlignment="1">
      <alignment horizontal="left" vertical="center" wrapText="1"/>
    </xf>
    <xf numFmtId="0" fontId="155" fillId="0" borderId="0" xfId="0" applyFont="1" applyAlignment="1">
      <alignment horizontal="center"/>
    </xf>
    <xf numFmtId="0" fontId="16" fillId="0" borderId="0" xfId="39" applyFont="1" applyAlignment="1">
      <alignment vertical="center" wrapText="1"/>
    </xf>
    <xf numFmtId="0" fontId="157" fillId="0" borderId="0" xfId="0" applyFont="1" applyAlignment="1">
      <alignment horizontal="center" vertical="center" wrapText="1"/>
    </xf>
    <xf numFmtId="0" fontId="158" fillId="0" borderId="0" xfId="0" applyFont="1" applyAlignment="1">
      <alignment horizontal="center"/>
    </xf>
    <xf numFmtId="0" fontId="159" fillId="0" borderId="0" xfId="0" applyFont="1" applyAlignment="1">
      <alignment horizontal="center"/>
    </xf>
    <xf numFmtId="0" fontId="160" fillId="0" borderId="0" xfId="0" applyFont="1" applyAlignment="1">
      <alignment horizontal="center" vertical="top"/>
    </xf>
    <xf numFmtId="0" fontId="161" fillId="0" borderId="0" xfId="0" applyFont="1" applyAlignment="1">
      <alignment horizontal="center" vertical="top"/>
    </xf>
    <xf numFmtId="0" fontId="162" fillId="0" borderId="23" xfId="0" applyFont="1" applyBorder="1" applyAlignment="1">
      <alignment horizontal="center" vertical="center" wrapText="1"/>
    </xf>
    <xf numFmtId="0" fontId="0" fillId="0" borderId="23" xfId="0" applyBorder="1" applyAlignment="1">
      <alignment horizontal="center" vertical="center" wrapText="1"/>
    </xf>
    <xf numFmtId="0" fontId="155" fillId="36" borderId="23" xfId="0" applyFont="1" applyFill="1" applyBorder="1" applyAlignment="1">
      <alignment horizontal="left" vertical="center" wrapText="1"/>
    </xf>
    <xf numFmtId="0" fontId="0" fillId="36" borderId="23" xfId="0" applyFill="1" applyBorder="1" applyAlignment="1">
      <alignment wrapText="1"/>
    </xf>
    <xf numFmtId="0" fontId="184" fillId="0" borderId="0" xfId="0" applyFont="1" applyAlignment="1">
      <alignment horizontal="left" vertical="center"/>
    </xf>
    <xf numFmtId="4" fontId="31" fillId="27" borderId="0" xfId="0" applyNumberFormat="1" applyFont="1" applyFill="1" applyAlignment="1">
      <alignment horizontal="left" vertical="center" wrapText="1"/>
    </xf>
    <xf numFmtId="0" fontId="0" fillId="27" borderId="0" xfId="0" applyFill="1"/>
    <xf numFmtId="49" fontId="61" fillId="27" borderId="16" xfId="0" applyNumberFormat="1" applyFont="1" applyFill="1" applyBorder="1" applyAlignment="1">
      <alignment horizontal="center" vertical="center" wrapText="1"/>
    </xf>
    <xf numFmtId="0" fontId="58" fillId="27" borderId="18" xfId="0" applyFont="1" applyFill="1" applyBorder="1" applyAlignment="1">
      <alignment horizontal="center" vertical="center" wrapText="1"/>
    </xf>
    <xf numFmtId="0" fontId="58" fillId="27" borderId="17" xfId="0" applyFont="1" applyFill="1" applyBorder="1" applyAlignment="1">
      <alignment horizontal="center" vertical="center" wrapText="1"/>
    </xf>
    <xf numFmtId="4" fontId="65" fillId="0" borderId="16" xfId="0" applyNumberFormat="1"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4" fontId="62" fillId="27" borderId="16" xfId="0" applyNumberFormat="1" applyFont="1" applyFill="1" applyBorder="1" applyAlignment="1">
      <alignment horizontal="center" vertical="center" wrapText="1"/>
    </xf>
    <xf numFmtId="4" fontId="65" fillId="27" borderId="16" xfId="0" applyNumberFormat="1" applyFont="1" applyFill="1" applyBorder="1" applyAlignment="1">
      <alignment horizontal="center" vertical="center" wrapText="1"/>
    </xf>
    <xf numFmtId="49" fontId="61" fillId="0" borderId="16" xfId="0" applyNumberFormat="1" applyFont="1" applyBorder="1" applyAlignment="1">
      <alignment horizontal="center" vertical="center" wrapText="1"/>
    </xf>
    <xf numFmtId="4" fontId="62" fillId="0" borderId="16" xfId="0" applyNumberFormat="1" applyFont="1" applyBorder="1" applyAlignment="1">
      <alignment horizontal="center" vertical="center" wrapText="1"/>
    </xf>
    <xf numFmtId="0" fontId="0" fillId="27" borderId="0" xfId="0" applyFill="1" applyAlignment="1">
      <alignment horizontal="left" vertical="center" wrapText="1"/>
    </xf>
    <xf numFmtId="0" fontId="58" fillId="27" borderId="22" xfId="0" applyFont="1" applyFill="1" applyBorder="1"/>
    <xf numFmtId="4" fontId="61" fillId="0" borderId="15" xfId="0" applyNumberFormat="1" applyFont="1" applyBorder="1" applyAlignment="1">
      <alignment horizontal="center" vertical="center" wrapText="1"/>
    </xf>
    <xf numFmtId="0" fontId="58" fillId="0" borderId="15" xfId="0" applyFont="1" applyBorder="1" applyAlignment="1">
      <alignment horizontal="center" vertical="center" wrapText="1"/>
    </xf>
    <xf numFmtId="4" fontId="58" fillId="0" borderId="15" xfId="0" applyNumberFormat="1" applyFont="1" applyBorder="1" applyAlignment="1">
      <alignment horizontal="center" vertical="center" wrapText="1"/>
    </xf>
    <xf numFmtId="4" fontId="62" fillId="0" borderId="15" xfId="0" applyNumberFormat="1" applyFont="1" applyBorder="1" applyAlignment="1">
      <alignment horizontal="center" vertical="center"/>
    </xf>
    <xf numFmtId="0" fontId="58" fillId="0" borderId="15" xfId="0" applyFont="1" applyBorder="1" applyAlignment="1">
      <alignment horizontal="center" vertical="center"/>
    </xf>
    <xf numFmtId="4" fontId="62" fillId="0" borderId="17" xfId="0" applyNumberFormat="1" applyFont="1" applyBorder="1" applyAlignment="1">
      <alignment horizontal="center" vertical="center" wrapText="1"/>
    </xf>
    <xf numFmtId="4" fontId="65" fillId="0" borderId="15" xfId="0" applyNumberFormat="1" applyFont="1" applyBorder="1" applyAlignment="1">
      <alignment horizontal="center" vertical="center" wrapText="1"/>
    </xf>
    <xf numFmtId="4" fontId="62" fillId="0" borderId="16" xfId="0" applyNumberFormat="1" applyFont="1" applyBorder="1" applyAlignment="1">
      <alignment horizontal="center" vertical="center"/>
    </xf>
    <xf numFmtId="4" fontId="62" fillId="0" borderId="17" xfId="0" applyNumberFormat="1" applyFont="1" applyBorder="1" applyAlignment="1">
      <alignment horizontal="center" vertical="center"/>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63" fillId="0" borderId="0" xfId="0" applyFont="1" applyAlignment="1">
      <alignment horizontal="center"/>
    </xf>
    <xf numFmtId="0" fontId="164"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27" borderId="0" xfId="0" applyFont="1" applyFill="1"/>
    <xf numFmtId="0" fontId="30" fillId="0" borderId="0" xfId="0" applyFont="1"/>
    <xf numFmtId="4" fontId="61" fillId="27" borderId="15" xfId="0" applyNumberFormat="1" applyFont="1" applyFill="1" applyBorder="1" applyAlignment="1">
      <alignment horizontal="center" vertical="center" wrapText="1"/>
    </xf>
    <xf numFmtId="4" fontId="62" fillId="27"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50" fillId="0" borderId="0" xfId="0" applyFont="1" applyAlignment="1">
      <alignment horizontal="left" vertical="center"/>
    </xf>
    <xf numFmtId="0" fontId="51" fillId="0" borderId="0" xfId="0" applyFont="1" applyAlignment="1">
      <alignment horizontal="left" vertical="center"/>
    </xf>
    <xf numFmtId="4" fontId="57" fillId="27" borderId="15" xfId="0" applyNumberFormat="1" applyFont="1" applyFill="1" applyBorder="1" applyAlignment="1">
      <alignment horizontal="center" vertical="center" wrapText="1"/>
    </xf>
    <xf numFmtId="49" fontId="61" fillId="27" borderId="15" xfId="0" applyNumberFormat="1" applyFont="1" applyFill="1" applyBorder="1" applyAlignment="1">
      <alignment horizontal="center" vertical="center" wrapText="1"/>
    </xf>
    <xf numFmtId="4" fontId="65" fillId="27" borderId="15" xfId="0" applyNumberFormat="1" applyFont="1" applyFill="1" applyBorder="1" applyAlignment="1">
      <alignment horizontal="center" vertical="center" wrapText="1"/>
    </xf>
    <xf numFmtId="49" fontId="61" fillId="0" borderId="15" xfId="0" applyNumberFormat="1" applyFont="1" applyBorder="1" applyAlignment="1">
      <alignment horizontal="center" vertical="center" wrapText="1"/>
    </xf>
    <xf numFmtId="4" fontId="57" fillId="0" borderId="15" xfId="0" applyNumberFormat="1" applyFont="1" applyBorder="1" applyAlignment="1">
      <alignment horizontal="center" vertical="center" wrapText="1"/>
    </xf>
    <xf numFmtId="4" fontId="59" fillId="0" borderId="15" xfId="0" applyNumberFormat="1" applyFont="1" applyBorder="1" applyAlignment="1">
      <alignment horizontal="center" vertical="center" wrapText="1"/>
    </xf>
    <xf numFmtId="4" fontId="65" fillId="0" borderId="17" xfId="0" applyNumberFormat="1" applyFont="1" applyBorder="1" applyAlignment="1">
      <alignment horizontal="center" vertical="center" wrapText="1"/>
    </xf>
    <xf numFmtId="49" fontId="61" fillId="0" borderId="17" xfId="0" applyNumberFormat="1" applyFont="1" applyBorder="1" applyAlignment="1">
      <alignment horizontal="center" vertical="center" wrapText="1"/>
    </xf>
    <xf numFmtId="0" fontId="68" fillId="0" borderId="15" xfId="0" applyFont="1" applyBorder="1" applyAlignment="1">
      <alignment horizontal="center" vertical="center" wrapText="1"/>
    </xf>
    <xf numFmtId="0" fontId="167" fillId="0" borderId="15" xfId="35" applyFont="1" applyBorder="1" applyAlignment="1">
      <alignment horizontal="center" vertical="top" wrapText="1"/>
    </xf>
    <xf numFmtId="0" fontId="15" fillId="0" borderId="15" xfId="0" applyFont="1" applyBorder="1" applyAlignment="1">
      <alignment horizontal="center" vertical="top" wrapText="1"/>
    </xf>
    <xf numFmtId="0" fontId="64" fillId="0" borderId="0" xfId="0" applyFont="1"/>
    <xf numFmtId="0" fontId="135" fillId="0" borderId="0" xfId="35" applyFont="1" applyAlignment="1">
      <alignment horizontal="center" vertical="center" wrapText="1"/>
    </xf>
    <xf numFmtId="0" fontId="157" fillId="0" borderId="0" xfId="35" applyFont="1" applyAlignment="1">
      <alignment horizontal="center" vertical="center" wrapText="1"/>
    </xf>
    <xf numFmtId="0" fontId="155" fillId="0" borderId="15" xfId="35" applyFont="1" applyBorder="1" applyAlignment="1">
      <alignment horizontal="center" vertical="top" wrapText="1"/>
    </xf>
    <xf numFmtId="0" fontId="176" fillId="0" borderId="0" xfId="0" applyFont="1" applyAlignment="1">
      <alignment horizontal="justify" vertical="center"/>
    </xf>
    <xf numFmtId="0" fontId="204" fillId="0" borderId="0" xfId="0" applyFont="1"/>
    <xf numFmtId="0" fontId="166" fillId="0" borderId="0" xfId="0" applyFont="1" applyAlignment="1">
      <alignment horizontal="center" vertical="center"/>
    </xf>
    <xf numFmtId="0" fontId="151" fillId="0" borderId="0" xfId="0" applyFont="1" applyAlignment="1">
      <alignment horizontal="center"/>
    </xf>
    <xf numFmtId="0" fontId="10" fillId="0" borderId="0" xfId="0" applyFont="1" applyAlignment="1">
      <alignment horizontal="center" vertical="top"/>
    </xf>
    <xf numFmtId="0" fontId="73" fillId="0" borderId="0" xfId="35" applyFont="1"/>
    <xf numFmtId="0" fontId="155" fillId="0" borderId="15" xfId="0" applyFont="1" applyBorder="1" applyAlignment="1">
      <alignment horizontal="center" vertical="top" wrapText="1"/>
    </xf>
    <xf numFmtId="0" fontId="155" fillId="0" borderId="15" xfId="0" applyFont="1" applyBorder="1" applyAlignment="1">
      <alignment horizontal="center" vertical="top"/>
    </xf>
    <xf numFmtId="0" fontId="10" fillId="0" borderId="0" xfId="0" applyFont="1" applyAlignment="1">
      <alignment horizontal="center" vertical="center" wrapText="1"/>
    </xf>
    <xf numFmtId="0" fontId="0" fillId="0" borderId="0" xfId="0"/>
    <xf numFmtId="0" fontId="64" fillId="0" borderId="0" xfId="39" applyFont="1" applyAlignment="1">
      <alignment horizontal="left" vertical="center" wrapText="1"/>
    </xf>
    <xf numFmtId="49" fontId="30" fillId="0" borderId="19" xfId="0" applyNumberFormat="1" applyFont="1" applyBorder="1" applyAlignment="1">
      <alignment horizontal="left" vertical="center" wrapText="1"/>
    </xf>
    <xf numFmtId="0" fontId="0" fillId="0" borderId="21" xfId="0" applyBorder="1" applyAlignment="1">
      <alignment horizontal="left" vertical="center" wrapText="1"/>
    </xf>
    <xf numFmtId="0" fontId="61" fillId="0" borderId="0" xfId="0" applyFont="1"/>
    <xf numFmtId="49" fontId="29" fillId="39" borderId="19" xfId="0" applyNumberFormat="1" applyFont="1" applyFill="1" applyBorder="1" applyAlignment="1">
      <alignment horizontal="center" vertical="center" wrapText="1"/>
    </xf>
    <xf numFmtId="0" fontId="15" fillId="39" borderId="20" xfId="0" applyFont="1" applyFill="1" applyBorder="1" applyAlignment="1">
      <alignment horizontal="center" vertical="center" wrapText="1"/>
    </xf>
    <xf numFmtId="0" fontId="15" fillId="39" borderId="21" xfId="0" applyFont="1" applyFill="1" applyBorder="1" applyAlignment="1">
      <alignment horizontal="center" vertical="center" wrapText="1"/>
    </xf>
    <xf numFmtId="49" fontId="57" fillId="0" borderId="19" xfId="0" applyNumberFormat="1" applyFont="1" applyBorder="1" applyAlignment="1">
      <alignment horizontal="left" vertical="center" wrapText="1"/>
    </xf>
    <xf numFmtId="0" fontId="59" fillId="0" borderId="21" xfId="0" applyFont="1" applyBorder="1" applyAlignment="1">
      <alignment horizontal="left" vertical="center" wrapText="1"/>
    </xf>
    <xf numFmtId="49" fontId="30" fillId="36" borderId="19" xfId="0" applyNumberFormat="1" applyFont="1" applyFill="1" applyBorder="1" applyAlignment="1">
      <alignment horizontal="left" vertical="center" wrapText="1"/>
    </xf>
    <xf numFmtId="49" fontId="30" fillId="36" borderId="21" xfId="0" applyNumberFormat="1" applyFont="1" applyFill="1" applyBorder="1" applyAlignment="1">
      <alignment horizontal="left" vertical="center" wrapText="1"/>
    </xf>
    <xf numFmtId="49" fontId="61" fillId="30" borderId="19" xfId="0" applyNumberFormat="1" applyFont="1" applyFill="1" applyBorder="1" applyAlignment="1">
      <alignment horizontal="left" vertical="center" wrapText="1"/>
    </xf>
    <xf numFmtId="0" fontId="58" fillId="30" borderId="21" xfId="0" applyFont="1" applyFill="1" applyBorder="1" applyAlignment="1">
      <alignment horizontal="left" vertical="center" wrapText="1"/>
    </xf>
    <xf numFmtId="49" fontId="61" fillId="0" borderId="19" xfId="0" applyNumberFormat="1" applyFont="1" applyBorder="1" applyAlignment="1">
      <alignment horizontal="left" vertical="center" wrapText="1"/>
    </xf>
    <xf numFmtId="0" fontId="58" fillId="0" borderId="21" xfId="0" applyFont="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justify" vertical="center"/>
    </xf>
    <xf numFmtId="0" fontId="61" fillId="0" borderId="0" xfId="39" applyFont="1" applyAlignment="1">
      <alignment vertical="top" wrapText="1"/>
    </xf>
    <xf numFmtId="0" fontId="58" fillId="0" borderId="0" xfId="0" applyFont="1" applyAlignment="1">
      <alignment vertical="top" wrapText="1"/>
    </xf>
    <xf numFmtId="49" fontId="61" fillId="26" borderId="19" xfId="0" applyNumberFormat="1" applyFont="1" applyFill="1" applyBorder="1" applyAlignment="1">
      <alignment horizontal="left" vertical="center" wrapText="1"/>
    </xf>
    <xf numFmtId="0" fontId="58" fillId="26" borderId="21" xfId="0" applyFont="1" applyFill="1" applyBorder="1" applyAlignment="1">
      <alignment horizontal="left" vertical="center" wrapText="1"/>
    </xf>
    <xf numFmtId="49" fontId="57" fillId="0" borderId="21" xfId="0" applyNumberFormat="1" applyFont="1" applyBorder="1" applyAlignment="1">
      <alignment horizontal="left" vertical="center" wrapText="1"/>
    </xf>
    <xf numFmtId="49" fontId="61" fillId="0" borderId="21" xfId="0" applyNumberFormat="1" applyFont="1" applyBorder="1" applyAlignment="1">
      <alignment horizontal="left" vertical="center" wrapText="1"/>
    </xf>
    <xf numFmtId="0" fontId="78" fillId="0" borderId="0" xfId="0" applyFont="1" applyAlignment="1">
      <alignment horizontal="justify" vertical="center"/>
    </xf>
    <xf numFmtId="0" fontId="61" fillId="0" borderId="0" xfId="39" applyFont="1" applyAlignment="1">
      <alignment horizontal="left" wrapText="1"/>
    </xf>
    <xf numFmtId="0" fontId="61" fillId="0" borderId="0" xfId="39" applyFont="1" applyAlignment="1">
      <alignment horizontal="left"/>
    </xf>
    <xf numFmtId="0" fontId="29" fillId="0" borderId="19" xfId="0" applyFont="1" applyBorder="1" applyAlignment="1">
      <alignment horizontal="center" vertical="center" wrapText="1"/>
    </xf>
    <xf numFmtId="0" fontId="15" fillId="0" borderId="21"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1" xfId="0" applyBorder="1" applyAlignment="1">
      <alignment horizontal="center" vertical="center" wrapText="1"/>
    </xf>
    <xf numFmtId="49" fontId="29" fillId="0" borderId="19" xfId="0" applyNumberFormat="1" applyFont="1" applyBorder="1" applyAlignment="1">
      <alignment horizontal="left" vertical="center" wrapText="1"/>
    </xf>
    <xf numFmtId="0" fontId="15" fillId="0" borderId="21" xfId="0" applyFont="1" applyBorder="1" applyAlignment="1">
      <alignment horizontal="left" vertical="center" wrapText="1"/>
    </xf>
    <xf numFmtId="4" fontId="61" fillId="0" borderId="16" xfId="0" applyNumberFormat="1" applyFont="1" applyBorder="1" applyAlignment="1">
      <alignment horizontal="center" vertical="center" wrapText="1"/>
    </xf>
    <xf numFmtId="49" fontId="61" fillId="0" borderId="25" xfId="0" applyNumberFormat="1" applyFont="1" applyBorder="1" applyAlignment="1">
      <alignment horizontal="left" wrapText="1"/>
    </xf>
    <xf numFmtId="0" fontId="58" fillId="0" borderId="26" xfId="0" applyFont="1" applyBorder="1" applyAlignment="1">
      <alignment horizontal="left" wrapText="1"/>
    </xf>
    <xf numFmtId="49" fontId="61" fillId="0" borderId="0" xfId="0" applyNumberFormat="1" applyFont="1" applyAlignment="1">
      <alignment horizontal="left" vertical="top" wrapText="1"/>
    </xf>
    <xf numFmtId="0" fontId="58" fillId="0" borderId="0" xfId="0" applyFont="1" applyAlignment="1">
      <alignment horizontal="left" vertical="top" wrapText="1"/>
    </xf>
    <xf numFmtId="4" fontId="61" fillId="0" borderId="17" xfId="0" applyNumberFormat="1" applyFont="1" applyBorder="1" applyAlignment="1">
      <alignment horizontal="center" vertical="center" wrapText="1"/>
    </xf>
    <xf numFmtId="49" fontId="61"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61" fillId="26" borderId="0" xfId="0" applyFont="1" applyFill="1" applyAlignment="1">
      <alignment horizontal="center" vertical="center"/>
    </xf>
    <xf numFmtId="0" fontId="61" fillId="26" borderId="0" xfId="0" applyFont="1" applyFill="1" applyAlignment="1">
      <alignment vertical="center"/>
    </xf>
    <xf numFmtId="49" fontId="61" fillId="0" borderId="0" xfId="0" applyNumberFormat="1" applyFont="1" applyAlignment="1">
      <alignment horizontal="left" vertical="center" wrapText="1"/>
    </xf>
    <xf numFmtId="0" fontId="58" fillId="0" borderId="0" xfId="0" applyFont="1" applyAlignment="1">
      <alignment horizontal="left" vertical="center" wrapText="1"/>
    </xf>
    <xf numFmtId="49" fontId="29" fillId="0" borderId="21" xfId="0" applyNumberFormat="1" applyFont="1" applyBorder="1" applyAlignment="1">
      <alignment horizontal="left" vertical="center" wrapText="1"/>
    </xf>
    <xf numFmtId="0" fontId="12" fillId="0" borderId="28" xfId="0" applyFont="1" applyBorder="1" applyAlignment="1">
      <alignment horizontal="center" vertical="top"/>
    </xf>
    <xf numFmtId="0" fontId="101" fillId="0" borderId="0" xfId="35" applyFont="1" applyAlignment="1">
      <alignment horizontal="center" vertical="center"/>
    </xf>
    <xf numFmtId="0" fontId="169" fillId="0" borderId="0" xfId="35" applyFont="1" applyAlignment="1">
      <alignment horizontal="center" vertical="center" wrapText="1"/>
    </xf>
    <xf numFmtId="0" fontId="64" fillId="0" borderId="0" xfId="39" applyFont="1" applyAlignment="1">
      <alignment horizontal="left" wrapText="1"/>
    </xf>
    <xf numFmtId="0" fontId="64" fillId="0" borderId="0" xfId="39" applyFont="1" applyAlignment="1">
      <alignment horizontal="left"/>
    </xf>
    <xf numFmtId="0" fontId="135" fillId="0" borderId="16" xfId="0" applyFont="1" applyBorder="1" applyAlignment="1">
      <alignment horizontal="center" vertical="center" wrapText="1"/>
    </xf>
    <xf numFmtId="0" fontId="135" fillId="0" borderId="17" xfId="0" applyFont="1" applyBorder="1" applyAlignment="1">
      <alignment horizontal="center" vertical="center" wrapText="1"/>
    </xf>
    <xf numFmtId="0" fontId="135" fillId="0" borderId="16" xfId="35" applyFont="1" applyBorder="1" applyAlignment="1">
      <alignment horizontal="center" vertical="center" wrapText="1"/>
    </xf>
    <xf numFmtId="0" fontId="135" fillId="0" borderId="17" xfId="35" applyFont="1" applyBorder="1" applyAlignment="1">
      <alignment horizontal="center" vertical="center" wrapText="1"/>
    </xf>
    <xf numFmtId="0" fontId="176" fillId="0" borderId="0" xfId="35" applyFont="1" applyAlignment="1">
      <alignment horizontal="left"/>
    </xf>
    <xf numFmtId="0" fontId="143" fillId="0" borderId="27" xfId="0" applyFont="1" applyBorder="1" applyAlignment="1">
      <alignment horizontal="left"/>
    </xf>
    <xf numFmtId="0" fontId="148" fillId="27" borderId="22" xfId="35" applyFont="1" applyFill="1" applyBorder="1" applyAlignment="1">
      <alignment horizontal="center" vertical="center"/>
    </xf>
    <xf numFmtId="10" fontId="148" fillId="27" borderId="22" xfId="35" applyNumberFormat="1" applyFont="1" applyFill="1" applyBorder="1" applyAlignment="1">
      <alignment horizontal="center" vertical="center"/>
    </xf>
    <xf numFmtId="0" fontId="139" fillId="0" borderId="0" xfId="0" applyFont="1" applyAlignment="1">
      <alignment horizontal="center" vertical="center"/>
    </xf>
    <xf numFmtId="0" fontId="135" fillId="0" borderId="19" xfId="35" applyFont="1" applyBorder="1" applyAlignment="1">
      <alignment horizontal="center" vertical="center" wrapText="1"/>
    </xf>
    <xf numFmtId="0" fontId="135" fillId="0" borderId="20" xfId="35" applyFont="1" applyBorder="1" applyAlignment="1">
      <alignment horizontal="center" vertical="center" wrapText="1"/>
    </xf>
    <xf numFmtId="0" fontId="135" fillId="0" borderId="21" xfId="35" applyFont="1" applyBorder="1" applyAlignment="1">
      <alignment horizontal="center" vertical="center" wrapText="1"/>
    </xf>
    <xf numFmtId="4" fontId="182" fillId="28" borderId="22" xfId="0" applyNumberFormat="1" applyFont="1" applyFill="1" applyBorder="1" applyAlignment="1">
      <alignment horizontal="center" vertical="center" wrapText="1"/>
    </xf>
    <xf numFmtId="4" fontId="182" fillId="28" borderId="0" xfId="0" applyNumberFormat="1" applyFont="1" applyFill="1" applyAlignment="1">
      <alignment horizontal="center" vertical="center" wrapText="1"/>
    </xf>
    <xf numFmtId="4" fontId="93" fillId="28" borderId="22" xfId="0" applyNumberFormat="1" applyFont="1" applyFill="1" applyBorder="1" applyAlignment="1">
      <alignment horizontal="center" vertical="center" wrapText="1"/>
    </xf>
    <xf numFmtId="0" fontId="89" fillId="0" borderId="22" xfId="0" applyFont="1" applyBorder="1"/>
    <xf numFmtId="4" fontId="173" fillId="28" borderId="22" xfId="0" applyNumberFormat="1" applyFont="1" applyFill="1" applyBorder="1" applyAlignment="1">
      <alignment horizontal="center" vertical="center" wrapText="1"/>
    </xf>
    <xf numFmtId="4" fontId="173" fillId="28" borderId="0" xfId="0" applyNumberFormat="1" applyFont="1" applyFill="1" applyAlignment="1">
      <alignment horizontal="center" vertical="center" wrapText="1"/>
    </xf>
    <xf numFmtId="4" fontId="93" fillId="28" borderId="0" xfId="0" applyNumberFormat="1" applyFont="1" applyFill="1" applyAlignment="1">
      <alignment horizontal="center" vertical="center" wrapText="1"/>
    </xf>
    <xf numFmtId="0" fontId="194" fillId="27" borderId="22"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128" fillId="33" borderId="0" xfId="0" applyNumberFormat="1" applyFont="1" applyFill="1" applyAlignment="1">
      <alignment horizontal="left" vertical="top" wrapText="1"/>
    </xf>
    <xf numFmtId="4" fontId="61" fillId="27" borderId="16" xfId="0" applyNumberFormat="1" applyFont="1" applyFill="1" applyBorder="1" applyAlignment="1">
      <alignment horizontal="center" vertical="center" wrapText="1"/>
    </xf>
    <xf numFmtId="0" fontId="61" fillId="27" borderId="17" xfId="0" applyFont="1" applyFill="1" applyBorder="1" applyAlignment="1">
      <alignment horizontal="center" vertical="center" wrapText="1"/>
    </xf>
    <xf numFmtId="0" fontId="30" fillId="0" borderId="0" xfId="0" applyFont="1" applyAlignment="1">
      <alignment horizontal="justify"/>
    </xf>
    <xf numFmtId="0" fontId="30" fillId="0" borderId="0" xfId="39" applyFont="1" applyAlignment="1">
      <alignment horizontal="left" vertical="center" wrapText="1"/>
    </xf>
    <xf numFmtId="0" fontId="30" fillId="0" borderId="0" xfId="39" applyFont="1" applyAlignment="1">
      <alignment horizontal="left" vertical="center"/>
    </xf>
    <xf numFmtId="49" fontId="61" fillId="43" borderId="15" xfId="0" applyNumberFormat="1" applyFont="1" applyFill="1" applyBorder="1" applyAlignment="1">
      <alignment horizontal="center" vertical="center" wrapText="1"/>
    </xf>
    <xf numFmtId="0" fontId="153" fillId="0" borderId="0" xfId="0" applyFont="1" applyAlignment="1">
      <alignment horizontal="center" vertical="center"/>
    </xf>
    <xf numFmtId="2" fontId="19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33" fillId="0" borderId="15" xfId="36" applyNumberFormat="1" applyFont="1" applyFill="1" applyBorder="1" applyAlignment="1">
      <alignment horizontal="center" vertical="center" wrapText="1"/>
    </xf>
    <xf numFmtId="0" fontId="58" fillId="0" borderId="15" xfId="0" applyFont="1" applyBorder="1" applyAlignment="1">
      <alignment horizontal="center"/>
    </xf>
    <xf numFmtId="2" fontId="171" fillId="36" borderId="15" xfId="36" applyNumberFormat="1" applyFont="1" applyFill="1" applyBorder="1" applyAlignment="1">
      <alignment horizontal="center" vertical="center"/>
    </xf>
    <xf numFmtId="0" fontId="0" fillId="36" borderId="15" xfId="0" applyFill="1" applyBorder="1" applyAlignment="1">
      <alignment horizontal="center"/>
    </xf>
    <xf numFmtId="0" fontId="10" fillId="36" borderId="15" xfId="0" applyFont="1" applyFill="1" applyBorder="1" applyAlignment="1">
      <alignment horizontal="center"/>
    </xf>
    <xf numFmtId="164" fontId="171" fillId="37" borderId="15" xfId="36" applyNumberFormat="1" applyFont="1" applyFill="1" applyBorder="1" applyAlignment="1">
      <alignment horizontal="left" vertical="center" wrapText="1"/>
    </xf>
    <xf numFmtId="164" fontId="0" fillId="37" borderId="15" xfId="0" applyNumberFormat="1" applyFill="1" applyBorder="1" applyAlignment="1">
      <alignment horizontal="left"/>
    </xf>
    <xf numFmtId="0" fontId="16" fillId="0" borderId="0" xfId="0" applyFont="1" applyAlignment="1">
      <alignment horizontal="left" vertical="center"/>
    </xf>
    <xf numFmtId="0" fontId="153" fillId="0" borderId="0" xfId="0" applyFont="1" applyAlignment="1">
      <alignment horizontal="left" vertical="center"/>
    </xf>
    <xf numFmtId="0" fontId="171" fillId="0" borderId="0" xfId="36" applyFont="1" applyAlignment="1">
      <alignment horizontal="center"/>
    </xf>
    <xf numFmtId="0" fontId="171" fillId="0" borderId="0" xfId="0" applyFont="1" applyAlignment="1">
      <alignment horizontal="center"/>
    </xf>
    <xf numFmtId="0" fontId="171" fillId="0" borderId="0" xfId="36" applyFont="1" applyAlignment="1">
      <alignment horizontal="center" vertical="top"/>
    </xf>
    <xf numFmtId="0" fontId="10" fillId="0" borderId="0" xfId="0" applyFont="1" applyAlignment="1">
      <alignment vertical="top"/>
    </xf>
    <xf numFmtId="0" fontId="171" fillId="0" borderId="0" xfId="36" applyFont="1" applyAlignment="1">
      <alignment horizontal="center" vertical="center"/>
    </xf>
    <xf numFmtId="0" fontId="10" fillId="0" borderId="0" xfId="0" applyFont="1" applyAlignment="1">
      <alignment vertical="center"/>
    </xf>
    <xf numFmtId="0" fontId="75" fillId="0" borderId="0" xfId="36" applyFont="1">
      <alignment vertical="top"/>
    </xf>
    <xf numFmtId="0" fontId="101" fillId="0" borderId="0" xfId="36" applyFont="1" applyAlignment="1">
      <alignment horizontal="center" vertical="center" wrapText="1"/>
    </xf>
    <xf numFmtId="0" fontId="124" fillId="0" borderId="0" xfId="36" applyFont="1" applyAlignment="1">
      <alignment horizontal="left" vertical="top" wrapText="1"/>
    </xf>
    <xf numFmtId="2" fontId="63" fillId="0" borderId="15" xfId="36" applyNumberFormat="1" applyFont="1" applyFill="1" applyBorder="1" applyAlignment="1">
      <alignment horizontal="center" vertical="center" wrapText="1"/>
    </xf>
    <xf numFmtId="2" fontId="171" fillId="0" borderId="15" xfId="36" applyNumberFormat="1" applyFont="1" applyFill="1" applyBorder="1" applyAlignment="1">
      <alignment horizontal="center" vertical="center" wrapText="1"/>
    </xf>
    <xf numFmtId="2" fontId="191" fillId="0" borderId="0" xfId="36" applyNumberFormat="1" applyFont="1" applyFill="1" applyBorder="1" applyAlignment="1">
      <alignment horizontal="center" vertical="center" wrapText="1"/>
    </xf>
    <xf numFmtId="2" fontId="209" fillId="0" borderId="15" xfId="36" applyNumberFormat="1" applyFont="1" applyFill="1" applyBorder="1" applyAlignment="1">
      <alignment horizontal="center" vertical="center" wrapText="1"/>
    </xf>
    <xf numFmtId="0" fontId="204" fillId="0" borderId="15" xfId="0" applyFont="1" applyBorder="1" applyAlignment="1">
      <alignment horizontal="center"/>
    </xf>
    <xf numFmtId="0" fontId="171" fillId="0" borderId="0" xfId="0" applyFont="1" applyAlignment="1">
      <alignment horizontal="center" vertical="center"/>
    </xf>
    <xf numFmtId="2" fontId="75" fillId="27" borderId="22" xfId="36" applyNumberFormat="1" applyFont="1" applyFill="1" applyBorder="1" applyAlignment="1">
      <alignment horizontal="center" vertical="top"/>
    </xf>
    <xf numFmtId="0" fontId="58" fillId="0" borderId="0" xfId="0" applyFont="1" applyAlignment="1">
      <alignment horizontal="center" vertical="top"/>
    </xf>
    <xf numFmtId="4" fontId="211" fillId="0" borderId="0" xfId="0" applyNumberFormat="1" applyFont="1"/>
  </cellXfs>
  <cellStyles count="188">
    <cellStyle name="20% - Акцент1" xfId="44" xr:uid="{00000000-0005-0000-0000-000000000000}"/>
    <cellStyle name="20% - Акцент2" xfId="45" xr:uid="{00000000-0005-0000-0000-000001000000}"/>
    <cellStyle name="20% - Акцент3" xfId="46" xr:uid="{00000000-0005-0000-0000-000002000000}"/>
    <cellStyle name="20% - Акцент4" xfId="47" xr:uid="{00000000-0005-0000-0000-000003000000}"/>
    <cellStyle name="20% - Акцент5" xfId="48" xr:uid="{00000000-0005-0000-0000-000004000000}"/>
    <cellStyle name="20% - Акцент6" xfId="49" xr:uid="{00000000-0005-0000-0000-000005000000}"/>
    <cellStyle name="40% - Акцент1" xfId="50" xr:uid="{00000000-0005-0000-0000-000006000000}"/>
    <cellStyle name="40% - Акцент2" xfId="51" xr:uid="{00000000-0005-0000-0000-000007000000}"/>
    <cellStyle name="40% - Акцент3" xfId="52" xr:uid="{00000000-0005-0000-0000-000008000000}"/>
    <cellStyle name="40% - Акцент4" xfId="53" xr:uid="{00000000-0005-0000-0000-000009000000}"/>
    <cellStyle name="40% - Акцент5" xfId="54" xr:uid="{00000000-0005-0000-0000-00000A000000}"/>
    <cellStyle name="40% - Акцент6" xfId="55" xr:uid="{00000000-0005-0000-0000-00000B000000}"/>
    <cellStyle name="60% - Акцент1" xfId="56" xr:uid="{00000000-0005-0000-0000-00000C000000}"/>
    <cellStyle name="60% - Акцент2" xfId="57" xr:uid="{00000000-0005-0000-0000-00000D000000}"/>
    <cellStyle name="60% - Акцент3" xfId="58" xr:uid="{00000000-0005-0000-0000-00000E000000}"/>
    <cellStyle name="60% - Акцент4" xfId="59" xr:uid="{00000000-0005-0000-0000-00000F000000}"/>
    <cellStyle name="60% - Акцент5" xfId="60" xr:uid="{00000000-0005-0000-0000-000010000000}"/>
    <cellStyle name="60% - Акцент6" xfId="61" xr:uid="{00000000-0005-0000-0000-000011000000}"/>
    <cellStyle name="Excel Built-in Normal" xfId="99" xr:uid="{00000000-0005-0000-0000-000012000000}"/>
    <cellStyle name="Excel Built-in Normal 2" xfId="115" xr:uid="{00000000-0005-0000-0000-000013000000}"/>
    <cellStyle name="Excel Built-in Обычный_УКБ до бюджету 2016р ост" xfId="82" xr:uid="{00000000-0005-0000-0000-000014000000}"/>
    <cellStyle name="Normal_meresha_07" xfId="1" xr:uid="{00000000-0005-0000-0000-000015000000}"/>
    <cellStyle name="TableStyleLight1" xfId="128" xr:uid="{00000000-0005-0000-0000-000016000000}"/>
    <cellStyle name="TableStyleLight1 2" xfId="170" xr:uid="{00000000-0005-0000-0000-000017000000}"/>
    <cellStyle name="Акцент1" xfId="62" xr:uid="{00000000-0005-0000-0000-000018000000}"/>
    <cellStyle name="Акцент2" xfId="63" xr:uid="{00000000-0005-0000-0000-000019000000}"/>
    <cellStyle name="Акцент3" xfId="64" xr:uid="{00000000-0005-0000-0000-00001A000000}"/>
    <cellStyle name="Акцент4" xfId="65" xr:uid="{00000000-0005-0000-0000-00001B000000}"/>
    <cellStyle name="Акцент5" xfId="66" xr:uid="{00000000-0005-0000-0000-00001C000000}"/>
    <cellStyle name="Акцент6" xfId="67" xr:uid="{00000000-0005-0000-0000-00001D000000}"/>
    <cellStyle name="Ввід" xfId="2" xr:uid="{00000000-0005-0000-0000-00001E000000}"/>
    <cellStyle name="Ввід 2" xfId="177" xr:uid="{00000000-0005-0000-0000-00001F000000}"/>
    <cellStyle name="Ввід 3" xfId="100" xr:uid="{00000000-0005-0000-0000-000020000000}"/>
    <cellStyle name="Ввод " xfId="68" xr:uid="{00000000-0005-0000-0000-000021000000}"/>
    <cellStyle name="Вывод" xfId="69" xr:uid="{00000000-0005-0000-0000-000022000000}"/>
    <cellStyle name="Вычисление" xfId="70" xr:uid="{00000000-0005-0000-0000-000023000000}"/>
    <cellStyle name="Гіперпосилання 2" xfId="71" xr:uid="{00000000-0005-0000-0000-000024000000}"/>
    <cellStyle name="Добре" xfId="3" xr:uid="{00000000-0005-0000-0000-000025000000}"/>
    <cellStyle name="Заголовок 1" xfId="4" builtinId="16" customBuiltin="1"/>
    <cellStyle name="Заголовок 1 2" xfId="101" xr:uid="{00000000-0005-0000-0000-000027000000}"/>
    <cellStyle name="Заголовок 2" xfId="5" builtinId="17" customBuiltin="1"/>
    <cellStyle name="Заголовок 2 2" xfId="102" xr:uid="{00000000-0005-0000-0000-000029000000}"/>
    <cellStyle name="Заголовок 3" xfId="6" builtinId="18" customBuiltin="1"/>
    <cellStyle name="Заголовок 3 2" xfId="103" xr:uid="{00000000-0005-0000-0000-00002B000000}"/>
    <cellStyle name="Заголовок 4" xfId="7" builtinId="19" customBuiltin="1"/>
    <cellStyle name="Заголовок 4 2" xfId="104"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6" xr:uid="{00000000-0005-0000-0000-00003B000000}"/>
    <cellStyle name="Звичайний 2 3" xfId="91" xr:uid="{00000000-0005-0000-0000-00003C000000}"/>
    <cellStyle name="Звичайний 20" xfId="20" xr:uid="{00000000-0005-0000-0000-00003D000000}"/>
    <cellStyle name="Звичайний 21" xfId="84" xr:uid="{00000000-0005-0000-0000-00003E000000}"/>
    <cellStyle name="Звичайний 21 2" xfId="90" xr:uid="{00000000-0005-0000-0000-00003F000000}"/>
    <cellStyle name="Звичайний 21 2 2" xfId="93" xr:uid="{00000000-0005-0000-0000-000040000000}"/>
    <cellStyle name="Звичайний 21 2 2 2" xfId="178" xr:uid="{00000000-0005-0000-0000-000041000000}"/>
    <cellStyle name="Звичайний 21 2 3" xfId="95" xr:uid="{00000000-0005-0000-0000-000042000000}"/>
    <cellStyle name="Звичайний 21 2 3 2" xfId="97" xr:uid="{00000000-0005-0000-0000-000043000000}"/>
    <cellStyle name="Звичайний 21 2 3 2 2" xfId="179" xr:uid="{00000000-0005-0000-0000-000044000000}"/>
    <cellStyle name="Звичайний 21 2 3 2 3" xfId="175" xr:uid="{00000000-0005-0000-0000-000045000000}"/>
    <cellStyle name="Звичайний 21 2 3 2 3 2 2 2" xfId="187" xr:uid="{00000000-0005-0000-0000-000046000000}"/>
    <cellStyle name="Звичайний 21 2 4" xfId="157" xr:uid="{00000000-0005-0000-0000-000047000000}"/>
    <cellStyle name="Звичайний 21 3" xfId="110" xr:uid="{00000000-0005-0000-0000-000048000000}"/>
    <cellStyle name="Звичайний 22" xfId="111" xr:uid="{00000000-0005-0000-0000-000049000000}"/>
    <cellStyle name="Звичайний 22 2" xfId="137" xr:uid="{00000000-0005-0000-0000-00004A000000}"/>
    <cellStyle name="Звичайний 23" xfId="112" xr:uid="{00000000-0005-0000-0000-00004B000000}"/>
    <cellStyle name="Звичайний 23 2" xfId="138" xr:uid="{00000000-0005-0000-0000-00004C000000}"/>
    <cellStyle name="Звичайний 24" xfId="113" xr:uid="{00000000-0005-0000-0000-00004D000000}"/>
    <cellStyle name="Звичайний 24 2" xfId="139" xr:uid="{00000000-0005-0000-0000-00004E000000}"/>
    <cellStyle name="Звичайний 25" xfId="114" xr:uid="{00000000-0005-0000-0000-00004F000000}"/>
    <cellStyle name="Звичайний 26" xfId="124" xr:uid="{00000000-0005-0000-0000-000050000000}"/>
    <cellStyle name="Звичайний 27" xfId="129" xr:uid="{00000000-0005-0000-0000-000051000000}"/>
    <cellStyle name="Звичайний 27 2" xfId="142" xr:uid="{00000000-0005-0000-0000-000052000000}"/>
    <cellStyle name="Звичайний 27 2 3" xfId="148" xr:uid="{00000000-0005-0000-0000-000053000000}"/>
    <cellStyle name="Звичайний 27 2 3 2" xfId="149" xr:uid="{00000000-0005-0000-0000-000054000000}"/>
    <cellStyle name="Звичайний 27 2 3 2 2" xfId="159" xr:uid="{00000000-0005-0000-0000-000055000000}"/>
    <cellStyle name="Звичайний 27 2 3 2 2 2" xfId="174" xr:uid="{00000000-0005-0000-0000-000056000000}"/>
    <cellStyle name="Звичайний 27 3" xfId="126" xr:uid="{00000000-0005-0000-0000-000057000000}"/>
    <cellStyle name="Звичайний 27 3 2" xfId="85" xr:uid="{00000000-0005-0000-0000-000058000000}"/>
    <cellStyle name="Звичайний 27 3 2 2" xfId="141" xr:uid="{00000000-0005-0000-0000-000059000000}"/>
    <cellStyle name="Звичайний 27 3 2 3" xfId="153" xr:uid="{00000000-0005-0000-0000-00005A000000}"/>
    <cellStyle name="Звичайний 27 3 2 4" xfId="162" xr:uid="{00000000-0005-0000-0000-00005B000000}"/>
    <cellStyle name="Звичайний 27 3 2 4 2" xfId="167" xr:uid="{00000000-0005-0000-0000-00005C000000}"/>
    <cellStyle name="Звичайний 27 3 2 5" xfId="127" xr:uid="{00000000-0005-0000-0000-00005D000000}"/>
    <cellStyle name="Звичайний 27 3 3" xfId="140" xr:uid="{00000000-0005-0000-0000-00005E000000}"/>
    <cellStyle name="Звичайний 27 3 3 2" xfId="132" xr:uid="{00000000-0005-0000-0000-00005F000000}"/>
    <cellStyle name="Звичайний 27 3 3 2 2" xfId="144" xr:uid="{00000000-0005-0000-0000-000060000000}"/>
    <cellStyle name="Звичайний 27 3 3 2 3" xfId="152" xr:uid="{00000000-0005-0000-0000-000061000000}"/>
    <cellStyle name="Звичайний 27 4 2" xfId="161" xr:uid="{00000000-0005-0000-0000-000062000000}"/>
    <cellStyle name="Звичайний 27 4 2 2" xfId="166" xr:uid="{00000000-0005-0000-0000-000063000000}"/>
    <cellStyle name="Звичайний 27 4 2 2 2" xfId="172" xr:uid="{00000000-0005-0000-0000-000064000000}"/>
    <cellStyle name="Звичайний 27 5" xfId="160" xr:uid="{00000000-0005-0000-0000-000065000000}"/>
    <cellStyle name="Звичайний 27 5 2" xfId="165" xr:uid="{00000000-0005-0000-0000-000066000000}"/>
    <cellStyle name="Звичайний 27 5 2 2" xfId="171" xr:uid="{00000000-0005-0000-0000-000067000000}"/>
    <cellStyle name="Звичайний 28" xfId="133" xr:uid="{00000000-0005-0000-0000-000068000000}"/>
    <cellStyle name="Звичайний 28 2" xfId="145" xr:uid="{00000000-0005-0000-0000-000069000000}"/>
    <cellStyle name="Звичайний 28 3" xfId="151" xr:uid="{00000000-0005-0000-0000-00006A000000}"/>
    <cellStyle name="Звичайний 29" xfId="136" xr:uid="{00000000-0005-0000-0000-00006B000000}"/>
    <cellStyle name="Звичайний 29 2" xfId="150" xr:uid="{00000000-0005-0000-0000-00006C000000}"/>
    <cellStyle name="Звичайний 29 2 2" xfId="163" xr:uid="{00000000-0005-0000-0000-00006D000000}"/>
    <cellStyle name="Звичайний 29 2 2 2" xfId="173" xr:uid="{00000000-0005-0000-0000-00006E000000}"/>
    <cellStyle name="Звичайний 3" xfId="21" xr:uid="{00000000-0005-0000-0000-00006F000000}"/>
    <cellStyle name="Звичайний 3 2" xfId="22" xr:uid="{00000000-0005-0000-0000-000070000000}"/>
    <cellStyle name="Звичайний 3 2 2" xfId="87" xr:uid="{00000000-0005-0000-0000-000071000000}"/>
    <cellStyle name="Звичайний 30" xfId="155" xr:uid="{00000000-0005-0000-0000-000072000000}"/>
    <cellStyle name="Звичайний 30 2" xfId="92" xr:uid="{00000000-0005-0000-0000-000073000000}"/>
    <cellStyle name="Звичайний 30 2 2" xfId="94" xr:uid="{00000000-0005-0000-0000-000074000000}"/>
    <cellStyle name="Звичайний 30 2 3" xfId="96" xr:uid="{00000000-0005-0000-0000-000075000000}"/>
    <cellStyle name="Звичайний 30 2 3 2" xfId="98" xr:uid="{00000000-0005-0000-0000-000076000000}"/>
    <cellStyle name="Звичайний 31" xfId="158" xr:uid="{00000000-0005-0000-0000-000077000000}"/>
    <cellStyle name="Звичайний 31 2" xfId="168" xr:uid="{00000000-0005-0000-0000-000078000000}"/>
    <cellStyle name="Звичайний 31 2 2" xfId="169" xr:uid="{00000000-0005-0000-0000-000079000000}"/>
    <cellStyle name="Звичайний 32" xfId="131" xr:uid="{00000000-0005-0000-0000-00007A000000}"/>
    <cellStyle name="Звичайний 32 2" xfId="134" xr:uid="{00000000-0005-0000-0000-00007B000000}"/>
    <cellStyle name="Звичайний 32 2 2" xfId="135" xr:uid="{00000000-0005-0000-0000-00007C000000}"/>
    <cellStyle name="Звичайний 32 2 2 2" xfId="147" xr:uid="{00000000-0005-0000-0000-00007D000000}"/>
    <cellStyle name="Звичайний 32 2 2 3" xfId="154" xr:uid="{00000000-0005-0000-0000-00007E000000}"/>
    <cellStyle name="Звичайний 32 2 2 4" xfId="156" xr:uid="{00000000-0005-0000-0000-00007F000000}"/>
    <cellStyle name="Звичайний 32 2 3" xfId="146" xr:uid="{00000000-0005-0000-0000-000080000000}"/>
    <cellStyle name="Звичайний 32 3" xfId="143" xr:uid="{00000000-0005-0000-0000-000081000000}"/>
    <cellStyle name="Звичайний 33" xfId="176" xr:uid="{00000000-0005-0000-0000-000082000000}"/>
    <cellStyle name="Звичайний 4" xfId="23" xr:uid="{00000000-0005-0000-0000-000083000000}"/>
    <cellStyle name="Звичайний 4 2" xfId="24" xr:uid="{00000000-0005-0000-0000-000084000000}"/>
    <cellStyle name="Звичайний 4 2 2" xfId="88" xr:uid="{00000000-0005-0000-0000-000085000000}"/>
    <cellStyle name="Звичайний 4 3" xfId="164"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0" xr:uid="{00000000-0005-0000-0000-00008D000000}"/>
    <cellStyle name="Зв'язана клітинка 2" xfId="180" xr:uid="{00000000-0005-0000-0000-00008E000000}"/>
    <cellStyle name="Зв'язана клітинка 3" xfId="105" xr:uid="{00000000-0005-0000-0000-00008F000000}"/>
    <cellStyle name="Итог" xfId="72" xr:uid="{00000000-0005-0000-0000-000090000000}"/>
    <cellStyle name="Контрольна клітинка" xfId="31" xr:uid="{00000000-0005-0000-0000-000091000000}"/>
    <cellStyle name="Контрольна клітинка 2" xfId="181" xr:uid="{00000000-0005-0000-0000-000092000000}"/>
    <cellStyle name="Контрольная ячейка" xfId="73" xr:uid="{00000000-0005-0000-0000-000093000000}"/>
    <cellStyle name="Назва" xfId="32" xr:uid="{00000000-0005-0000-0000-000094000000}"/>
    <cellStyle name="Назва 2" xfId="182" xr:uid="{00000000-0005-0000-0000-000095000000}"/>
    <cellStyle name="Назва 3" xfId="106" xr:uid="{00000000-0005-0000-0000-000096000000}"/>
    <cellStyle name="Название" xfId="74" xr:uid="{00000000-0005-0000-0000-000097000000}"/>
    <cellStyle name="Нейтральный" xfId="75" xr:uid="{00000000-0005-0000-0000-000098000000}"/>
    <cellStyle name="Обычный 2" xfId="33" xr:uid="{00000000-0005-0000-0000-000099000000}"/>
    <cellStyle name="Обычный 2 2" xfId="34" xr:uid="{00000000-0005-0000-0000-00009A000000}"/>
    <cellStyle name="Обычный 2 2 2" xfId="89" xr:uid="{00000000-0005-0000-0000-00009B000000}"/>
    <cellStyle name="Обычный 2 2 2 2" xfId="117" xr:uid="{00000000-0005-0000-0000-00009C000000}"/>
    <cellStyle name="Обычный 2 2 3" xfId="125" xr:uid="{00000000-0005-0000-0000-00009D000000}"/>
    <cellStyle name="Обычный 2 3" xfId="107" xr:uid="{00000000-0005-0000-0000-00009E000000}"/>
    <cellStyle name="Обычный 2 3 2" xfId="184" xr:uid="{00000000-0005-0000-0000-00009F000000}"/>
    <cellStyle name="Обычный 2 4" xfId="116" xr:uid="{00000000-0005-0000-0000-0000A0000000}"/>
    <cellStyle name="Обычный 2 5" xfId="183" xr:uid="{00000000-0005-0000-0000-0000A1000000}"/>
    <cellStyle name="Обычный 3" xfId="35" xr:uid="{00000000-0005-0000-0000-0000A2000000}"/>
    <cellStyle name="Обычный 3 2" xfId="118" xr:uid="{00000000-0005-0000-0000-0000A3000000}"/>
    <cellStyle name="Обычный 3 3" xfId="185" xr:uid="{00000000-0005-0000-0000-0000A4000000}"/>
    <cellStyle name="Обычный 3 4" xfId="108" xr:uid="{00000000-0005-0000-0000-0000A5000000}"/>
    <cellStyle name="Обычный 4" xfId="109" xr:uid="{00000000-0005-0000-0000-0000A6000000}"/>
    <cellStyle name="Обычный 4 2" xfId="119" xr:uid="{00000000-0005-0000-0000-0000A7000000}"/>
    <cellStyle name="Обычный 4 3" xfId="83" xr:uid="{00000000-0005-0000-0000-0000A8000000}"/>
    <cellStyle name="Обычный 5" xfId="120" xr:uid="{00000000-0005-0000-0000-0000A9000000}"/>
    <cellStyle name="Обычный 6" xfId="121" xr:uid="{00000000-0005-0000-0000-0000AA000000}"/>
    <cellStyle name="Обычный 7" xfId="122" xr:uid="{00000000-0005-0000-0000-0000AB000000}"/>
    <cellStyle name="Обычный 8" xfId="123"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Плохой" xfId="76" xr:uid="{00000000-0005-0000-0000-0000B1000000}"/>
    <cellStyle name="Пояснение" xfId="77" xr:uid="{00000000-0005-0000-0000-0000B2000000}"/>
    <cellStyle name="Примечание" xfId="78" xr:uid="{00000000-0005-0000-0000-0000B3000000}"/>
    <cellStyle name="Связанная ячейка" xfId="79" xr:uid="{00000000-0005-0000-0000-0000B4000000}"/>
    <cellStyle name="Середній" xfId="41" xr:uid="{00000000-0005-0000-0000-0000B5000000}"/>
    <cellStyle name="Стиль 1" xfId="42" xr:uid="{00000000-0005-0000-0000-0000B6000000}"/>
    <cellStyle name="Текст попередження" xfId="43" xr:uid="{00000000-0005-0000-0000-0000B7000000}"/>
    <cellStyle name="Текст попередження 2" xfId="186" xr:uid="{00000000-0005-0000-0000-0000B8000000}"/>
    <cellStyle name="Текст предупреждения" xfId="80" xr:uid="{00000000-0005-0000-0000-0000B9000000}"/>
    <cellStyle name="Фінансовий 2" xfId="130" xr:uid="{00000000-0005-0000-0000-0000BA000000}"/>
    <cellStyle name="Хороший" xfId="81" xr:uid="{00000000-0005-0000-0000-0000BB000000}"/>
  </cellStyles>
  <dxfs count="0"/>
  <tableStyles count="0" defaultTableStyle="TableStyleMedium2" defaultPivotStyle="PivotStyleLight16"/>
  <colors>
    <mruColors>
      <color rgb="FF00FFCC"/>
      <color rgb="FFCCFF66"/>
      <color rgb="FFCCCCFF"/>
      <color rgb="FFFFAFAF"/>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0"/>
  <sheetViews>
    <sheetView view="pageBreakPreview" topLeftCell="A140" zoomScaleNormal="100" zoomScaleSheetLayoutView="100" workbookViewId="0">
      <selection activeCell="D161" sqref="D161"/>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3"/>
      <c r="B1" s="303"/>
      <c r="C1" s="303"/>
      <c r="D1" s="741" t="s">
        <v>54</v>
      </c>
      <c r="E1" s="742"/>
      <c r="F1" s="742"/>
      <c r="G1" s="742"/>
    </row>
    <row r="2" spans="1:7" ht="30" customHeight="1" x14ac:dyDescent="0.2">
      <c r="A2" s="303"/>
      <c r="B2" s="303"/>
      <c r="C2" s="369"/>
      <c r="D2" s="743" t="s">
        <v>1769</v>
      </c>
      <c r="E2" s="744"/>
      <c r="F2" s="744"/>
      <c r="G2" s="744"/>
    </row>
    <row r="3" spans="1:7" ht="6" hidden="1" customHeight="1" x14ac:dyDescent="0.2">
      <c r="A3" s="303"/>
      <c r="B3" s="303"/>
      <c r="C3" s="369"/>
      <c r="D3" s="741"/>
      <c r="E3" s="744"/>
      <c r="F3" s="744"/>
      <c r="G3" s="744"/>
    </row>
    <row r="4" spans="1:7" ht="12.75" customHeight="1" x14ac:dyDescent="0.2">
      <c r="A4" s="734"/>
      <c r="B4" s="734"/>
      <c r="C4" s="734"/>
      <c r="D4" s="734"/>
      <c r="E4" s="734"/>
      <c r="F4" s="303"/>
      <c r="G4" s="303"/>
    </row>
    <row r="5" spans="1:7" ht="20.25" x14ac:dyDescent="0.2">
      <c r="A5" s="734" t="s">
        <v>1023</v>
      </c>
      <c r="B5" s="735"/>
      <c r="C5" s="735"/>
      <c r="D5" s="735"/>
      <c r="E5" s="735"/>
      <c r="F5" s="735"/>
      <c r="G5" s="303"/>
    </row>
    <row r="6" spans="1:7" ht="20.25" x14ac:dyDescent="0.2">
      <c r="A6" s="734" t="s">
        <v>1473</v>
      </c>
      <c r="B6" s="735"/>
      <c r="C6" s="735"/>
      <c r="D6" s="735"/>
      <c r="E6" s="735"/>
      <c r="F6" s="735"/>
      <c r="G6" s="303"/>
    </row>
    <row r="7" spans="1:7" ht="20.25" x14ac:dyDescent="0.2">
      <c r="A7" s="371"/>
      <c r="B7" s="372"/>
      <c r="C7" s="372"/>
      <c r="D7" s="372"/>
      <c r="E7" s="372"/>
      <c r="F7" s="372"/>
      <c r="G7" s="303"/>
    </row>
    <row r="8" spans="1:7" ht="20.25" x14ac:dyDescent="0.2">
      <c r="A8" s="736">
        <v>2256400000</v>
      </c>
      <c r="B8" s="737"/>
      <c r="C8" s="737"/>
      <c r="D8" s="737"/>
      <c r="E8" s="737"/>
      <c r="F8" s="737"/>
      <c r="G8" s="303"/>
    </row>
    <row r="9" spans="1:7" ht="15.75" x14ac:dyDescent="0.2">
      <c r="A9" s="738" t="s">
        <v>474</v>
      </c>
      <c r="B9" s="739"/>
      <c r="C9" s="739"/>
      <c r="D9" s="739"/>
      <c r="E9" s="739"/>
      <c r="F9" s="739"/>
      <c r="G9" s="303"/>
    </row>
    <row r="10" spans="1:7" ht="20.25" x14ac:dyDescent="0.2">
      <c r="A10" s="371"/>
      <c r="B10" s="368"/>
      <c r="C10" s="368"/>
      <c r="D10" s="368"/>
      <c r="E10" s="368"/>
      <c r="F10" s="368"/>
      <c r="G10" s="303"/>
    </row>
    <row r="11" spans="1:7" ht="13.5" thickBot="1" x14ac:dyDescent="0.25">
      <c r="A11" s="303"/>
      <c r="B11" s="373"/>
      <c r="C11" s="373"/>
      <c r="D11" s="373"/>
      <c r="E11" s="373"/>
      <c r="F11" s="374" t="s">
        <v>394</v>
      </c>
      <c r="G11" s="303"/>
    </row>
    <row r="12" spans="1:7" ht="14.25" thickTop="1" thickBot="1" x14ac:dyDescent="0.25">
      <c r="A12" s="740" t="s">
        <v>55</v>
      </c>
      <c r="B12" s="740" t="s">
        <v>1474</v>
      </c>
      <c r="C12" s="740" t="s">
        <v>373</v>
      </c>
      <c r="D12" s="740" t="s">
        <v>12</v>
      </c>
      <c r="E12" s="740" t="s">
        <v>50</v>
      </c>
      <c r="F12" s="740"/>
      <c r="G12" s="354"/>
    </row>
    <row r="13" spans="1:7" ht="39.75" thickTop="1" thickBot="1" x14ac:dyDescent="0.3">
      <c r="A13" s="740"/>
      <c r="B13" s="740"/>
      <c r="C13" s="740"/>
      <c r="D13" s="740"/>
      <c r="E13" s="375" t="s">
        <v>374</v>
      </c>
      <c r="F13" s="375" t="s">
        <v>415</v>
      </c>
      <c r="G13" s="96"/>
    </row>
    <row r="14" spans="1:7" ht="16.5" thickTop="1" thickBot="1" x14ac:dyDescent="0.3">
      <c r="A14" s="375">
        <v>1</v>
      </c>
      <c r="B14" s="375">
        <v>2</v>
      </c>
      <c r="C14" s="375">
        <v>3</v>
      </c>
      <c r="D14" s="375">
        <v>4</v>
      </c>
      <c r="E14" s="375">
        <v>5</v>
      </c>
      <c r="F14" s="375">
        <v>6</v>
      </c>
      <c r="G14" s="96"/>
    </row>
    <row r="15" spans="1:7" ht="25.5" customHeight="1" thickTop="1" thickBot="1" x14ac:dyDescent="0.25">
      <c r="A15" s="629">
        <v>10000000</v>
      </c>
      <c r="B15" s="629" t="s">
        <v>56</v>
      </c>
      <c r="C15" s="630">
        <f t="shared" ref="C15:C20" si="0">SUM(D15,E15)</f>
        <v>4657362732</v>
      </c>
      <c r="D15" s="630">
        <f>SUM(D16,D32,D40,D61,D26)</f>
        <v>4654862732</v>
      </c>
      <c r="E15" s="630">
        <f>SUM(E16,E32,E40,E61,E26)</f>
        <v>2500000</v>
      </c>
      <c r="F15" s="630">
        <f>SUM(F16,F32,F40,F61,F26)</f>
        <v>0</v>
      </c>
      <c r="G15" s="97"/>
    </row>
    <row r="16" spans="1:7" ht="31.7" customHeight="1" thickTop="1" thickBot="1" x14ac:dyDescent="0.25">
      <c r="A16" s="375">
        <v>11000000</v>
      </c>
      <c r="B16" s="375" t="s">
        <v>57</v>
      </c>
      <c r="C16" s="618">
        <f>SUM(D16,E16)</f>
        <v>2836152480</v>
      </c>
      <c r="D16" s="618">
        <f>SUM(D17,D24)</f>
        <v>2836152480</v>
      </c>
      <c r="E16" s="255"/>
      <c r="F16" s="255"/>
      <c r="G16" s="98"/>
    </row>
    <row r="17" spans="1:7" ht="24.75" customHeight="1" thickTop="1" thickBot="1" x14ac:dyDescent="0.25">
      <c r="A17" s="620">
        <v>11010000</v>
      </c>
      <c r="B17" s="621" t="s">
        <v>58</v>
      </c>
      <c r="C17" s="622">
        <f t="shared" si="0"/>
        <v>2833952480</v>
      </c>
      <c r="D17" s="622">
        <f>SUM(D18:D23)</f>
        <v>2833952480</v>
      </c>
      <c r="E17" s="256"/>
      <c r="F17" s="256"/>
      <c r="G17" s="98"/>
    </row>
    <row r="18" spans="1:7" ht="39.75" thickTop="1" thickBot="1" x14ac:dyDescent="0.25">
      <c r="A18" s="616">
        <v>11010100</v>
      </c>
      <c r="B18" s="617" t="s">
        <v>59</v>
      </c>
      <c r="C18" s="618">
        <f>SUM(D18,E18)</f>
        <v>2634607100</v>
      </c>
      <c r="D18" s="619">
        <f>2319722100+125550000+188285000+1050000</f>
        <v>2634607100</v>
      </c>
      <c r="E18" s="259"/>
      <c r="F18" s="259"/>
      <c r="G18" s="98"/>
    </row>
    <row r="19" spans="1:7" ht="65.25" hidden="1" thickTop="1" thickBot="1" x14ac:dyDescent="0.25">
      <c r="A19" s="257">
        <v>11010200</v>
      </c>
      <c r="B19" s="258" t="s">
        <v>60</v>
      </c>
      <c r="C19" s="255">
        <f t="shared" si="0"/>
        <v>0</v>
      </c>
      <c r="D19" s="259">
        <v>0</v>
      </c>
      <c r="E19" s="259"/>
      <c r="F19" s="259"/>
      <c r="G19" s="98"/>
    </row>
    <row r="20" spans="1:7" ht="39.75" thickTop="1" thickBot="1" x14ac:dyDescent="0.25">
      <c r="A20" s="616">
        <v>11010400</v>
      </c>
      <c r="B20" s="617" t="s">
        <v>61</v>
      </c>
      <c r="C20" s="618">
        <f t="shared" si="0"/>
        <v>90545680</v>
      </c>
      <c r="D20" s="619">
        <v>90545680</v>
      </c>
      <c r="E20" s="259"/>
      <c r="F20" s="259"/>
      <c r="G20" s="98"/>
    </row>
    <row r="21" spans="1:7" ht="39.75" thickTop="1" thickBot="1" x14ac:dyDescent="0.3">
      <c r="A21" s="616">
        <v>11010500</v>
      </c>
      <c r="B21" s="617" t="s">
        <v>62</v>
      </c>
      <c r="C21" s="618">
        <f t="shared" ref="C21:C108" si="1">SUM(D21,E21)</f>
        <v>100794200</v>
      </c>
      <c r="D21" s="619">
        <v>100794200</v>
      </c>
      <c r="E21" s="259"/>
      <c r="F21" s="259"/>
      <c r="G21" s="96"/>
    </row>
    <row r="22" spans="1:7" ht="27" thickTop="1" thickBot="1" x14ac:dyDescent="0.3">
      <c r="A22" s="616">
        <v>11011200</v>
      </c>
      <c r="B22" s="617" t="s">
        <v>1288</v>
      </c>
      <c r="C22" s="618">
        <f t="shared" si="1"/>
        <v>7620500</v>
      </c>
      <c r="D22" s="619">
        <f>5120500+2500000</f>
        <v>7620500</v>
      </c>
      <c r="E22" s="259"/>
      <c r="F22" s="259"/>
      <c r="G22" s="96"/>
    </row>
    <row r="23" spans="1:7" ht="39.75" thickTop="1" thickBot="1" x14ac:dyDescent="0.3">
      <c r="A23" s="616">
        <v>11011300</v>
      </c>
      <c r="B23" s="617" t="s">
        <v>1289</v>
      </c>
      <c r="C23" s="618">
        <f t="shared" si="1"/>
        <v>385000</v>
      </c>
      <c r="D23" s="619">
        <f>185000+200000</f>
        <v>385000</v>
      </c>
      <c r="E23" s="259"/>
      <c r="F23" s="259"/>
      <c r="G23" s="96"/>
    </row>
    <row r="24" spans="1:7" ht="28.5" customHeight="1" thickTop="1" thickBot="1" x14ac:dyDescent="0.25">
      <c r="A24" s="620">
        <v>11020000</v>
      </c>
      <c r="B24" s="621" t="s">
        <v>63</v>
      </c>
      <c r="C24" s="622">
        <f>SUM(D24,E24)</f>
        <v>2200000</v>
      </c>
      <c r="D24" s="622">
        <f>D25</f>
        <v>2200000</v>
      </c>
      <c r="E24" s="256"/>
      <c r="F24" s="256"/>
      <c r="G24" s="97"/>
    </row>
    <row r="25" spans="1:7" ht="27" thickTop="1" thickBot="1" x14ac:dyDescent="0.3">
      <c r="A25" s="616">
        <v>11020200</v>
      </c>
      <c r="B25" s="623" t="s">
        <v>64</v>
      </c>
      <c r="C25" s="618">
        <f>SUM(D25,E25)</f>
        <v>2200000</v>
      </c>
      <c r="D25" s="619">
        <f>1200000+1000000</f>
        <v>2200000</v>
      </c>
      <c r="E25" s="259"/>
      <c r="F25" s="259"/>
      <c r="G25" s="96"/>
    </row>
    <row r="26" spans="1:7" ht="27" thickTop="1" thickBot="1" x14ac:dyDescent="0.3">
      <c r="A26" s="375">
        <v>13000000</v>
      </c>
      <c r="B26" s="624" t="s">
        <v>504</v>
      </c>
      <c r="C26" s="618">
        <f>D26+E26</f>
        <v>685000</v>
      </c>
      <c r="D26" s="618">
        <f>SUM(D27,D30)</f>
        <v>685000</v>
      </c>
      <c r="E26" s="259"/>
      <c r="F26" s="259"/>
      <c r="G26" s="96"/>
    </row>
    <row r="27" spans="1:7" ht="28.5" thickTop="1" thickBot="1" x14ac:dyDescent="0.3">
      <c r="A27" s="620">
        <v>13010000</v>
      </c>
      <c r="B27" s="625" t="s">
        <v>505</v>
      </c>
      <c r="C27" s="622">
        <f>D27+E27</f>
        <v>630000</v>
      </c>
      <c r="D27" s="622">
        <f>SUM(D28:D29)</f>
        <v>630000</v>
      </c>
      <c r="E27" s="256"/>
      <c r="F27" s="256"/>
      <c r="G27" s="96"/>
    </row>
    <row r="28" spans="1:7" ht="52.5" thickTop="1" thickBot="1" x14ac:dyDescent="0.3">
      <c r="A28" s="616">
        <v>13010100</v>
      </c>
      <c r="B28" s="626" t="s">
        <v>1290</v>
      </c>
      <c r="C28" s="618">
        <f t="shared" ref="C28:C32" si="2">D28+E28</f>
        <v>330000</v>
      </c>
      <c r="D28" s="619">
        <v>330000</v>
      </c>
      <c r="E28" s="259"/>
      <c r="F28" s="259"/>
      <c r="G28" s="96"/>
    </row>
    <row r="29" spans="1:7" ht="65.25" thickTop="1" thickBot="1" x14ac:dyDescent="0.3">
      <c r="A29" s="616">
        <v>13010200</v>
      </c>
      <c r="B29" s="626" t="s">
        <v>506</v>
      </c>
      <c r="C29" s="618">
        <f t="shared" si="2"/>
        <v>300000</v>
      </c>
      <c r="D29" s="619">
        <v>300000</v>
      </c>
      <c r="E29" s="259"/>
      <c r="F29" s="259"/>
      <c r="G29" s="96"/>
    </row>
    <row r="30" spans="1:7" ht="16.5" thickTop="1" thickBot="1" x14ac:dyDescent="0.3">
      <c r="A30" s="620">
        <v>13030000</v>
      </c>
      <c r="B30" s="627" t="s">
        <v>507</v>
      </c>
      <c r="C30" s="622">
        <f>D30+E30</f>
        <v>55000</v>
      </c>
      <c r="D30" s="622">
        <f>SUM(D31)</f>
        <v>55000</v>
      </c>
      <c r="E30" s="256"/>
      <c r="F30" s="256"/>
      <c r="G30" s="96"/>
    </row>
    <row r="31" spans="1:7" ht="39.75" thickTop="1" thickBot="1" x14ac:dyDescent="0.3">
      <c r="A31" s="616">
        <v>13030100</v>
      </c>
      <c r="B31" s="626" t="s">
        <v>508</v>
      </c>
      <c r="C31" s="618">
        <f t="shared" si="2"/>
        <v>55000</v>
      </c>
      <c r="D31" s="619">
        <v>55000</v>
      </c>
      <c r="E31" s="259"/>
      <c r="F31" s="259"/>
      <c r="G31" s="96"/>
    </row>
    <row r="32" spans="1:7" ht="26.45" customHeight="1" thickTop="1" thickBot="1" x14ac:dyDescent="0.3">
      <c r="A32" s="375">
        <v>14000000</v>
      </c>
      <c r="B32" s="624" t="s">
        <v>509</v>
      </c>
      <c r="C32" s="618">
        <f t="shared" si="2"/>
        <v>486756000</v>
      </c>
      <c r="D32" s="618">
        <f>SUM(D33,D35,D37)</f>
        <v>486756000</v>
      </c>
      <c r="E32" s="255"/>
      <c r="F32" s="259"/>
      <c r="G32" s="96"/>
    </row>
    <row r="33" spans="1:7" ht="30" customHeight="1" thickTop="1" thickBot="1" x14ac:dyDescent="0.3">
      <c r="A33" s="620">
        <v>14020000</v>
      </c>
      <c r="B33" s="625" t="s">
        <v>595</v>
      </c>
      <c r="C33" s="622">
        <f>SUM(D33,E33)</f>
        <v>18500850</v>
      </c>
      <c r="D33" s="622">
        <f>SUM(D34,E34)</f>
        <v>18500850</v>
      </c>
      <c r="E33" s="256"/>
      <c r="F33" s="261"/>
      <c r="G33" s="96"/>
    </row>
    <row r="34" spans="1:7" ht="16.5" thickTop="1" thickBot="1" x14ac:dyDescent="0.3">
      <c r="A34" s="616">
        <v>14021900</v>
      </c>
      <c r="B34" s="623" t="s">
        <v>594</v>
      </c>
      <c r="C34" s="619">
        <f>SUM(D34,E34)</f>
        <v>18500850</v>
      </c>
      <c r="D34" s="619">
        <v>18500850</v>
      </c>
      <c r="E34" s="255"/>
      <c r="F34" s="259"/>
      <c r="G34" s="96"/>
    </row>
    <row r="35" spans="1:7" ht="42" thickTop="1" thickBot="1" x14ac:dyDescent="0.3">
      <c r="A35" s="620">
        <v>14030000</v>
      </c>
      <c r="B35" s="625" t="s">
        <v>596</v>
      </c>
      <c r="C35" s="622">
        <f>SUM(D35,E35)</f>
        <v>199790150</v>
      </c>
      <c r="D35" s="622">
        <f>SUM(D36,E36)</f>
        <v>199790150</v>
      </c>
      <c r="E35" s="256"/>
      <c r="F35" s="261"/>
      <c r="G35" s="96"/>
    </row>
    <row r="36" spans="1:7" ht="16.5" thickTop="1" thickBot="1" x14ac:dyDescent="0.3">
      <c r="A36" s="616">
        <v>14031900</v>
      </c>
      <c r="B36" s="623" t="s">
        <v>594</v>
      </c>
      <c r="C36" s="619">
        <f>SUM(D36,E36)</f>
        <v>199790150</v>
      </c>
      <c r="D36" s="619">
        <f>176579150+23211000</f>
        <v>199790150</v>
      </c>
      <c r="E36" s="255"/>
      <c r="F36" s="259"/>
      <c r="G36" s="96"/>
    </row>
    <row r="37" spans="1:7" ht="42" thickTop="1" thickBot="1" x14ac:dyDescent="0.3">
      <c r="A37" s="620">
        <v>14040000</v>
      </c>
      <c r="B37" s="625" t="s">
        <v>1089</v>
      </c>
      <c r="C37" s="622">
        <f>SUM(C38:C39)</f>
        <v>268465000</v>
      </c>
      <c r="D37" s="622">
        <f>SUM(D38:D39)</f>
        <v>268465000</v>
      </c>
      <c r="E37" s="256"/>
      <c r="F37" s="261"/>
      <c r="G37" s="96"/>
    </row>
    <row r="38" spans="1:7" ht="103.5" thickTop="1" thickBot="1" x14ac:dyDescent="0.25">
      <c r="A38" s="616">
        <v>14040100</v>
      </c>
      <c r="B38" s="623" t="s">
        <v>1107</v>
      </c>
      <c r="C38" s="619">
        <f>SUM(D38,E38)</f>
        <v>162884700</v>
      </c>
      <c r="D38" s="619">
        <v>162884700</v>
      </c>
      <c r="E38" s="255"/>
      <c r="F38" s="259"/>
      <c r="G38" s="99"/>
    </row>
    <row r="39" spans="1:7" ht="65.25" thickTop="1" thickBot="1" x14ac:dyDescent="0.25">
      <c r="A39" s="616">
        <v>14040200</v>
      </c>
      <c r="B39" s="623" t="s">
        <v>1088</v>
      </c>
      <c r="C39" s="619">
        <f>SUM(D39,E39)</f>
        <v>105580300</v>
      </c>
      <c r="D39" s="619">
        <v>105580300</v>
      </c>
      <c r="E39" s="255"/>
      <c r="F39" s="259"/>
      <c r="G39" s="99"/>
    </row>
    <row r="40" spans="1:7" ht="29.25" customHeight="1" thickTop="1" thickBot="1" x14ac:dyDescent="0.3">
      <c r="A40" s="375">
        <v>18000000</v>
      </c>
      <c r="B40" s="375" t="s">
        <v>65</v>
      </c>
      <c r="C40" s="618">
        <f t="shared" si="1"/>
        <v>1331269252</v>
      </c>
      <c r="D40" s="618">
        <f>SUM(D41,D54,D57,D52)</f>
        <v>1331269252</v>
      </c>
      <c r="E40" s="255"/>
      <c r="F40" s="255"/>
      <c r="G40" s="96"/>
    </row>
    <row r="41" spans="1:7" ht="16.5" thickTop="1" thickBot="1" x14ac:dyDescent="0.3">
      <c r="A41" s="620">
        <v>18010000</v>
      </c>
      <c r="B41" s="625" t="s">
        <v>66</v>
      </c>
      <c r="C41" s="622">
        <f>SUM(D41,E41)</f>
        <v>418519067</v>
      </c>
      <c r="D41" s="622">
        <f>SUM(D42:D51)</f>
        <v>418519067</v>
      </c>
      <c r="E41" s="256"/>
      <c r="F41" s="256"/>
      <c r="G41" s="96"/>
    </row>
    <row r="42" spans="1:7" ht="52.5" thickTop="1" thickBot="1" x14ac:dyDescent="0.3">
      <c r="A42" s="616">
        <v>18010100</v>
      </c>
      <c r="B42" s="623" t="s">
        <v>67</v>
      </c>
      <c r="C42" s="618">
        <f t="shared" si="1"/>
        <v>700000</v>
      </c>
      <c r="D42" s="619">
        <v>700000</v>
      </c>
      <c r="E42" s="259"/>
      <c r="F42" s="259"/>
      <c r="G42" s="96"/>
    </row>
    <row r="43" spans="1:7" ht="52.5" thickTop="1" thickBot="1" x14ac:dyDescent="0.3">
      <c r="A43" s="616">
        <v>18010200</v>
      </c>
      <c r="B43" s="623" t="s">
        <v>68</v>
      </c>
      <c r="C43" s="618">
        <f t="shared" si="1"/>
        <v>38570345</v>
      </c>
      <c r="D43" s="619">
        <v>38570345</v>
      </c>
      <c r="E43" s="259"/>
      <c r="F43" s="259"/>
      <c r="G43" s="96"/>
    </row>
    <row r="44" spans="1:7" ht="52.5" thickTop="1" thickBot="1" x14ac:dyDescent="0.3">
      <c r="A44" s="616">
        <v>18010300</v>
      </c>
      <c r="B44" s="623" t="s">
        <v>69</v>
      </c>
      <c r="C44" s="618">
        <f t="shared" si="1"/>
        <v>31950090</v>
      </c>
      <c r="D44" s="619">
        <f>29950090+2000000</f>
        <v>31950090</v>
      </c>
      <c r="E44" s="259"/>
      <c r="F44" s="259"/>
      <c r="G44" s="96"/>
    </row>
    <row r="45" spans="1:7" ht="52.5" thickTop="1" thickBot="1" x14ac:dyDescent="0.3">
      <c r="A45" s="616">
        <v>18010400</v>
      </c>
      <c r="B45" s="623" t="s">
        <v>70</v>
      </c>
      <c r="C45" s="618">
        <f t="shared" si="1"/>
        <v>54764565</v>
      </c>
      <c r="D45" s="619">
        <f>51764565+3000000</f>
        <v>54764565</v>
      </c>
      <c r="E45" s="259"/>
      <c r="F45" s="259"/>
      <c r="G45" s="96"/>
    </row>
    <row r="46" spans="1:7" ht="16.5" thickTop="1" thickBot="1" x14ac:dyDescent="0.3">
      <c r="A46" s="616">
        <v>18010500</v>
      </c>
      <c r="B46" s="623" t="s">
        <v>71</v>
      </c>
      <c r="C46" s="618">
        <f t="shared" si="1"/>
        <v>52198567</v>
      </c>
      <c r="D46" s="619">
        <f>46120300+6078267</f>
        <v>52198567</v>
      </c>
      <c r="E46" s="259"/>
      <c r="F46" s="259"/>
      <c r="G46" s="96"/>
    </row>
    <row r="47" spans="1:7" ht="16.5" thickTop="1" thickBot="1" x14ac:dyDescent="0.3">
      <c r="A47" s="616">
        <v>18010600</v>
      </c>
      <c r="B47" s="623" t="s">
        <v>72</v>
      </c>
      <c r="C47" s="618">
        <f t="shared" si="1"/>
        <v>183578780</v>
      </c>
      <c r="D47" s="619">
        <f>168578780+15000000</f>
        <v>183578780</v>
      </c>
      <c r="E47" s="259"/>
      <c r="F47" s="259"/>
      <c r="G47" s="96"/>
    </row>
    <row r="48" spans="1:7" ht="16.5" thickTop="1" thickBot="1" x14ac:dyDescent="0.3">
      <c r="A48" s="616">
        <v>18010700</v>
      </c>
      <c r="B48" s="623" t="s">
        <v>73</v>
      </c>
      <c r="C48" s="618">
        <f t="shared" si="1"/>
        <v>4500800</v>
      </c>
      <c r="D48" s="619">
        <v>4500800</v>
      </c>
      <c r="E48" s="259"/>
      <c r="F48" s="259"/>
      <c r="G48" s="96"/>
    </row>
    <row r="49" spans="1:7" ht="16.5" thickTop="1" thickBot="1" x14ac:dyDescent="0.3">
      <c r="A49" s="616">
        <v>18010900</v>
      </c>
      <c r="B49" s="623" t="s">
        <v>74</v>
      </c>
      <c r="C49" s="618">
        <f t="shared" si="1"/>
        <v>49650120</v>
      </c>
      <c r="D49" s="619">
        <v>49650120</v>
      </c>
      <c r="E49" s="259"/>
      <c r="F49" s="259"/>
      <c r="G49" s="96"/>
    </row>
    <row r="50" spans="1:7" ht="15.75" thickTop="1" thickBot="1" x14ac:dyDescent="0.25">
      <c r="A50" s="616">
        <v>18011000</v>
      </c>
      <c r="B50" s="623" t="s">
        <v>75</v>
      </c>
      <c r="C50" s="618">
        <f t="shared" si="1"/>
        <v>1800000</v>
      </c>
      <c r="D50" s="619">
        <f>1000000+800000</f>
        <v>1800000</v>
      </c>
      <c r="E50" s="259"/>
      <c r="F50" s="259"/>
      <c r="G50" s="97"/>
    </row>
    <row r="51" spans="1:7" ht="16.5" thickTop="1" thickBot="1" x14ac:dyDescent="0.3">
      <c r="A51" s="616">
        <v>18011100</v>
      </c>
      <c r="B51" s="623" t="s">
        <v>76</v>
      </c>
      <c r="C51" s="618">
        <f t="shared" si="1"/>
        <v>805800</v>
      </c>
      <c r="D51" s="619">
        <f>605800+200000</f>
        <v>805800</v>
      </c>
      <c r="E51" s="259"/>
      <c r="F51" s="259"/>
      <c r="G51" s="96"/>
    </row>
    <row r="52" spans="1:7" ht="28.5" thickTop="1" thickBot="1" x14ac:dyDescent="0.3">
      <c r="A52" s="620">
        <v>18020000</v>
      </c>
      <c r="B52" s="625" t="s">
        <v>1045</v>
      </c>
      <c r="C52" s="622">
        <f t="shared" si="1"/>
        <v>1615000</v>
      </c>
      <c r="D52" s="622">
        <f>SUM(D53,E53)</f>
        <v>1615000</v>
      </c>
      <c r="E52" s="256"/>
      <c r="F52" s="256"/>
      <c r="G52" s="96"/>
    </row>
    <row r="53" spans="1:7" ht="27" thickTop="1" thickBot="1" x14ac:dyDescent="0.3">
      <c r="A53" s="616">
        <v>180201000</v>
      </c>
      <c r="B53" s="623" t="s">
        <v>1046</v>
      </c>
      <c r="C53" s="618">
        <f t="shared" si="1"/>
        <v>1615000</v>
      </c>
      <c r="D53" s="619">
        <v>1615000</v>
      </c>
      <c r="E53" s="259"/>
      <c r="F53" s="259"/>
      <c r="G53" s="96"/>
    </row>
    <row r="54" spans="1:7" ht="16.5" thickTop="1" thickBot="1" x14ac:dyDescent="0.3">
      <c r="A54" s="620">
        <v>18030000</v>
      </c>
      <c r="B54" s="625" t="s">
        <v>77</v>
      </c>
      <c r="C54" s="622">
        <f>SUM(D54,E54)</f>
        <v>3165000</v>
      </c>
      <c r="D54" s="622">
        <f>SUM(D55:D56)</f>
        <v>3165000</v>
      </c>
      <c r="E54" s="256"/>
      <c r="F54" s="256"/>
      <c r="G54" s="96"/>
    </row>
    <row r="55" spans="1:7" ht="27" thickTop="1" thickBot="1" x14ac:dyDescent="0.3">
      <c r="A55" s="616">
        <v>18030100</v>
      </c>
      <c r="B55" s="623" t="s">
        <v>78</v>
      </c>
      <c r="C55" s="618">
        <f>SUM(D55,E55)</f>
        <v>1800000</v>
      </c>
      <c r="D55" s="619">
        <f>1300000+500000</f>
        <v>1800000</v>
      </c>
      <c r="E55" s="259"/>
      <c r="F55" s="259"/>
      <c r="G55" s="96"/>
    </row>
    <row r="56" spans="1:7" ht="27" thickTop="1" thickBot="1" x14ac:dyDescent="0.3">
      <c r="A56" s="616">
        <v>18030200</v>
      </c>
      <c r="B56" s="623" t="s">
        <v>79</v>
      </c>
      <c r="C56" s="618">
        <f>SUM(D56,E56)</f>
        <v>1365000</v>
      </c>
      <c r="D56" s="619">
        <f>1215000+150000</f>
        <v>1365000</v>
      </c>
      <c r="E56" s="259"/>
      <c r="F56" s="259"/>
      <c r="G56" s="96"/>
    </row>
    <row r="57" spans="1:7" ht="16.5" thickTop="1" thickBot="1" x14ac:dyDescent="0.3">
      <c r="A57" s="620">
        <v>18050000</v>
      </c>
      <c r="B57" s="625" t="s">
        <v>80</v>
      </c>
      <c r="C57" s="622">
        <f>SUM(D57,E57)</f>
        <v>907970185</v>
      </c>
      <c r="D57" s="622">
        <f>SUM(D58:D60)</f>
        <v>907970185</v>
      </c>
      <c r="E57" s="261"/>
      <c r="F57" s="261"/>
      <c r="G57" s="96"/>
    </row>
    <row r="58" spans="1:7" ht="16.5" thickTop="1" thickBot="1" x14ac:dyDescent="0.3">
      <c r="A58" s="616">
        <v>18050300</v>
      </c>
      <c r="B58" s="617" t="s">
        <v>963</v>
      </c>
      <c r="C58" s="618">
        <f t="shared" si="1"/>
        <v>153650185</v>
      </c>
      <c r="D58" s="619">
        <f>145650185+8000000</f>
        <v>153650185</v>
      </c>
      <c r="E58" s="259"/>
      <c r="F58" s="259"/>
      <c r="G58" s="96"/>
    </row>
    <row r="59" spans="1:7" ht="15.75" thickTop="1" thickBot="1" x14ac:dyDescent="0.25">
      <c r="A59" s="616">
        <v>18050400</v>
      </c>
      <c r="B59" s="623" t="s">
        <v>81</v>
      </c>
      <c r="C59" s="618">
        <f t="shared" si="1"/>
        <v>748820000</v>
      </c>
      <c r="D59" s="619">
        <f>707570000+41250000</f>
        <v>748820000</v>
      </c>
      <c r="E59" s="259"/>
      <c r="F59" s="259"/>
      <c r="G59" s="97"/>
    </row>
    <row r="60" spans="1:7" ht="65.25" thickTop="1" thickBot="1" x14ac:dyDescent="0.25">
      <c r="A60" s="616">
        <v>18050500</v>
      </c>
      <c r="B60" s="623" t="s">
        <v>517</v>
      </c>
      <c r="C60" s="618">
        <f t="shared" si="1"/>
        <v>5500000</v>
      </c>
      <c r="D60" s="619">
        <v>5500000</v>
      </c>
      <c r="E60" s="259"/>
      <c r="F60" s="259"/>
      <c r="G60" s="97"/>
    </row>
    <row r="61" spans="1:7" ht="31.7" customHeight="1" thickTop="1" thickBot="1" x14ac:dyDescent="0.25">
      <c r="A61" s="375">
        <v>19000000</v>
      </c>
      <c r="B61" s="628" t="s">
        <v>510</v>
      </c>
      <c r="C61" s="618">
        <f t="shared" si="1"/>
        <v>2500000</v>
      </c>
      <c r="D61" s="618"/>
      <c r="E61" s="618">
        <f>SUM(E63:E65)</f>
        <v>2500000</v>
      </c>
      <c r="F61" s="259"/>
      <c r="G61" s="97"/>
    </row>
    <row r="62" spans="1:7" ht="16.5" thickTop="1" thickBot="1" x14ac:dyDescent="0.3">
      <c r="A62" s="620">
        <v>1901000</v>
      </c>
      <c r="B62" s="621" t="s">
        <v>82</v>
      </c>
      <c r="C62" s="622">
        <f t="shared" ref="C62:C66" si="3">SUM(D62,E62)</f>
        <v>2500000</v>
      </c>
      <c r="D62" s="622">
        <f>SUM(D63:D65)</f>
        <v>0</v>
      </c>
      <c r="E62" s="622">
        <f>SUM(E63:E65)</f>
        <v>2500000</v>
      </c>
      <c r="F62" s="256"/>
      <c r="G62" s="96"/>
    </row>
    <row r="63" spans="1:7" ht="52.5" thickTop="1" thickBot="1" x14ac:dyDescent="0.3">
      <c r="A63" s="616">
        <v>19010100</v>
      </c>
      <c r="B63" s="617" t="s">
        <v>511</v>
      </c>
      <c r="C63" s="618">
        <f t="shared" si="3"/>
        <v>300000</v>
      </c>
      <c r="D63" s="619"/>
      <c r="E63" s="619">
        <v>300000</v>
      </c>
      <c r="F63" s="259"/>
      <c r="G63" s="96"/>
    </row>
    <row r="64" spans="1:7" ht="27" thickTop="1" thickBot="1" x14ac:dyDescent="0.25">
      <c r="A64" s="616">
        <v>19010200</v>
      </c>
      <c r="B64" s="617" t="s">
        <v>1134</v>
      </c>
      <c r="C64" s="618">
        <f t="shared" si="3"/>
        <v>900000</v>
      </c>
      <c r="D64" s="619"/>
      <c r="E64" s="619">
        <v>900000</v>
      </c>
      <c r="F64" s="259"/>
      <c r="G64" s="99"/>
    </row>
    <row r="65" spans="1:7" ht="52.5" thickTop="1" thickBot="1" x14ac:dyDescent="0.3">
      <c r="A65" s="616">
        <v>19010300</v>
      </c>
      <c r="B65" s="617" t="s">
        <v>1135</v>
      </c>
      <c r="C65" s="618">
        <f t="shared" si="3"/>
        <v>1300000</v>
      </c>
      <c r="D65" s="619"/>
      <c r="E65" s="619">
        <v>1300000</v>
      </c>
      <c r="F65" s="259"/>
      <c r="G65" s="96"/>
    </row>
    <row r="66" spans="1:7" ht="30" customHeight="1" thickTop="1" thickBot="1" x14ac:dyDescent="0.3">
      <c r="A66" s="629">
        <v>20000000</v>
      </c>
      <c r="B66" s="629" t="s">
        <v>83</v>
      </c>
      <c r="C66" s="630">
        <f t="shared" si="3"/>
        <v>430436769</v>
      </c>
      <c r="D66" s="630">
        <f>SUM(D67,D77,D90,D95)+D89</f>
        <v>135589361</v>
      </c>
      <c r="E66" s="630">
        <f>SUM(E67,E77,E90,E95)+E89</f>
        <v>294847408</v>
      </c>
      <c r="F66" s="630">
        <f>SUM(F67,F77,F90,F95)+F89</f>
        <v>1182024</v>
      </c>
      <c r="G66" s="96"/>
    </row>
    <row r="67" spans="1:7" ht="27" thickTop="1" thickBot="1" x14ac:dyDescent="0.3">
      <c r="A67" s="375">
        <v>21000000</v>
      </c>
      <c r="B67" s="375" t="s">
        <v>512</v>
      </c>
      <c r="C67" s="618">
        <f>SUM(D67,E67)</f>
        <v>48565000</v>
      </c>
      <c r="D67" s="618">
        <f>SUM(D68,D71,D70)</f>
        <v>48565000</v>
      </c>
      <c r="E67" s="255"/>
      <c r="F67" s="255"/>
      <c r="G67" s="96"/>
    </row>
    <row r="68" spans="1:7" ht="55.5" thickTop="1" thickBot="1" x14ac:dyDescent="0.3">
      <c r="A68" s="620">
        <v>21010000</v>
      </c>
      <c r="B68" s="625" t="s">
        <v>513</v>
      </c>
      <c r="C68" s="622">
        <f t="shared" si="1"/>
        <v>1520000</v>
      </c>
      <c r="D68" s="622">
        <f>D69</f>
        <v>1520000</v>
      </c>
      <c r="E68" s="256"/>
      <c r="F68" s="256"/>
      <c r="G68" s="96"/>
    </row>
    <row r="69" spans="1:7" ht="52.5" thickTop="1" thickBot="1" x14ac:dyDescent="0.3">
      <c r="A69" s="616">
        <v>21010300</v>
      </c>
      <c r="B69" s="623" t="s">
        <v>1212</v>
      </c>
      <c r="C69" s="618">
        <f t="shared" si="1"/>
        <v>1520000</v>
      </c>
      <c r="D69" s="619">
        <v>1520000</v>
      </c>
      <c r="E69" s="259"/>
      <c r="F69" s="259"/>
      <c r="G69" s="96"/>
    </row>
    <row r="70" spans="1:7" ht="28.5" hidden="1" thickTop="1" thickBot="1" x14ac:dyDescent="0.3">
      <c r="A70" s="327">
        <v>21050000</v>
      </c>
      <c r="B70" s="328" t="s">
        <v>84</v>
      </c>
      <c r="C70" s="256">
        <f t="shared" si="1"/>
        <v>0</v>
      </c>
      <c r="D70" s="256">
        <v>0</v>
      </c>
      <c r="E70" s="256"/>
      <c r="F70" s="256"/>
      <c r="G70" s="96"/>
    </row>
    <row r="71" spans="1:7" ht="15" thickTop="1" thickBot="1" x14ac:dyDescent="0.25">
      <c r="A71" s="620">
        <v>21080000</v>
      </c>
      <c r="B71" s="625" t="s">
        <v>964</v>
      </c>
      <c r="C71" s="622">
        <f>SUM(D71,E71)</f>
        <v>47045000</v>
      </c>
      <c r="D71" s="622">
        <f>SUM(D72:D76)</f>
        <v>47045000</v>
      </c>
      <c r="E71" s="256"/>
      <c r="F71" s="256"/>
      <c r="G71" s="99"/>
    </row>
    <row r="72" spans="1:7" ht="16.5" thickTop="1" thickBot="1" x14ac:dyDescent="0.3">
      <c r="A72" s="616">
        <v>21081100</v>
      </c>
      <c r="B72" s="631" t="s">
        <v>85</v>
      </c>
      <c r="C72" s="618">
        <f t="shared" ref="C72:C78" si="4">SUM(D72,E72)</f>
        <v>25500000</v>
      </c>
      <c r="D72" s="619">
        <f>15500000+10000000</f>
        <v>25500000</v>
      </c>
      <c r="E72" s="259"/>
      <c r="F72" s="259"/>
      <c r="G72" s="96"/>
    </row>
    <row r="73" spans="1:7" ht="90.75" thickTop="1" thickBot="1" x14ac:dyDescent="0.3">
      <c r="A73" s="616">
        <v>21081500</v>
      </c>
      <c r="B73" s="617" t="s">
        <v>1384</v>
      </c>
      <c r="C73" s="618">
        <f t="shared" si="4"/>
        <v>1100000</v>
      </c>
      <c r="D73" s="619">
        <v>1100000</v>
      </c>
      <c r="E73" s="259"/>
      <c r="F73" s="259"/>
      <c r="G73" s="96"/>
    </row>
    <row r="74" spans="1:7" ht="16.5" thickTop="1" thickBot="1" x14ac:dyDescent="0.3">
      <c r="A74" s="616">
        <v>21081700</v>
      </c>
      <c r="B74" s="617" t="s">
        <v>364</v>
      </c>
      <c r="C74" s="618">
        <f t="shared" si="4"/>
        <v>19600000</v>
      </c>
      <c r="D74" s="619">
        <v>19600000</v>
      </c>
      <c r="E74" s="259"/>
      <c r="F74" s="259"/>
      <c r="G74" s="100"/>
    </row>
    <row r="75" spans="1:7" ht="52.5" thickTop="1" thickBot="1" x14ac:dyDescent="0.3">
      <c r="A75" s="616">
        <v>21081800</v>
      </c>
      <c r="B75" s="617" t="s">
        <v>1291</v>
      </c>
      <c r="C75" s="618">
        <f t="shared" si="4"/>
        <v>775000</v>
      </c>
      <c r="D75" s="619">
        <v>775000</v>
      </c>
      <c r="E75" s="259"/>
      <c r="F75" s="259"/>
      <c r="G75" s="100"/>
    </row>
    <row r="76" spans="1:7" ht="78" thickTop="1" thickBot="1" x14ac:dyDescent="0.3">
      <c r="A76" s="616">
        <v>21082400</v>
      </c>
      <c r="B76" s="617" t="s">
        <v>1292</v>
      </c>
      <c r="C76" s="618">
        <f t="shared" si="4"/>
        <v>70000</v>
      </c>
      <c r="D76" s="619">
        <v>70000</v>
      </c>
      <c r="E76" s="259"/>
      <c r="F76" s="259"/>
      <c r="G76" s="100"/>
    </row>
    <row r="77" spans="1:7" ht="27" thickTop="1" thickBot="1" x14ac:dyDescent="0.3">
      <c r="A77" s="375">
        <v>22000000</v>
      </c>
      <c r="B77" s="375" t="s">
        <v>86</v>
      </c>
      <c r="C77" s="618">
        <f t="shared" si="4"/>
        <v>69503671</v>
      </c>
      <c r="D77" s="618">
        <f>SUM(D78,D84,D86,D82)</f>
        <v>69503671</v>
      </c>
      <c r="E77" s="259"/>
      <c r="F77" s="259"/>
      <c r="G77" s="96"/>
    </row>
    <row r="78" spans="1:7" ht="24.75" customHeight="1" thickTop="1" thickBot="1" x14ac:dyDescent="0.3">
      <c r="A78" s="620">
        <v>22010000</v>
      </c>
      <c r="B78" s="621" t="s">
        <v>514</v>
      </c>
      <c r="C78" s="622">
        <f t="shared" si="4"/>
        <v>43250071</v>
      </c>
      <c r="D78" s="622">
        <f>SUM(D79:D81)</f>
        <v>43250071</v>
      </c>
      <c r="E78" s="256"/>
      <c r="F78" s="256"/>
      <c r="G78" s="96"/>
    </row>
    <row r="79" spans="1:7" ht="52.5" thickTop="1" thickBot="1" x14ac:dyDescent="0.3">
      <c r="A79" s="616">
        <v>22010300</v>
      </c>
      <c r="B79" s="617" t="s">
        <v>1385</v>
      </c>
      <c r="C79" s="618">
        <f t="shared" si="1"/>
        <v>1265100</v>
      </c>
      <c r="D79" s="619">
        <v>1265100</v>
      </c>
      <c r="E79" s="259"/>
      <c r="F79" s="259"/>
      <c r="G79" s="96"/>
    </row>
    <row r="80" spans="1:7" ht="16.5" thickTop="1" thickBot="1" x14ac:dyDescent="0.3">
      <c r="A80" s="616">
        <v>22012500</v>
      </c>
      <c r="B80" s="617" t="s">
        <v>88</v>
      </c>
      <c r="C80" s="618">
        <f t="shared" si="1"/>
        <v>38634750</v>
      </c>
      <c r="D80" s="619">
        <v>38634750</v>
      </c>
      <c r="E80" s="259"/>
      <c r="F80" s="259"/>
      <c r="G80" s="96"/>
    </row>
    <row r="81" spans="1:7" ht="27" thickTop="1" thickBot="1" x14ac:dyDescent="0.3">
      <c r="A81" s="616">
        <v>22012600</v>
      </c>
      <c r="B81" s="617" t="s">
        <v>87</v>
      </c>
      <c r="C81" s="618">
        <f>SUM(D81,E81)</f>
        <v>3350221</v>
      </c>
      <c r="D81" s="619">
        <v>3350221</v>
      </c>
      <c r="E81" s="259"/>
      <c r="F81" s="259"/>
      <c r="G81" s="96"/>
    </row>
    <row r="82" spans="1:7" ht="42" thickTop="1" thickBot="1" x14ac:dyDescent="0.3">
      <c r="A82" s="620">
        <v>22020000</v>
      </c>
      <c r="B82" s="621" t="s">
        <v>1332</v>
      </c>
      <c r="C82" s="622">
        <f t="shared" ref="C82" si="5">SUM(D82,E82)</f>
        <v>1005000</v>
      </c>
      <c r="D82" s="622">
        <f>SUM(D83)</f>
        <v>1005000</v>
      </c>
      <c r="E82" s="256"/>
      <c r="F82" s="256"/>
      <c r="G82" s="96"/>
    </row>
    <row r="83" spans="1:7" ht="39.75" thickTop="1" thickBot="1" x14ac:dyDescent="0.3">
      <c r="A83" s="616">
        <v>22020400</v>
      </c>
      <c r="B83" s="617" t="s">
        <v>1333</v>
      </c>
      <c r="C83" s="618">
        <f>SUM(D83,E83)</f>
        <v>1005000</v>
      </c>
      <c r="D83" s="619">
        <v>1005000</v>
      </c>
      <c r="E83" s="259"/>
      <c r="F83" s="259"/>
      <c r="G83" s="96"/>
    </row>
    <row r="84" spans="1:7" ht="42" thickTop="1" thickBot="1" x14ac:dyDescent="0.3">
      <c r="A84" s="620">
        <v>2208000</v>
      </c>
      <c r="B84" s="621" t="s">
        <v>515</v>
      </c>
      <c r="C84" s="622">
        <f t="shared" si="1"/>
        <v>22848600</v>
      </c>
      <c r="D84" s="622">
        <f>D85</f>
        <v>22848600</v>
      </c>
      <c r="E84" s="256"/>
      <c r="F84" s="256"/>
      <c r="G84" s="96"/>
    </row>
    <row r="85" spans="1:7" ht="52.5" thickTop="1" thickBot="1" x14ac:dyDescent="0.3">
      <c r="A85" s="616">
        <v>22080400</v>
      </c>
      <c r="B85" s="631" t="s">
        <v>89</v>
      </c>
      <c r="C85" s="618">
        <f t="shared" si="1"/>
        <v>22848600</v>
      </c>
      <c r="D85" s="619">
        <v>22848600</v>
      </c>
      <c r="E85" s="259"/>
      <c r="F85" s="259"/>
      <c r="G85" s="96"/>
    </row>
    <row r="86" spans="1:7" ht="16.5" thickTop="1" thickBot="1" x14ac:dyDescent="0.3">
      <c r="A86" s="620">
        <v>22090000</v>
      </c>
      <c r="B86" s="632" t="s">
        <v>90</v>
      </c>
      <c r="C86" s="622">
        <f t="shared" si="1"/>
        <v>2400000</v>
      </c>
      <c r="D86" s="622">
        <f>SUM(D87:D88)</f>
        <v>2400000</v>
      </c>
      <c r="E86" s="256"/>
      <c r="F86" s="256"/>
      <c r="G86" s="96"/>
    </row>
    <row r="87" spans="1:7" ht="52.5" thickTop="1" thickBot="1" x14ac:dyDescent="0.3">
      <c r="A87" s="616">
        <v>22090100</v>
      </c>
      <c r="B87" s="623" t="s">
        <v>91</v>
      </c>
      <c r="C87" s="618">
        <f t="shared" si="1"/>
        <v>2370000</v>
      </c>
      <c r="D87" s="619">
        <f>1370000+1000000</f>
        <v>2370000</v>
      </c>
      <c r="E87" s="259"/>
      <c r="F87" s="259"/>
      <c r="G87" s="96"/>
    </row>
    <row r="88" spans="1:7" ht="39.75" thickTop="1" thickBot="1" x14ac:dyDescent="0.25">
      <c r="A88" s="616">
        <v>22090400</v>
      </c>
      <c r="B88" s="623" t="s">
        <v>92</v>
      </c>
      <c r="C88" s="618">
        <f t="shared" si="1"/>
        <v>30000</v>
      </c>
      <c r="D88" s="619">
        <v>30000</v>
      </c>
      <c r="E88" s="259"/>
      <c r="F88" s="259"/>
      <c r="G88" s="98"/>
    </row>
    <row r="89" spans="1:7" ht="78" thickTop="1" thickBot="1" x14ac:dyDescent="0.25">
      <c r="A89" s="375">
        <v>22130000</v>
      </c>
      <c r="B89" s="633" t="s">
        <v>1293</v>
      </c>
      <c r="C89" s="618">
        <f t="shared" si="1"/>
        <v>104690</v>
      </c>
      <c r="D89" s="618">
        <v>104690</v>
      </c>
      <c r="E89" s="255"/>
      <c r="F89" s="255"/>
      <c r="G89" s="98"/>
    </row>
    <row r="90" spans="1:7" ht="20.25" customHeight="1" thickTop="1" thickBot="1" x14ac:dyDescent="0.3">
      <c r="A90" s="375">
        <v>24000000</v>
      </c>
      <c r="B90" s="633" t="s">
        <v>93</v>
      </c>
      <c r="C90" s="618">
        <f t="shared" si="1"/>
        <v>18598024</v>
      </c>
      <c r="D90" s="618">
        <f>D91+D92+D94+D93</f>
        <v>17416000</v>
      </c>
      <c r="E90" s="618">
        <f>E91+E92+E94+E93</f>
        <v>1182024</v>
      </c>
      <c r="F90" s="618">
        <f>F91+F92+F94+F93</f>
        <v>1182024</v>
      </c>
      <c r="G90" s="96"/>
    </row>
    <row r="91" spans="1:7" ht="16.5" thickTop="1" thickBot="1" x14ac:dyDescent="0.3">
      <c r="A91" s="616">
        <v>24060300</v>
      </c>
      <c r="B91" s="617" t="s">
        <v>94</v>
      </c>
      <c r="C91" s="618">
        <f t="shared" si="1"/>
        <v>15916000</v>
      </c>
      <c r="D91" s="619">
        <f>10000000+5916000</f>
        <v>15916000</v>
      </c>
      <c r="E91" s="259"/>
      <c r="F91" s="259"/>
      <c r="G91" s="96"/>
    </row>
    <row r="92" spans="1:7" ht="65.25" thickTop="1" thickBot="1" x14ac:dyDescent="0.3">
      <c r="A92" s="616">
        <v>24062200</v>
      </c>
      <c r="B92" s="617" t="s">
        <v>365</v>
      </c>
      <c r="C92" s="618">
        <f t="shared" si="1"/>
        <v>1500000</v>
      </c>
      <c r="D92" s="619">
        <v>1500000</v>
      </c>
      <c r="E92" s="259"/>
      <c r="F92" s="259"/>
      <c r="G92" s="96"/>
    </row>
    <row r="93" spans="1:7" ht="39.75" thickTop="1" thickBot="1" x14ac:dyDescent="0.3">
      <c r="A93" s="616">
        <v>24110700</v>
      </c>
      <c r="B93" s="634" t="s">
        <v>563</v>
      </c>
      <c r="C93" s="618">
        <f t="shared" si="1"/>
        <v>24</v>
      </c>
      <c r="D93" s="619"/>
      <c r="E93" s="619">
        <v>24</v>
      </c>
      <c r="F93" s="619">
        <v>24</v>
      </c>
      <c r="G93" s="96"/>
    </row>
    <row r="94" spans="1:7" ht="27" thickTop="1" thickBot="1" x14ac:dyDescent="0.25">
      <c r="A94" s="616">
        <v>24170000</v>
      </c>
      <c r="B94" s="623" t="s">
        <v>95</v>
      </c>
      <c r="C94" s="618">
        <f t="shared" ref="C94:C100" si="6">SUM(D94,E94)</f>
        <v>1182000</v>
      </c>
      <c r="D94" s="619"/>
      <c r="E94" s="619">
        <v>1182000</v>
      </c>
      <c r="F94" s="619">
        <v>1182000</v>
      </c>
      <c r="G94" s="97"/>
    </row>
    <row r="95" spans="1:7" ht="16.5" thickTop="1" thickBot="1" x14ac:dyDescent="0.3">
      <c r="A95" s="375">
        <v>25000000</v>
      </c>
      <c r="B95" s="635" t="s">
        <v>96</v>
      </c>
      <c r="C95" s="618">
        <f t="shared" si="6"/>
        <v>293665384</v>
      </c>
      <c r="D95" s="618">
        <f>SUM(D96:D100,)</f>
        <v>0</v>
      </c>
      <c r="E95" s="618">
        <f>SUM(E96)</f>
        <v>293665384</v>
      </c>
      <c r="F95" s="255"/>
      <c r="G95" s="96"/>
    </row>
    <row r="96" spans="1:7" ht="42" thickTop="1" thickBot="1" x14ac:dyDescent="0.3">
      <c r="A96" s="620">
        <v>25010000</v>
      </c>
      <c r="B96" s="625" t="s">
        <v>97</v>
      </c>
      <c r="C96" s="622">
        <f t="shared" si="6"/>
        <v>293665384</v>
      </c>
      <c r="D96" s="622">
        <v>0</v>
      </c>
      <c r="E96" s="622">
        <f>SUM(E97:E100)</f>
        <v>293665384</v>
      </c>
      <c r="F96" s="256"/>
      <c r="G96" s="96"/>
    </row>
    <row r="97" spans="1:7" ht="27" thickTop="1" thickBot="1" x14ac:dyDescent="0.3">
      <c r="A97" s="616">
        <v>25010100</v>
      </c>
      <c r="B97" s="623" t="s">
        <v>98</v>
      </c>
      <c r="C97" s="618">
        <f t="shared" si="6"/>
        <v>274519704</v>
      </c>
      <c r="D97" s="619"/>
      <c r="E97" s="619">
        <f>266049738+8469966</f>
        <v>274519704</v>
      </c>
      <c r="F97" s="259"/>
      <c r="G97" s="96"/>
    </row>
    <row r="98" spans="1:7" ht="27" thickTop="1" thickBot="1" x14ac:dyDescent="0.3">
      <c r="A98" s="616">
        <v>25010200</v>
      </c>
      <c r="B98" s="623" t="s">
        <v>99</v>
      </c>
      <c r="C98" s="618">
        <f t="shared" si="6"/>
        <v>13218390</v>
      </c>
      <c r="D98" s="619"/>
      <c r="E98" s="619">
        <v>13218390</v>
      </c>
      <c r="F98" s="259"/>
      <c r="G98" s="96"/>
    </row>
    <row r="99" spans="1:7" ht="16.5" thickTop="1" thickBot="1" x14ac:dyDescent="0.3">
      <c r="A99" s="616">
        <v>25010300</v>
      </c>
      <c r="B99" s="623" t="s">
        <v>100</v>
      </c>
      <c r="C99" s="618">
        <f t="shared" si="6"/>
        <v>5856720</v>
      </c>
      <c r="D99" s="619"/>
      <c r="E99" s="619">
        <v>5856720</v>
      </c>
      <c r="F99" s="259"/>
      <c r="G99" s="96"/>
    </row>
    <row r="100" spans="1:7" ht="39.75" thickTop="1" thickBot="1" x14ac:dyDescent="0.3">
      <c r="A100" s="616">
        <v>25010400</v>
      </c>
      <c r="B100" s="623" t="s">
        <v>101</v>
      </c>
      <c r="C100" s="618">
        <f t="shared" si="6"/>
        <v>70570</v>
      </c>
      <c r="D100" s="619"/>
      <c r="E100" s="619">
        <v>70570</v>
      </c>
      <c r="F100" s="259"/>
      <c r="G100" s="96"/>
    </row>
    <row r="101" spans="1:7" ht="24.75" customHeight="1" thickTop="1" thickBot="1" x14ac:dyDescent="0.25">
      <c r="A101" s="629">
        <v>30000000</v>
      </c>
      <c r="B101" s="629" t="s">
        <v>102</v>
      </c>
      <c r="C101" s="630">
        <f>SUM(D101,E101)</f>
        <v>20278126</v>
      </c>
      <c r="D101" s="630">
        <f>SUM(D102)+D106</f>
        <v>35000</v>
      </c>
      <c r="E101" s="630">
        <f>SUM(E102)+E106</f>
        <v>20243126</v>
      </c>
      <c r="F101" s="630">
        <f>SUM(F102)+F106</f>
        <v>20243126</v>
      </c>
      <c r="G101" s="98"/>
    </row>
    <row r="102" spans="1:7" ht="27" customHeight="1" thickTop="1" thickBot="1" x14ac:dyDescent="0.3">
      <c r="A102" s="375">
        <v>31000000</v>
      </c>
      <c r="B102" s="375" t="s">
        <v>103</v>
      </c>
      <c r="C102" s="618">
        <f>SUM(D102,E102)</f>
        <v>2735000</v>
      </c>
      <c r="D102" s="618">
        <f>D103+D105</f>
        <v>35000</v>
      </c>
      <c r="E102" s="618">
        <f>E103+E105</f>
        <v>2700000</v>
      </c>
      <c r="F102" s="618">
        <f>F103+F105</f>
        <v>2700000</v>
      </c>
      <c r="G102" s="96"/>
    </row>
    <row r="103" spans="1:7" ht="82.5" thickTop="1" thickBot="1" x14ac:dyDescent="0.3">
      <c r="A103" s="620">
        <v>3101000</v>
      </c>
      <c r="B103" s="621" t="s">
        <v>516</v>
      </c>
      <c r="C103" s="622">
        <f>SUM(D103,E103)</f>
        <v>35000</v>
      </c>
      <c r="D103" s="622">
        <f>D104</f>
        <v>35000</v>
      </c>
      <c r="E103" s="256"/>
      <c r="F103" s="256"/>
      <c r="G103" s="96"/>
    </row>
    <row r="104" spans="1:7" ht="78" thickTop="1" thickBot="1" x14ac:dyDescent="0.3">
      <c r="A104" s="616">
        <v>31010200</v>
      </c>
      <c r="B104" s="623" t="s">
        <v>104</v>
      </c>
      <c r="C104" s="618">
        <f>SUM(D104,E104)</f>
        <v>35000</v>
      </c>
      <c r="D104" s="619">
        <v>35000</v>
      </c>
      <c r="E104" s="259"/>
      <c r="F104" s="259"/>
      <c r="G104" s="96"/>
    </row>
    <row r="105" spans="1:7" ht="55.5" thickTop="1" thickBot="1" x14ac:dyDescent="0.3">
      <c r="A105" s="620">
        <v>31030000</v>
      </c>
      <c r="B105" s="625" t="s">
        <v>105</v>
      </c>
      <c r="C105" s="622">
        <f t="shared" si="1"/>
        <v>2700000</v>
      </c>
      <c r="D105" s="622"/>
      <c r="E105" s="622">
        <v>2700000</v>
      </c>
      <c r="F105" s="622">
        <v>2700000</v>
      </c>
      <c r="G105" s="96"/>
    </row>
    <row r="106" spans="1:7" ht="27" thickTop="1" thickBot="1" x14ac:dyDescent="0.3">
      <c r="A106" s="375">
        <v>33000000</v>
      </c>
      <c r="B106" s="375" t="s">
        <v>106</v>
      </c>
      <c r="C106" s="618">
        <f t="shared" si="1"/>
        <v>17543126</v>
      </c>
      <c r="D106" s="618">
        <f>SUM(D107)</f>
        <v>0</v>
      </c>
      <c r="E106" s="618">
        <f>SUM(E107)</f>
        <v>17543126</v>
      </c>
      <c r="F106" s="618">
        <f>SUM(F107)</f>
        <v>17543126</v>
      </c>
      <c r="G106" s="96"/>
    </row>
    <row r="107" spans="1:7" ht="16.5" thickTop="1" thickBot="1" x14ac:dyDescent="0.3">
      <c r="A107" s="620">
        <v>33010000</v>
      </c>
      <c r="B107" s="621" t="s">
        <v>107</v>
      </c>
      <c r="C107" s="622">
        <f>SUM(D107,E107)</f>
        <v>17543126</v>
      </c>
      <c r="D107" s="622">
        <f>SUM(D108:D110)</f>
        <v>0</v>
      </c>
      <c r="E107" s="622">
        <f>SUM(E108:E110)</f>
        <v>17543126</v>
      </c>
      <c r="F107" s="622">
        <f>SUM(F108:F110)</f>
        <v>17543126</v>
      </c>
      <c r="G107" s="96"/>
    </row>
    <row r="108" spans="1:7" ht="52.5" thickTop="1" thickBot="1" x14ac:dyDescent="0.3">
      <c r="A108" s="616">
        <v>33010100</v>
      </c>
      <c r="B108" s="623" t="s">
        <v>334</v>
      </c>
      <c r="C108" s="618">
        <f t="shared" si="1"/>
        <v>16896670</v>
      </c>
      <c r="D108" s="619"/>
      <c r="E108" s="619">
        <v>16896670</v>
      </c>
      <c r="F108" s="619">
        <v>16896670</v>
      </c>
      <c r="G108" s="96"/>
    </row>
    <row r="109" spans="1:7" ht="52.5" thickTop="1" thickBot="1" x14ac:dyDescent="0.3">
      <c r="A109" s="616">
        <v>33010200</v>
      </c>
      <c r="B109" s="623" t="s">
        <v>108</v>
      </c>
      <c r="C109" s="618">
        <f>SUM(D109,E109)</f>
        <v>646456</v>
      </c>
      <c r="D109" s="619"/>
      <c r="E109" s="619">
        <v>646456</v>
      </c>
      <c r="F109" s="619">
        <v>646456</v>
      </c>
      <c r="G109" s="96"/>
    </row>
    <row r="110" spans="1:7" ht="65.25" hidden="1" thickTop="1" thickBot="1" x14ac:dyDescent="0.3">
      <c r="A110" s="257">
        <v>33010500</v>
      </c>
      <c r="B110" s="260" t="s">
        <v>1213</v>
      </c>
      <c r="C110" s="255">
        <f>SUM(D110,E110)</f>
        <v>0</v>
      </c>
      <c r="D110" s="259"/>
      <c r="E110" s="259">
        <v>0</v>
      </c>
      <c r="F110" s="259">
        <v>0</v>
      </c>
      <c r="G110" s="96"/>
    </row>
    <row r="111" spans="1:7" ht="27" customHeight="1" thickTop="1" thickBot="1" x14ac:dyDescent="0.3">
      <c r="A111" s="629">
        <v>50000000</v>
      </c>
      <c r="B111" s="629" t="s">
        <v>471</v>
      </c>
      <c r="C111" s="630">
        <f>SUM(D111,E111)</f>
        <v>7105000</v>
      </c>
      <c r="D111" s="630">
        <f>SUM(D112)</f>
        <v>0</v>
      </c>
      <c r="E111" s="630">
        <f>SUM(E112)</f>
        <v>7105000</v>
      </c>
      <c r="F111" s="630">
        <f>SUM(F112)</f>
        <v>0</v>
      </c>
      <c r="G111" s="96"/>
    </row>
    <row r="112" spans="1:7" ht="52.5" thickTop="1" thickBot="1" x14ac:dyDescent="0.3">
      <c r="A112" s="375">
        <v>50110000</v>
      </c>
      <c r="B112" s="628" t="s">
        <v>109</v>
      </c>
      <c r="C112" s="618">
        <f t="shared" ref="C112:C156" si="7">SUM(D112,E112)</f>
        <v>7105000</v>
      </c>
      <c r="D112" s="619"/>
      <c r="E112" s="618">
        <v>7105000</v>
      </c>
      <c r="F112" s="619"/>
      <c r="G112" s="96"/>
    </row>
    <row r="113" spans="1:10" ht="45.75" customHeight="1" thickTop="1" thickBot="1" x14ac:dyDescent="0.25">
      <c r="A113" s="637"/>
      <c r="B113" s="638" t="s">
        <v>472</v>
      </c>
      <c r="C113" s="636">
        <f t="shared" ref="C113:C120" si="8">SUM(D113,E113)</f>
        <v>5115182627</v>
      </c>
      <c r="D113" s="636">
        <f>D111+D101+D66+D15</f>
        <v>4790487093</v>
      </c>
      <c r="E113" s="636">
        <f>E111+E101+E66+E15</f>
        <v>324695534</v>
      </c>
      <c r="F113" s="636">
        <f>F111+F101+F66+F15</f>
        <v>21425150</v>
      </c>
      <c r="G113" s="97"/>
      <c r="H113" s="104">
        <f>C113-C111-C95-C62</f>
        <v>4811912243</v>
      </c>
    </row>
    <row r="114" spans="1:10" ht="15.75" thickTop="1" thickBot="1" x14ac:dyDescent="0.25">
      <c r="A114" s="629">
        <v>40000000</v>
      </c>
      <c r="B114" s="629" t="s">
        <v>416</v>
      </c>
      <c r="C114" s="630">
        <f>SUM(D114,E114)</f>
        <v>928838000</v>
      </c>
      <c r="D114" s="630">
        <f>SUM(D119,D115)</f>
        <v>928838000</v>
      </c>
      <c r="E114" s="630">
        <f>SUM(E119,E115)</f>
        <v>0</v>
      </c>
      <c r="F114" s="630">
        <f>SUM(F119,F115)</f>
        <v>0</v>
      </c>
      <c r="G114" s="97"/>
    </row>
    <row r="115" spans="1:10" ht="27" thickTop="1" thickBot="1" x14ac:dyDescent="0.25">
      <c r="A115" s="639"/>
      <c r="B115" s="640" t="s">
        <v>1165</v>
      </c>
      <c r="C115" s="641">
        <f>SUM(C116:C118)</f>
        <v>21976300</v>
      </c>
      <c r="D115" s="641">
        <f>SUM(D116:D118)</f>
        <v>21976300</v>
      </c>
      <c r="E115" s="641"/>
      <c r="F115" s="641"/>
      <c r="G115" s="97"/>
    </row>
    <row r="116" spans="1:10" ht="103.5" thickTop="1" thickBot="1" x14ac:dyDescent="0.25">
      <c r="A116" s="642">
        <v>41021400</v>
      </c>
      <c r="B116" s="643" t="s">
        <v>1167</v>
      </c>
      <c r="C116" s="641">
        <f t="shared" ref="C116" si="9">SUM(D116,E116)</f>
        <v>17727100</v>
      </c>
      <c r="D116" s="644">
        <v>17727100</v>
      </c>
      <c r="E116" s="641"/>
      <c r="F116" s="641"/>
      <c r="G116" s="97"/>
    </row>
    <row r="117" spans="1:10" ht="65.25" thickTop="1" thickBot="1" x14ac:dyDescent="0.25">
      <c r="A117" s="642">
        <v>41040200</v>
      </c>
      <c r="B117" s="643" t="s">
        <v>1047</v>
      </c>
      <c r="C117" s="641">
        <f t="shared" si="8"/>
        <v>4249200</v>
      </c>
      <c r="D117" s="644">
        <v>4249200</v>
      </c>
      <c r="E117" s="255"/>
      <c r="F117" s="255"/>
      <c r="G117" s="97"/>
    </row>
    <row r="118" spans="1:10" ht="15.75" hidden="1" thickTop="1" thickBot="1" x14ac:dyDescent="0.25">
      <c r="A118" s="257">
        <v>41040400</v>
      </c>
      <c r="B118" s="260" t="s">
        <v>1096</v>
      </c>
      <c r="C118" s="255">
        <f t="shared" si="8"/>
        <v>0</v>
      </c>
      <c r="D118" s="259"/>
      <c r="E118" s="255"/>
      <c r="F118" s="255"/>
      <c r="G118" s="97"/>
    </row>
    <row r="119" spans="1:10" s="303" customFormat="1" ht="15.75" thickTop="1" thickBot="1" x14ac:dyDescent="0.25">
      <c r="A119" s="639">
        <v>41000000</v>
      </c>
      <c r="B119" s="639" t="s">
        <v>110</v>
      </c>
      <c r="C119" s="641">
        <f t="shared" si="8"/>
        <v>906861700</v>
      </c>
      <c r="D119" s="641">
        <f>SUM(D120,D133)</f>
        <v>906861700</v>
      </c>
      <c r="E119" s="641">
        <f>SUM(E120,E133)</f>
        <v>0</v>
      </c>
      <c r="F119" s="641">
        <f>SUM(F120,F133)</f>
        <v>0</v>
      </c>
      <c r="G119" s="97"/>
      <c r="H119" s="95"/>
      <c r="I119" s="95"/>
      <c r="J119" s="95"/>
    </row>
    <row r="120" spans="1:10" s="303" customFormat="1" ht="27" thickTop="1" thickBot="1" x14ac:dyDescent="0.3">
      <c r="A120" s="375">
        <v>41030000</v>
      </c>
      <c r="B120" s="635" t="s">
        <v>427</v>
      </c>
      <c r="C120" s="618">
        <f t="shared" si="8"/>
        <v>887881500</v>
      </c>
      <c r="D120" s="618">
        <f>SUM(D121:D132)</f>
        <v>887881500</v>
      </c>
      <c r="E120" s="618">
        <f>SUM(E121:E132)</f>
        <v>0</v>
      </c>
      <c r="F120" s="618">
        <f>SUM(F121:F132)</f>
        <v>0</v>
      </c>
      <c r="G120" s="96"/>
      <c r="H120" s="95"/>
      <c r="I120" s="95"/>
      <c r="J120" s="95"/>
    </row>
    <row r="121" spans="1:10" ht="39.75" thickTop="1" thickBot="1" x14ac:dyDescent="0.3">
      <c r="A121" s="616">
        <v>41031100</v>
      </c>
      <c r="B121" s="617" t="s">
        <v>1706</v>
      </c>
      <c r="C121" s="618">
        <f>SUM(D121,E121)</f>
        <v>58944400</v>
      </c>
      <c r="D121" s="619">
        <v>58944400</v>
      </c>
      <c r="E121" s="618"/>
      <c r="F121" s="619"/>
      <c r="G121" s="96"/>
    </row>
    <row r="122" spans="1:10" ht="52.5" hidden="1" thickTop="1" thickBot="1" x14ac:dyDescent="0.3">
      <c r="A122" s="257">
        <v>41032300</v>
      </c>
      <c r="B122" s="258" t="s">
        <v>920</v>
      </c>
      <c r="C122" s="255">
        <f>SUM(D122,E122)</f>
        <v>0</v>
      </c>
      <c r="D122" s="259">
        <v>0</v>
      </c>
      <c r="E122" s="255"/>
      <c r="F122" s="259"/>
      <c r="G122" s="96"/>
    </row>
    <row r="123" spans="1:10" ht="52.5" hidden="1" thickTop="1" thickBot="1" x14ac:dyDescent="0.3">
      <c r="A123" s="257">
        <v>41033300</v>
      </c>
      <c r="B123" s="258" t="s">
        <v>1348</v>
      </c>
      <c r="C123" s="255">
        <f t="shared" si="7"/>
        <v>0</v>
      </c>
      <c r="D123" s="259">
        <v>0</v>
      </c>
      <c r="E123" s="255"/>
      <c r="F123" s="259"/>
      <c r="G123" s="96"/>
    </row>
    <row r="124" spans="1:10" ht="52.5" hidden="1" thickTop="1" thickBot="1" x14ac:dyDescent="0.3">
      <c r="A124" s="257">
        <v>41033800</v>
      </c>
      <c r="B124" s="258" t="s">
        <v>965</v>
      </c>
      <c r="C124" s="255">
        <f t="shared" si="7"/>
        <v>0</v>
      </c>
      <c r="D124" s="259">
        <v>0</v>
      </c>
      <c r="E124" s="255"/>
      <c r="F124" s="259"/>
      <c r="G124" s="96"/>
    </row>
    <row r="125" spans="1:10" ht="33" customHeight="1" thickTop="1" thickBot="1" x14ac:dyDescent="0.3">
      <c r="A125" s="616">
        <v>41033900</v>
      </c>
      <c r="B125" s="617" t="s">
        <v>111</v>
      </c>
      <c r="C125" s="618">
        <f t="shared" si="7"/>
        <v>737961300</v>
      </c>
      <c r="D125" s="619">
        <v>737961300</v>
      </c>
      <c r="E125" s="259"/>
      <c r="F125" s="259"/>
      <c r="G125" s="96"/>
    </row>
    <row r="126" spans="1:10" ht="39.75" hidden="1" thickTop="1" thickBot="1" x14ac:dyDescent="0.3">
      <c r="A126" s="257">
        <v>41034500</v>
      </c>
      <c r="B126" s="258" t="s">
        <v>966</v>
      </c>
      <c r="C126" s="255">
        <f t="shared" si="7"/>
        <v>0</v>
      </c>
      <c r="D126" s="259">
        <v>0</v>
      </c>
      <c r="E126" s="259">
        <v>0</v>
      </c>
      <c r="F126" s="259">
        <v>0</v>
      </c>
      <c r="G126" s="96"/>
    </row>
    <row r="127" spans="1:10" ht="49.5" customHeight="1" thickTop="1" thickBot="1" x14ac:dyDescent="0.3">
      <c r="A127" s="616">
        <v>41035400</v>
      </c>
      <c r="B127" s="617" t="s">
        <v>1395</v>
      </c>
      <c r="C127" s="618">
        <f t="shared" si="7"/>
        <v>5194600</v>
      </c>
      <c r="D127" s="619">
        <v>5194600</v>
      </c>
      <c r="E127" s="619"/>
      <c r="F127" s="619"/>
      <c r="G127" s="96"/>
    </row>
    <row r="128" spans="1:10" ht="52.5" hidden="1" thickTop="1" thickBot="1" x14ac:dyDescent="0.3">
      <c r="A128" s="257">
        <v>41035500</v>
      </c>
      <c r="B128" s="258" t="s">
        <v>922</v>
      </c>
      <c r="C128" s="255">
        <f t="shared" si="7"/>
        <v>0</v>
      </c>
      <c r="D128" s="259">
        <v>0</v>
      </c>
      <c r="E128" s="259"/>
      <c r="F128" s="259"/>
      <c r="G128" s="96"/>
    </row>
    <row r="129" spans="1:10" ht="65.25" hidden="1" thickTop="1" thickBot="1" x14ac:dyDescent="0.3">
      <c r="A129" s="257">
        <v>41035600</v>
      </c>
      <c r="B129" s="258" t="s">
        <v>938</v>
      </c>
      <c r="C129" s="255">
        <f t="shared" si="7"/>
        <v>0</v>
      </c>
      <c r="D129" s="259">
        <v>0</v>
      </c>
      <c r="E129" s="259"/>
      <c r="F129" s="259"/>
      <c r="G129" s="96"/>
    </row>
    <row r="130" spans="1:10" ht="83.25" customHeight="1" thickTop="1" thickBot="1" x14ac:dyDescent="0.3">
      <c r="A130" s="616">
        <v>41036000</v>
      </c>
      <c r="B130" s="617" t="s">
        <v>1708</v>
      </c>
      <c r="C130" s="618">
        <f t="shared" si="7"/>
        <v>6044900</v>
      </c>
      <c r="D130" s="619">
        <f>5345900+699000</f>
        <v>6044900</v>
      </c>
      <c r="E130" s="619"/>
      <c r="F130" s="619"/>
      <c r="G130" s="96"/>
    </row>
    <row r="131" spans="1:10" ht="48" customHeight="1" thickTop="1" thickBot="1" x14ac:dyDescent="0.3">
      <c r="A131" s="616">
        <v>41036300</v>
      </c>
      <c r="B131" s="617" t="s">
        <v>1396</v>
      </c>
      <c r="C131" s="618">
        <f t="shared" si="7"/>
        <v>79736300</v>
      </c>
      <c r="D131" s="619">
        <v>79736300</v>
      </c>
      <c r="E131" s="619"/>
      <c r="F131" s="619"/>
      <c r="G131" s="96"/>
    </row>
    <row r="132" spans="1:10" ht="39.75" hidden="1" thickTop="1" thickBot="1" x14ac:dyDescent="0.3">
      <c r="A132" s="257">
        <v>41035700</v>
      </c>
      <c r="B132" s="258" t="s">
        <v>913</v>
      </c>
      <c r="C132" s="255">
        <f t="shared" si="7"/>
        <v>0</v>
      </c>
      <c r="D132" s="259">
        <v>0</v>
      </c>
      <c r="E132" s="259"/>
      <c r="F132" s="259"/>
      <c r="G132" s="96"/>
    </row>
    <row r="133" spans="1:10" s="303" customFormat="1" ht="27" thickTop="1" thickBot="1" x14ac:dyDescent="0.3">
      <c r="A133" s="639">
        <v>41050000</v>
      </c>
      <c r="B133" s="649" t="s">
        <v>457</v>
      </c>
      <c r="C133" s="641">
        <f>SUM(D133,E133)</f>
        <v>18980200</v>
      </c>
      <c r="D133" s="641">
        <f>SUM(D134:D149)+D157+D158+D159+D160</f>
        <v>18980200</v>
      </c>
      <c r="E133" s="641">
        <f>SUM(E134:E149)+E157+E158++E159+E160</f>
        <v>0</v>
      </c>
      <c r="F133" s="641">
        <f>SUM(F134:F149)+F157+F158++F159+F160</f>
        <v>0</v>
      </c>
      <c r="G133" s="96"/>
      <c r="H133" s="95"/>
      <c r="I133" s="95"/>
      <c r="J133" s="95"/>
    </row>
    <row r="134" spans="1:10" s="303" customFormat="1" ht="90.75" hidden="1" thickTop="1" thickBot="1" x14ac:dyDescent="0.3">
      <c r="A134" s="257">
        <v>41050100</v>
      </c>
      <c r="B134" s="258" t="s">
        <v>1457</v>
      </c>
      <c r="C134" s="255">
        <f t="shared" si="7"/>
        <v>0</v>
      </c>
      <c r="D134" s="259"/>
      <c r="E134" s="259"/>
      <c r="F134" s="259"/>
      <c r="G134" s="96"/>
      <c r="H134" s="95"/>
      <c r="I134" s="95"/>
      <c r="J134" s="95"/>
    </row>
    <row r="135" spans="1:10" s="303" customFormat="1" ht="320.25" hidden="1" thickTop="1" thickBot="1" x14ac:dyDescent="0.3">
      <c r="A135" s="257">
        <v>41050200</v>
      </c>
      <c r="B135" s="258" t="s">
        <v>1436</v>
      </c>
      <c r="C135" s="255">
        <f t="shared" ref="C135:C143" si="10">SUM(D135,E135)</f>
        <v>0</v>
      </c>
      <c r="D135" s="259"/>
      <c r="E135" s="259"/>
      <c r="F135" s="259"/>
      <c r="G135" s="96"/>
      <c r="H135" s="95"/>
      <c r="I135" s="95"/>
      <c r="J135" s="95"/>
    </row>
    <row r="136" spans="1:10" ht="307.5" hidden="1" thickTop="1" thickBot="1" x14ac:dyDescent="0.3">
      <c r="A136" s="257">
        <v>41050400</v>
      </c>
      <c r="B136" s="258" t="s">
        <v>1228</v>
      </c>
      <c r="C136" s="255">
        <f t="shared" si="10"/>
        <v>0</v>
      </c>
      <c r="D136" s="259">
        <v>0</v>
      </c>
      <c r="E136" s="259"/>
      <c r="F136" s="259"/>
      <c r="G136" s="96"/>
    </row>
    <row r="137" spans="1:10" ht="218.25" hidden="1" thickTop="1" thickBot="1" x14ac:dyDescent="0.3">
      <c r="A137" s="257">
        <v>41050500</v>
      </c>
      <c r="B137" s="258" t="s">
        <v>967</v>
      </c>
      <c r="C137" s="255">
        <f t="shared" si="10"/>
        <v>0</v>
      </c>
      <c r="D137" s="259">
        <v>0</v>
      </c>
      <c r="E137" s="259"/>
      <c r="F137" s="259"/>
      <c r="G137" s="96"/>
    </row>
    <row r="138" spans="1:10" ht="307.5" hidden="1" thickTop="1" thickBot="1" x14ac:dyDescent="0.3">
      <c r="A138" s="257">
        <v>41050600</v>
      </c>
      <c r="B138" s="258" t="s">
        <v>1229</v>
      </c>
      <c r="C138" s="255">
        <f t="shared" si="10"/>
        <v>0</v>
      </c>
      <c r="D138" s="259">
        <v>0</v>
      </c>
      <c r="E138" s="259"/>
      <c r="F138" s="259"/>
      <c r="G138" s="96"/>
    </row>
    <row r="139" spans="1:10" ht="116.25" hidden="1" thickTop="1" thickBot="1" x14ac:dyDescent="0.3">
      <c r="A139" s="257">
        <v>41050900</v>
      </c>
      <c r="B139" s="258" t="s">
        <v>968</v>
      </c>
      <c r="C139" s="255">
        <f t="shared" si="10"/>
        <v>0</v>
      </c>
      <c r="D139" s="259">
        <v>0</v>
      </c>
      <c r="E139" s="259"/>
      <c r="F139" s="259"/>
      <c r="G139" s="96"/>
    </row>
    <row r="140" spans="1:10" s="303" customFormat="1" ht="39.75" thickTop="1" thickBot="1" x14ac:dyDescent="0.3">
      <c r="A140" s="616">
        <v>41051000</v>
      </c>
      <c r="B140" s="617" t="s">
        <v>458</v>
      </c>
      <c r="C140" s="618">
        <f t="shared" si="10"/>
        <v>9526800</v>
      </c>
      <c r="D140" s="619">
        <f>3564700+5962100</f>
        <v>9526800</v>
      </c>
      <c r="E140" s="619"/>
      <c r="F140" s="619"/>
      <c r="G140" s="96"/>
      <c r="H140" s="95"/>
      <c r="I140" s="95"/>
      <c r="J140" s="95"/>
    </row>
    <row r="141" spans="1:10" ht="39.75" hidden="1" thickTop="1" thickBot="1" x14ac:dyDescent="0.3">
      <c r="A141" s="257">
        <v>41051100</v>
      </c>
      <c r="B141" s="258" t="s">
        <v>1312</v>
      </c>
      <c r="C141" s="255">
        <f t="shared" si="10"/>
        <v>0</v>
      </c>
      <c r="D141" s="259"/>
      <c r="E141" s="259">
        <v>0</v>
      </c>
      <c r="F141" s="259"/>
      <c r="G141" s="96"/>
    </row>
    <row r="142" spans="1:10" s="303" customFormat="1" ht="52.5" hidden="1" thickTop="1" thickBot="1" x14ac:dyDescent="0.3">
      <c r="A142" s="257">
        <v>41051200</v>
      </c>
      <c r="B142" s="258" t="s">
        <v>1145</v>
      </c>
      <c r="C142" s="255">
        <f>SUM(D142,E142)</f>
        <v>0</v>
      </c>
      <c r="D142" s="259">
        <v>0</v>
      </c>
      <c r="E142" s="259"/>
      <c r="F142" s="259"/>
      <c r="G142" s="96"/>
      <c r="H142" s="95"/>
      <c r="I142" s="95"/>
      <c r="J142" s="95"/>
    </row>
    <row r="143" spans="1:10" ht="65.25" hidden="1" thickTop="1" thickBot="1" x14ac:dyDescent="0.3">
      <c r="A143" s="257">
        <v>41051400</v>
      </c>
      <c r="B143" s="258" t="s">
        <v>1336</v>
      </c>
      <c r="C143" s="255">
        <f t="shared" si="10"/>
        <v>0</v>
      </c>
      <c r="D143" s="259">
        <v>0</v>
      </c>
      <c r="E143" s="259"/>
      <c r="F143" s="259"/>
      <c r="G143" s="96"/>
    </row>
    <row r="144" spans="1:10" ht="65.25" hidden="1" thickTop="1" thickBot="1" x14ac:dyDescent="0.3">
      <c r="A144" s="257">
        <v>41051700</v>
      </c>
      <c r="B144" s="258" t="s">
        <v>888</v>
      </c>
      <c r="C144" s="255">
        <f t="shared" si="7"/>
        <v>0</v>
      </c>
      <c r="D144" s="259">
        <v>0</v>
      </c>
      <c r="E144" s="259"/>
      <c r="F144" s="259"/>
      <c r="G144" s="96"/>
    </row>
    <row r="145" spans="1:10" ht="90.75" hidden="1" thickTop="1" thickBot="1" x14ac:dyDescent="0.3">
      <c r="A145" s="262">
        <v>41056600</v>
      </c>
      <c r="B145" s="263" t="s">
        <v>951</v>
      </c>
      <c r="C145" s="264">
        <f t="shared" si="7"/>
        <v>0</v>
      </c>
      <c r="D145" s="265">
        <f>10623233.82-10623233.82</f>
        <v>0</v>
      </c>
      <c r="E145" s="265"/>
      <c r="F145" s="265"/>
      <c r="G145" s="96"/>
    </row>
    <row r="146" spans="1:10" ht="52.5" hidden="1" thickTop="1" thickBot="1" x14ac:dyDescent="0.25">
      <c r="A146" s="262">
        <v>41055000</v>
      </c>
      <c r="B146" s="263" t="s">
        <v>969</v>
      </c>
      <c r="C146" s="264">
        <f t="shared" si="7"/>
        <v>0</v>
      </c>
      <c r="D146" s="265">
        <v>0</v>
      </c>
      <c r="E146" s="265"/>
      <c r="F146" s="265"/>
      <c r="G146" s="97"/>
    </row>
    <row r="147" spans="1:10" ht="27" hidden="1" thickTop="1" thickBot="1" x14ac:dyDescent="0.25">
      <c r="A147" s="262">
        <v>41053600</v>
      </c>
      <c r="B147" s="263" t="s">
        <v>890</v>
      </c>
      <c r="C147" s="264">
        <f t="shared" si="7"/>
        <v>0</v>
      </c>
      <c r="D147" s="265"/>
      <c r="E147" s="265">
        <v>0</v>
      </c>
      <c r="F147" s="265"/>
      <c r="G147" s="97"/>
    </row>
    <row r="148" spans="1:10" ht="205.5" hidden="1" thickTop="1" thickBot="1" x14ac:dyDescent="0.25">
      <c r="A148" s="262">
        <v>41054200</v>
      </c>
      <c r="B148" s="263" t="s">
        <v>970</v>
      </c>
      <c r="C148" s="264">
        <f t="shared" si="7"/>
        <v>0</v>
      </c>
      <c r="D148" s="265">
        <v>0</v>
      </c>
      <c r="E148" s="265"/>
      <c r="F148" s="265"/>
      <c r="G148" s="97"/>
    </row>
    <row r="149" spans="1:10" s="303" customFormat="1" ht="27" thickTop="1" thickBot="1" x14ac:dyDescent="0.25">
      <c r="A149" s="642">
        <v>41053900</v>
      </c>
      <c r="B149" s="645" t="s">
        <v>858</v>
      </c>
      <c r="C149" s="641">
        <f t="shared" si="7"/>
        <v>1895317</v>
      </c>
      <c r="D149" s="641">
        <f>SUM(D150:D156)</f>
        <v>1895317</v>
      </c>
      <c r="E149" s="641">
        <f>SUM(E150:E156)</f>
        <v>0</v>
      </c>
      <c r="F149" s="641">
        <f>SUM(F150:F156)</f>
        <v>0</v>
      </c>
      <c r="G149" s="97"/>
      <c r="H149" s="95"/>
      <c r="I149" s="95"/>
      <c r="J149" s="95"/>
    </row>
    <row r="150" spans="1:10" ht="15.75" hidden="1" thickTop="1" thickBot="1" x14ac:dyDescent="0.25">
      <c r="A150" s="642"/>
      <c r="B150" s="646" t="s">
        <v>891</v>
      </c>
      <c r="C150" s="647">
        <f>SUM(D150,E150)</f>
        <v>0</v>
      </c>
      <c r="D150" s="648"/>
      <c r="E150" s="261">
        <v>0</v>
      </c>
      <c r="F150" s="261">
        <v>0</v>
      </c>
      <c r="G150" s="97"/>
    </row>
    <row r="151" spans="1:10" ht="50.25" customHeight="1" thickTop="1" thickBot="1" x14ac:dyDescent="0.25">
      <c r="A151" s="642"/>
      <c r="B151" s="646" t="s">
        <v>859</v>
      </c>
      <c r="C151" s="647">
        <f t="shared" si="7"/>
        <v>399986</v>
      </c>
      <c r="D151" s="648">
        <v>399986</v>
      </c>
      <c r="E151" s="261"/>
      <c r="F151" s="261"/>
      <c r="G151" s="97"/>
    </row>
    <row r="152" spans="1:10" ht="62.25" customHeight="1" thickTop="1" thickBot="1" x14ac:dyDescent="0.25">
      <c r="A152" s="642"/>
      <c r="B152" s="646" t="s">
        <v>860</v>
      </c>
      <c r="C152" s="647">
        <f t="shared" si="7"/>
        <v>177006</v>
      </c>
      <c r="D152" s="648">
        <v>177006</v>
      </c>
      <c r="E152" s="261"/>
      <c r="F152" s="261"/>
      <c r="G152" s="97"/>
    </row>
    <row r="153" spans="1:10" ht="73.5" customHeight="1" thickTop="1" thickBot="1" x14ac:dyDescent="0.25">
      <c r="A153" s="642"/>
      <c r="B153" s="646" t="s">
        <v>1771</v>
      </c>
      <c r="C153" s="647">
        <f t="shared" si="7"/>
        <v>171670</v>
      </c>
      <c r="D153" s="648">
        <v>171670</v>
      </c>
      <c r="E153" s="261"/>
      <c r="F153" s="261"/>
      <c r="G153" s="97"/>
    </row>
    <row r="154" spans="1:10" ht="38.25" customHeight="1" thickTop="1" thickBot="1" x14ac:dyDescent="0.25">
      <c r="A154" s="642"/>
      <c r="B154" s="646" t="s">
        <v>861</v>
      </c>
      <c r="C154" s="647">
        <f t="shared" si="7"/>
        <v>1146655</v>
      </c>
      <c r="D154" s="648">
        <v>1146655</v>
      </c>
      <c r="E154" s="261"/>
      <c r="F154" s="261"/>
      <c r="G154" s="97"/>
    </row>
    <row r="155" spans="1:10" ht="39.75" hidden="1" thickTop="1" thickBot="1" x14ac:dyDescent="0.25">
      <c r="A155" s="262"/>
      <c r="B155" s="266" t="s">
        <v>1005</v>
      </c>
      <c r="C155" s="101">
        <f t="shared" si="7"/>
        <v>0</v>
      </c>
      <c r="D155" s="102">
        <v>0</v>
      </c>
      <c r="E155" s="102"/>
      <c r="F155" s="102"/>
      <c r="G155" s="97"/>
    </row>
    <row r="156" spans="1:10" ht="27" hidden="1" thickTop="1" thickBot="1" x14ac:dyDescent="0.25">
      <c r="A156" s="262"/>
      <c r="B156" s="266" t="s">
        <v>1006</v>
      </c>
      <c r="C156" s="101">
        <f t="shared" si="7"/>
        <v>0</v>
      </c>
      <c r="D156" s="102"/>
      <c r="E156" s="102">
        <v>0</v>
      </c>
      <c r="F156" s="102">
        <v>0</v>
      </c>
      <c r="G156" s="97"/>
    </row>
    <row r="157" spans="1:10" ht="65.25" hidden="1" thickTop="1" thickBot="1" x14ac:dyDescent="0.25">
      <c r="A157" s="257">
        <v>41057700</v>
      </c>
      <c r="B157" s="258" t="s">
        <v>1191</v>
      </c>
      <c r="C157" s="255">
        <f>SUM(D157,E157)</f>
        <v>0</v>
      </c>
      <c r="D157" s="259"/>
      <c r="E157" s="259"/>
      <c r="F157" s="259"/>
      <c r="G157" s="97"/>
    </row>
    <row r="158" spans="1:10" ht="52.5" hidden="1" thickTop="1" thickBot="1" x14ac:dyDescent="0.25">
      <c r="A158" s="257">
        <v>41059000</v>
      </c>
      <c r="B158" s="258" t="s">
        <v>1214</v>
      </c>
      <c r="C158" s="255">
        <f>SUM(D158,E158)</f>
        <v>0</v>
      </c>
      <c r="D158" s="259">
        <v>0</v>
      </c>
      <c r="E158" s="259"/>
      <c r="F158" s="259"/>
      <c r="G158" s="97"/>
    </row>
    <row r="159" spans="1:10" ht="106.5" customHeight="1" thickTop="1" thickBot="1" x14ac:dyDescent="0.25">
      <c r="A159" s="616">
        <v>41059300</v>
      </c>
      <c r="B159" s="617" t="s">
        <v>1415</v>
      </c>
      <c r="C159" s="618">
        <f>SUM(D159,E159)</f>
        <v>7558083</v>
      </c>
      <c r="D159" s="619">
        <f>7504512+53571</f>
        <v>7558083</v>
      </c>
      <c r="E159" s="619"/>
      <c r="F159" s="619"/>
      <c r="G159" s="97"/>
    </row>
    <row r="160" spans="1:10" ht="78" hidden="1" thickTop="1" thickBot="1" x14ac:dyDescent="0.25">
      <c r="A160" s="257">
        <v>41059700</v>
      </c>
      <c r="B160" s="258" t="s">
        <v>1398</v>
      </c>
      <c r="C160" s="255">
        <f>SUM(D160,E160)</f>
        <v>0</v>
      </c>
      <c r="D160" s="259"/>
      <c r="E160" s="259"/>
      <c r="F160" s="259"/>
      <c r="G160" s="97"/>
    </row>
    <row r="161" spans="1:10" ht="38.25" customHeight="1" thickTop="1" thickBot="1" x14ac:dyDescent="0.3">
      <c r="A161" s="637"/>
      <c r="B161" s="638" t="s">
        <v>962</v>
      </c>
      <c r="C161" s="636">
        <f>SUM(D161,E161)</f>
        <v>6044020627</v>
      </c>
      <c r="D161" s="636">
        <f>SUM(D113,D114)</f>
        <v>5719325093</v>
      </c>
      <c r="E161" s="636">
        <f>SUM(E113,E114)</f>
        <v>324695534</v>
      </c>
      <c r="F161" s="636">
        <f>SUM(F113,F114)</f>
        <v>21425150</v>
      </c>
      <c r="G161" s="650" t="b">
        <f>C161=C154+C152+C151+C142+C140+C117+C112+C109+C108+C105+C104+C100+C99+C98+C97+C94+C93+C92+C91+C89+C88+C87+C85+C81+C80+C79+C76+C75+C74+C73+C72+C69+C65+C64+C63+C60+C59+C58+C56+C55+C53+C51+C50+C49+C48+C47+C46+C45+C44+C43+C42+C39+C38+C36+C34+C31+C29+C28+C25+C23+C22+C21+C20+C18+C125+C160+C131+C127+C159+C130+C157+C118+C135+C134+C83+C116+C121+C153</f>
        <v>1</v>
      </c>
      <c r="H161" s="650" t="b">
        <f t="shared" ref="H161:J161" si="11">D161=D154+D152+D151+D142+D140+D117+D112+D109+D108+D105+D104+D100+D99+D98+D97+D94+D93+D92+D91+D89+D88+D87+D85+D81+D80+D79+D76+D75+D74+D73+D72+D69+D65+D64+D63+D60+D59+D58+D56+D55+D53+D51+D50+D49+D48+D47+D46+D45+D44+D43+D42+D39+D38+D36+D34+D31+D29+D28+D25+D23+D22+D21+D20+D18+D125+D160+D131+D127+D159+D130+D157+D118+D135+D134+D83+D116+D121+D153</f>
        <v>1</v>
      </c>
      <c r="I161" s="650" t="b">
        <f t="shared" si="11"/>
        <v>1</v>
      </c>
      <c r="J161" s="650" t="b">
        <f t="shared" si="11"/>
        <v>1</v>
      </c>
    </row>
    <row r="162" spans="1:10" ht="16.5" thickTop="1" x14ac:dyDescent="0.25">
      <c r="B162" s="103"/>
      <c r="G162" s="650" t="b">
        <f>((4694722341-'d2'!C41-'d2'!C23)+(1375609268.53-247798323.53))+6133770+53571+699000+214601000=C161</f>
        <v>1</v>
      </c>
    </row>
    <row r="163" spans="1:10" ht="21" customHeight="1" x14ac:dyDescent="0.2">
      <c r="B163" s="669" t="s">
        <v>1417</v>
      </c>
      <c r="C163" s="13"/>
      <c r="D163" s="13"/>
      <c r="E163" s="670" t="s">
        <v>1418</v>
      </c>
      <c r="F163" s="105"/>
      <c r="G163" s="104"/>
    </row>
    <row r="164" spans="1:10" ht="15.75" hidden="1" x14ac:dyDescent="0.2">
      <c r="B164" s="385" t="s">
        <v>1245</v>
      </c>
      <c r="C164"/>
      <c r="D164"/>
      <c r="E164" s="386" t="s">
        <v>1246</v>
      </c>
      <c r="F164" s="105"/>
      <c r="G164" s="104"/>
    </row>
    <row r="165" spans="1:10" ht="47.25" hidden="1" x14ac:dyDescent="0.2">
      <c r="B165" s="355" t="s">
        <v>1472</v>
      </c>
      <c r="C165" s="13"/>
      <c r="D165" s="13"/>
      <c r="E165" s="267" t="s">
        <v>1471</v>
      </c>
      <c r="F165" s="105"/>
      <c r="G165" s="104"/>
    </row>
    <row r="166" spans="1:10" ht="9" customHeight="1" x14ac:dyDescent="0.25">
      <c r="B166" s="1"/>
      <c r="C166" s="303"/>
      <c r="D166" s="303"/>
      <c r="E166" s="1"/>
    </row>
    <row r="167" spans="1:10" ht="15.75" x14ac:dyDescent="0.25">
      <c r="A167" s="106"/>
      <c r="B167" s="301" t="s">
        <v>501</v>
      </c>
      <c r="C167" s="1"/>
      <c r="D167" s="1"/>
      <c r="E167" s="1" t="s">
        <v>1168</v>
      </c>
      <c r="F167" s="106"/>
    </row>
    <row r="170" spans="1:10" x14ac:dyDescent="0.2">
      <c r="C170" s="104"/>
      <c r="D170" s="104"/>
      <c r="E170" s="104"/>
      <c r="F170" s="104"/>
    </row>
  </sheetData>
  <mergeCells count="13">
    <mergeCell ref="D1:G1"/>
    <mergeCell ref="D2:G2"/>
    <mergeCell ref="D3:G3"/>
    <mergeCell ref="A4:E4"/>
    <mergeCell ref="A5:F5"/>
    <mergeCell ref="A6:F6"/>
    <mergeCell ref="A8:F8"/>
    <mergeCell ref="A9:F9"/>
    <mergeCell ref="A12:A13"/>
    <mergeCell ref="B12:B13"/>
    <mergeCell ref="C12:C13"/>
    <mergeCell ref="D12:D13"/>
    <mergeCell ref="E12:F12"/>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6" fitToHeight="0" orientation="portrait" verticalDpi="300"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80-17D6-4464-AF08-3C0728188697}">
  <sheetPr>
    <tabColor theme="5" tint="0.79998168889431442"/>
    <pageSetUpPr fitToPage="1"/>
  </sheetPr>
  <dimension ref="A1:J169"/>
  <sheetViews>
    <sheetView view="pageBreakPreview" zoomScaleNormal="100" zoomScaleSheetLayoutView="100" workbookViewId="0">
      <selection activeCell="A163" sqref="A163:XFD163"/>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3"/>
      <c r="B1" s="303"/>
      <c r="C1" s="303"/>
      <c r="D1" s="741" t="s">
        <v>54</v>
      </c>
      <c r="E1" s="742"/>
      <c r="F1" s="742"/>
      <c r="G1" s="742"/>
    </row>
    <row r="2" spans="1:7" ht="30" customHeight="1" x14ac:dyDescent="0.2">
      <c r="A2" s="303"/>
      <c r="B2" s="303"/>
      <c r="C2" s="369"/>
      <c r="D2" s="743" t="s">
        <v>1769</v>
      </c>
      <c r="E2" s="744"/>
      <c r="F2" s="744"/>
      <c r="G2" s="744"/>
    </row>
    <row r="3" spans="1:7" ht="6" hidden="1" customHeight="1" x14ac:dyDescent="0.2">
      <c r="A3" s="303"/>
      <c r="B3" s="303"/>
      <c r="C3" s="369"/>
      <c r="D3" s="741"/>
      <c r="E3" s="744"/>
      <c r="F3" s="744"/>
      <c r="G3" s="744"/>
    </row>
    <row r="4" spans="1:7" ht="12.75" customHeight="1" x14ac:dyDescent="0.2">
      <c r="A4" s="734"/>
      <c r="B4" s="734"/>
      <c r="C4" s="734"/>
      <c r="D4" s="734"/>
      <c r="E4" s="734"/>
      <c r="F4" s="303"/>
      <c r="G4" s="303"/>
    </row>
    <row r="5" spans="1:7" ht="20.25" x14ac:dyDescent="0.2">
      <c r="A5" s="734" t="s">
        <v>1023</v>
      </c>
      <c r="B5" s="735"/>
      <c r="C5" s="735"/>
      <c r="D5" s="735"/>
      <c r="E5" s="735"/>
      <c r="F5" s="735"/>
      <c r="G5" s="303"/>
    </row>
    <row r="6" spans="1:7" ht="20.25" x14ac:dyDescent="0.2">
      <c r="A6" s="734" t="s">
        <v>1473</v>
      </c>
      <c r="B6" s="735"/>
      <c r="C6" s="735"/>
      <c r="D6" s="735"/>
      <c r="E6" s="735"/>
      <c r="F6" s="735"/>
      <c r="G6" s="303"/>
    </row>
    <row r="7" spans="1:7" ht="20.25" x14ac:dyDescent="0.2">
      <c r="A7" s="371"/>
      <c r="B7" s="372"/>
      <c r="C7" s="372"/>
      <c r="D7" s="372"/>
      <c r="E7" s="372"/>
      <c r="F7" s="372"/>
      <c r="G7" s="303"/>
    </row>
    <row r="8" spans="1:7" ht="20.25" x14ac:dyDescent="0.2">
      <c r="A8" s="736">
        <v>2256400000</v>
      </c>
      <c r="B8" s="737"/>
      <c r="C8" s="737"/>
      <c r="D8" s="737"/>
      <c r="E8" s="737"/>
      <c r="F8" s="737"/>
      <c r="G8" s="303"/>
    </row>
    <row r="9" spans="1:7" ht="15.75" x14ac:dyDescent="0.2">
      <c r="A9" s="738" t="s">
        <v>474</v>
      </c>
      <c r="B9" s="739"/>
      <c r="C9" s="739"/>
      <c r="D9" s="739"/>
      <c r="E9" s="739"/>
      <c r="F9" s="739"/>
      <c r="G9" s="303"/>
    </row>
    <row r="10" spans="1:7" ht="20.25" x14ac:dyDescent="0.2">
      <c r="A10" s="371"/>
      <c r="B10" s="368"/>
      <c r="C10" s="368"/>
      <c r="D10" s="368"/>
      <c r="E10" s="368"/>
      <c r="F10" s="368"/>
      <c r="G10" s="303"/>
    </row>
    <row r="11" spans="1:7" ht="13.5" thickBot="1" x14ac:dyDescent="0.25">
      <c r="A11" s="303"/>
      <c r="B11" s="373"/>
      <c r="C11" s="373"/>
      <c r="D11" s="373"/>
      <c r="E11" s="373"/>
      <c r="F11" s="374" t="s">
        <v>394</v>
      </c>
      <c r="G11" s="303"/>
    </row>
    <row r="12" spans="1:7" ht="14.25" thickTop="1" thickBot="1" x14ac:dyDescent="0.25">
      <c r="A12" s="740" t="s">
        <v>55</v>
      </c>
      <c r="B12" s="740" t="s">
        <v>1474</v>
      </c>
      <c r="C12" s="740" t="s">
        <v>373</v>
      </c>
      <c r="D12" s="740" t="s">
        <v>12</v>
      </c>
      <c r="E12" s="740" t="s">
        <v>50</v>
      </c>
      <c r="F12" s="740"/>
      <c r="G12" s="354"/>
    </row>
    <row r="13" spans="1:7" ht="39.75" thickTop="1" thickBot="1" x14ac:dyDescent="0.3">
      <c r="A13" s="740"/>
      <c r="B13" s="740"/>
      <c r="C13" s="740"/>
      <c r="D13" s="740"/>
      <c r="E13" s="375" t="s">
        <v>374</v>
      </c>
      <c r="F13" s="375" t="s">
        <v>415</v>
      </c>
      <c r="G13" s="96"/>
    </row>
    <row r="14" spans="1:7" ht="16.5" thickTop="1" thickBot="1" x14ac:dyDescent="0.3">
      <c r="A14" s="375">
        <v>1</v>
      </c>
      <c r="B14" s="375">
        <v>2</v>
      </c>
      <c r="C14" s="375">
        <v>3</v>
      </c>
      <c r="D14" s="375">
        <v>4</v>
      </c>
      <c r="E14" s="375">
        <v>5</v>
      </c>
      <c r="F14" s="375">
        <v>6</v>
      </c>
      <c r="G14" s="96"/>
    </row>
    <row r="15" spans="1:7" ht="25.5" customHeight="1" thickTop="1" thickBot="1" x14ac:dyDescent="0.25">
      <c r="A15" s="629">
        <v>10000000</v>
      </c>
      <c r="B15" s="629" t="s">
        <v>56</v>
      </c>
      <c r="C15" s="630">
        <f t="shared" ref="C15:C70" si="0">SUM(D15,E15)</f>
        <v>4449677732</v>
      </c>
      <c r="D15" s="630">
        <f>SUM(D16,D32,D40,D61,D26)</f>
        <v>4447177732</v>
      </c>
      <c r="E15" s="630">
        <f>SUM(E16,E32,E40,E61,E26)</f>
        <v>2500000</v>
      </c>
      <c r="F15" s="630">
        <f>SUM(F16,F32,F40,F61,F26)</f>
        <v>0</v>
      </c>
      <c r="G15" s="97"/>
    </row>
    <row r="16" spans="1:7" ht="31.7" customHeight="1" thickTop="1" thickBot="1" x14ac:dyDescent="0.25">
      <c r="A16" s="375">
        <v>11000000</v>
      </c>
      <c r="B16" s="375" t="s">
        <v>57</v>
      </c>
      <c r="C16" s="618">
        <f>SUM(D16,E16)</f>
        <v>2643117480</v>
      </c>
      <c r="D16" s="618">
        <f>SUM(D17,D24)</f>
        <v>2643117480</v>
      </c>
      <c r="E16" s="255"/>
      <c r="F16" s="255"/>
      <c r="G16" s="98"/>
    </row>
    <row r="17" spans="1:7" ht="24.75" customHeight="1" thickTop="1" thickBot="1" x14ac:dyDescent="0.25">
      <c r="A17" s="620">
        <v>11010000</v>
      </c>
      <c r="B17" s="621" t="s">
        <v>58</v>
      </c>
      <c r="C17" s="622">
        <f t="shared" si="0"/>
        <v>2641917480</v>
      </c>
      <c r="D17" s="622">
        <f>SUM(D18:D23)</f>
        <v>2641917480</v>
      </c>
      <c r="E17" s="256"/>
      <c r="F17" s="256"/>
      <c r="G17" s="98"/>
    </row>
    <row r="18" spans="1:7" ht="39.75" thickTop="1" thickBot="1" x14ac:dyDescent="0.25">
      <c r="A18" s="616">
        <v>11010100</v>
      </c>
      <c r="B18" s="617" t="s">
        <v>59</v>
      </c>
      <c r="C18" s="618">
        <f>SUM(D18,E18)</f>
        <v>2445272100</v>
      </c>
      <c r="D18" s="619">
        <f>2319722100+125550000</f>
        <v>2445272100</v>
      </c>
      <c r="E18" s="259"/>
      <c r="F18" s="259"/>
      <c r="G18" s="98"/>
    </row>
    <row r="19" spans="1:7" ht="65.25" hidden="1" thickTop="1" thickBot="1" x14ac:dyDescent="0.25">
      <c r="A19" s="257">
        <v>11010200</v>
      </c>
      <c r="B19" s="258" t="s">
        <v>60</v>
      </c>
      <c r="C19" s="255">
        <f t="shared" si="0"/>
        <v>0</v>
      </c>
      <c r="D19" s="259">
        <v>0</v>
      </c>
      <c r="E19" s="259"/>
      <c r="F19" s="259"/>
      <c r="G19" s="98"/>
    </row>
    <row r="20" spans="1:7" ht="39.75" thickTop="1" thickBot="1" x14ac:dyDescent="0.25">
      <c r="A20" s="616">
        <v>11010400</v>
      </c>
      <c r="B20" s="617" t="s">
        <v>61</v>
      </c>
      <c r="C20" s="618">
        <f t="shared" si="0"/>
        <v>90545680</v>
      </c>
      <c r="D20" s="619">
        <v>90545680</v>
      </c>
      <c r="E20" s="259"/>
      <c r="F20" s="259"/>
      <c r="G20" s="98"/>
    </row>
    <row r="21" spans="1:7" ht="39.75" thickTop="1" thickBot="1" x14ac:dyDescent="0.3">
      <c r="A21" s="616">
        <v>11010500</v>
      </c>
      <c r="B21" s="617" t="s">
        <v>62</v>
      </c>
      <c r="C21" s="618">
        <f t="shared" si="0"/>
        <v>100794200</v>
      </c>
      <c r="D21" s="619">
        <v>100794200</v>
      </c>
      <c r="E21" s="259"/>
      <c r="F21" s="259"/>
      <c r="G21" s="96"/>
    </row>
    <row r="22" spans="1:7" ht="27" thickTop="1" thickBot="1" x14ac:dyDescent="0.3">
      <c r="A22" s="616">
        <v>11011200</v>
      </c>
      <c r="B22" s="617" t="s">
        <v>1288</v>
      </c>
      <c r="C22" s="618">
        <f t="shared" si="0"/>
        <v>5120500</v>
      </c>
      <c r="D22" s="619">
        <v>5120500</v>
      </c>
      <c r="E22" s="259"/>
      <c r="F22" s="259"/>
      <c r="G22" s="96"/>
    </row>
    <row r="23" spans="1:7" ht="39.75" thickTop="1" thickBot="1" x14ac:dyDescent="0.3">
      <c r="A23" s="616">
        <v>11011300</v>
      </c>
      <c r="B23" s="617" t="s">
        <v>1289</v>
      </c>
      <c r="C23" s="618">
        <f t="shared" si="0"/>
        <v>185000</v>
      </c>
      <c r="D23" s="619">
        <v>185000</v>
      </c>
      <c r="E23" s="259"/>
      <c r="F23" s="259"/>
      <c r="G23" s="96"/>
    </row>
    <row r="24" spans="1:7" ht="28.5" customHeight="1" thickTop="1" thickBot="1" x14ac:dyDescent="0.25">
      <c r="A24" s="620">
        <v>11020000</v>
      </c>
      <c r="B24" s="621" t="s">
        <v>63</v>
      </c>
      <c r="C24" s="622">
        <f>SUM(D24,E24)</f>
        <v>1200000</v>
      </c>
      <c r="D24" s="622">
        <f>D25</f>
        <v>1200000</v>
      </c>
      <c r="E24" s="256"/>
      <c r="F24" s="256"/>
      <c r="G24" s="97"/>
    </row>
    <row r="25" spans="1:7" ht="27" thickTop="1" thickBot="1" x14ac:dyDescent="0.3">
      <c r="A25" s="616">
        <v>11020200</v>
      </c>
      <c r="B25" s="623" t="s">
        <v>64</v>
      </c>
      <c r="C25" s="618">
        <f>SUM(D25,E25)</f>
        <v>1200000</v>
      </c>
      <c r="D25" s="619">
        <v>1200000</v>
      </c>
      <c r="E25" s="259"/>
      <c r="F25" s="259"/>
      <c r="G25" s="96"/>
    </row>
    <row r="26" spans="1:7" ht="27" thickTop="1" thickBot="1" x14ac:dyDescent="0.3">
      <c r="A26" s="375">
        <v>13000000</v>
      </c>
      <c r="B26" s="624" t="s">
        <v>504</v>
      </c>
      <c r="C26" s="618">
        <f>D26+E26</f>
        <v>685000</v>
      </c>
      <c r="D26" s="618">
        <f>SUM(D27,D30)</f>
        <v>685000</v>
      </c>
      <c r="E26" s="259"/>
      <c r="F26" s="259"/>
      <c r="G26" s="96"/>
    </row>
    <row r="27" spans="1:7" ht="28.5" thickTop="1" thickBot="1" x14ac:dyDescent="0.3">
      <c r="A27" s="620">
        <v>13010000</v>
      </c>
      <c r="B27" s="625" t="s">
        <v>505</v>
      </c>
      <c r="C27" s="622">
        <f>D27+E27</f>
        <v>630000</v>
      </c>
      <c r="D27" s="622">
        <f>SUM(D28:D29)</f>
        <v>630000</v>
      </c>
      <c r="E27" s="256"/>
      <c r="F27" s="256"/>
      <c r="G27" s="96"/>
    </row>
    <row r="28" spans="1:7" ht="52.5" thickTop="1" thickBot="1" x14ac:dyDescent="0.3">
      <c r="A28" s="616">
        <v>13010100</v>
      </c>
      <c r="B28" s="626" t="s">
        <v>1290</v>
      </c>
      <c r="C28" s="618">
        <f t="shared" ref="C28:C32" si="1">D28+E28</f>
        <v>330000</v>
      </c>
      <c r="D28" s="619">
        <v>330000</v>
      </c>
      <c r="E28" s="259"/>
      <c r="F28" s="259"/>
      <c r="G28" s="96"/>
    </row>
    <row r="29" spans="1:7" ht="65.25" thickTop="1" thickBot="1" x14ac:dyDescent="0.3">
      <c r="A29" s="616">
        <v>13010200</v>
      </c>
      <c r="B29" s="626" t="s">
        <v>506</v>
      </c>
      <c r="C29" s="618">
        <f t="shared" si="1"/>
        <v>300000</v>
      </c>
      <c r="D29" s="619">
        <v>300000</v>
      </c>
      <c r="E29" s="259"/>
      <c r="F29" s="259"/>
      <c r="G29" s="96"/>
    </row>
    <row r="30" spans="1:7" ht="16.5" thickTop="1" thickBot="1" x14ac:dyDescent="0.3">
      <c r="A30" s="620">
        <v>13030000</v>
      </c>
      <c r="B30" s="627" t="s">
        <v>507</v>
      </c>
      <c r="C30" s="622">
        <f>D30+E30</f>
        <v>55000</v>
      </c>
      <c r="D30" s="622">
        <f>SUM(D31)</f>
        <v>55000</v>
      </c>
      <c r="E30" s="256"/>
      <c r="F30" s="256"/>
      <c r="G30" s="96"/>
    </row>
    <row r="31" spans="1:7" ht="39.75" thickTop="1" thickBot="1" x14ac:dyDescent="0.3">
      <c r="A31" s="616">
        <v>13030100</v>
      </c>
      <c r="B31" s="626" t="s">
        <v>508</v>
      </c>
      <c r="C31" s="618">
        <f t="shared" si="1"/>
        <v>55000</v>
      </c>
      <c r="D31" s="619">
        <v>55000</v>
      </c>
      <c r="E31" s="259"/>
      <c r="F31" s="259"/>
      <c r="G31" s="96"/>
    </row>
    <row r="32" spans="1:7" ht="26.45" customHeight="1" thickTop="1" thickBot="1" x14ac:dyDescent="0.3">
      <c r="A32" s="375">
        <v>14000000</v>
      </c>
      <c r="B32" s="624" t="s">
        <v>509</v>
      </c>
      <c r="C32" s="618">
        <f t="shared" si="1"/>
        <v>486756000</v>
      </c>
      <c r="D32" s="618">
        <f>SUM(D33,D35,D37)</f>
        <v>486756000</v>
      </c>
      <c r="E32" s="255"/>
      <c r="F32" s="259"/>
      <c r="G32" s="96"/>
    </row>
    <row r="33" spans="1:7" ht="30" customHeight="1" thickTop="1" thickBot="1" x14ac:dyDescent="0.3">
      <c r="A33" s="620">
        <v>14020000</v>
      </c>
      <c r="B33" s="625" t="s">
        <v>595</v>
      </c>
      <c r="C33" s="622">
        <f>SUM(D33,E33)</f>
        <v>18500850</v>
      </c>
      <c r="D33" s="622">
        <f>SUM(D34,E34)</f>
        <v>18500850</v>
      </c>
      <c r="E33" s="256"/>
      <c r="F33" s="261"/>
      <c r="G33" s="96"/>
    </row>
    <row r="34" spans="1:7" ht="16.5" thickTop="1" thickBot="1" x14ac:dyDescent="0.3">
      <c r="A34" s="616">
        <v>14021900</v>
      </c>
      <c r="B34" s="623" t="s">
        <v>594</v>
      </c>
      <c r="C34" s="619">
        <f>SUM(D34,E34)</f>
        <v>18500850</v>
      </c>
      <c r="D34" s="619">
        <v>18500850</v>
      </c>
      <c r="E34" s="255"/>
      <c r="F34" s="259"/>
      <c r="G34" s="96"/>
    </row>
    <row r="35" spans="1:7" ht="42" thickTop="1" thickBot="1" x14ac:dyDescent="0.3">
      <c r="A35" s="620">
        <v>14030000</v>
      </c>
      <c r="B35" s="625" t="s">
        <v>596</v>
      </c>
      <c r="C35" s="622">
        <f>SUM(D35,E35)</f>
        <v>199790150</v>
      </c>
      <c r="D35" s="622">
        <f>SUM(D36,E36)</f>
        <v>199790150</v>
      </c>
      <c r="E35" s="256"/>
      <c r="F35" s="261"/>
      <c r="G35" s="96"/>
    </row>
    <row r="36" spans="1:7" ht="16.5" thickTop="1" thickBot="1" x14ac:dyDescent="0.3">
      <c r="A36" s="616">
        <v>14031900</v>
      </c>
      <c r="B36" s="623" t="s">
        <v>594</v>
      </c>
      <c r="C36" s="619">
        <f>SUM(D36,E36)</f>
        <v>199790150</v>
      </c>
      <c r="D36" s="619">
        <f>176579150+23211000</f>
        <v>199790150</v>
      </c>
      <c r="E36" s="255"/>
      <c r="F36" s="259"/>
      <c r="G36" s="96"/>
    </row>
    <row r="37" spans="1:7" ht="42" thickTop="1" thickBot="1" x14ac:dyDescent="0.3">
      <c r="A37" s="620">
        <v>14040000</v>
      </c>
      <c r="B37" s="625" t="s">
        <v>1089</v>
      </c>
      <c r="C37" s="622">
        <f>SUM(C38:C39)</f>
        <v>268465000</v>
      </c>
      <c r="D37" s="622">
        <f>SUM(D38:D39)</f>
        <v>268465000</v>
      </c>
      <c r="E37" s="256"/>
      <c r="F37" s="261"/>
      <c r="G37" s="96"/>
    </row>
    <row r="38" spans="1:7" ht="103.5" thickTop="1" thickBot="1" x14ac:dyDescent="0.25">
      <c r="A38" s="616">
        <v>14040100</v>
      </c>
      <c r="B38" s="623" t="s">
        <v>1107</v>
      </c>
      <c r="C38" s="619">
        <f>SUM(D38,E38)</f>
        <v>162884700</v>
      </c>
      <c r="D38" s="619">
        <v>162884700</v>
      </c>
      <c r="E38" s="255"/>
      <c r="F38" s="259"/>
      <c r="G38" s="99"/>
    </row>
    <row r="39" spans="1:7" ht="65.25" thickTop="1" thickBot="1" x14ac:dyDescent="0.25">
      <c r="A39" s="616">
        <v>14040200</v>
      </c>
      <c r="B39" s="623" t="s">
        <v>1088</v>
      </c>
      <c r="C39" s="619">
        <f>SUM(D39,E39)</f>
        <v>105580300</v>
      </c>
      <c r="D39" s="619">
        <v>105580300</v>
      </c>
      <c r="E39" s="255"/>
      <c r="F39" s="259"/>
      <c r="G39" s="99"/>
    </row>
    <row r="40" spans="1:7" ht="29.25" customHeight="1" thickTop="1" thickBot="1" x14ac:dyDescent="0.3">
      <c r="A40" s="375">
        <v>18000000</v>
      </c>
      <c r="B40" s="375" t="s">
        <v>65</v>
      </c>
      <c r="C40" s="618">
        <f t="shared" si="0"/>
        <v>1316619252</v>
      </c>
      <c r="D40" s="618">
        <f>SUM(D41,D54,D57,D52)</f>
        <v>1316619252</v>
      </c>
      <c r="E40" s="255"/>
      <c r="F40" s="255"/>
      <c r="G40" s="96"/>
    </row>
    <row r="41" spans="1:7" ht="16.5" thickTop="1" thickBot="1" x14ac:dyDescent="0.3">
      <c r="A41" s="620">
        <v>18010000</v>
      </c>
      <c r="B41" s="625" t="s">
        <v>66</v>
      </c>
      <c r="C41" s="622">
        <f>SUM(D41,E41)</f>
        <v>412519067</v>
      </c>
      <c r="D41" s="622">
        <f>SUM(D42:D51)</f>
        <v>412519067</v>
      </c>
      <c r="E41" s="256"/>
      <c r="F41" s="256"/>
      <c r="G41" s="96"/>
    </row>
    <row r="42" spans="1:7" ht="52.5" thickTop="1" thickBot="1" x14ac:dyDescent="0.3">
      <c r="A42" s="616">
        <v>18010100</v>
      </c>
      <c r="B42" s="623" t="s">
        <v>67</v>
      </c>
      <c r="C42" s="618">
        <f t="shared" si="0"/>
        <v>700000</v>
      </c>
      <c r="D42" s="619">
        <v>700000</v>
      </c>
      <c r="E42" s="259"/>
      <c r="F42" s="259"/>
      <c r="G42" s="96"/>
    </row>
    <row r="43" spans="1:7" ht="52.5" thickTop="1" thickBot="1" x14ac:dyDescent="0.3">
      <c r="A43" s="616">
        <v>18010200</v>
      </c>
      <c r="B43" s="623" t="s">
        <v>68</v>
      </c>
      <c r="C43" s="618">
        <f t="shared" si="0"/>
        <v>38570345</v>
      </c>
      <c r="D43" s="619">
        <v>38570345</v>
      </c>
      <c r="E43" s="259"/>
      <c r="F43" s="259"/>
      <c r="G43" s="96"/>
    </row>
    <row r="44" spans="1:7" ht="52.5" thickTop="1" thickBot="1" x14ac:dyDescent="0.3">
      <c r="A44" s="616">
        <v>18010300</v>
      </c>
      <c r="B44" s="623" t="s">
        <v>69</v>
      </c>
      <c r="C44" s="618">
        <f t="shared" si="0"/>
        <v>29950090</v>
      </c>
      <c r="D44" s="619">
        <v>29950090</v>
      </c>
      <c r="E44" s="259"/>
      <c r="F44" s="259"/>
      <c r="G44" s="96"/>
    </row>
    <row r="45" spans="1:7" ht="52.5" thickTop="1" thickBot="1" x14ac:dyDescent="0.3">
      <c r="A45" s="616">
        <v>18010400</v>
      </c>
      <c r="B45" s="623" t="s">
        <v>70</v>
      </c>
      <c r="C45" s="618">
        <f t="shared" si="0"/>
        <v>51764565</v>
      </c>
      <c r="D45" s="619">
        <v>51764565</v>
      </c>
      <c r="E45" s="259"/>
      <c r="F45" s="259"/>
      <c r="G45" s="96"/>
    </row>
    <row r="46" spans="1:7" ht="16.5" thickTop="1" thickBot="1" x14ac:dyDescent="0.3">
      <c r="A46" s="616">
        <v>18010500</v>
      </c>
      <c r="B46" s="623" t="s">
        <v>71</v>
      </c>
      <c r="C46" s="618">
        <f t="shared" si="0"/>
        <v>52198567</v>
      </c>
      <c r="D46" s="619">
        <f>46120300+6078267</f>
        <v>52198567</v>
      </c>
      <c r="E46" s="259"/>
      <c r="F46" s="259"/>
      <c r="G46" s="96"/>
    </row>
    <row r="47" spans="1:7" ht="16.5" thickTop="1" thickBot="1" x14ac:dyDescent="0.3">
      <c r="A47" s="616">
        <v>18010600</v>
      </c>
      <c r="B47" s="623" t="s">
        <v>72</v>
      </c>
      <c r="C47" s="618">
        <f t="shared" si="0"/>
        <v>183578780</v>
      </c>
      <c r="D47" s="619">
        <f>168578780+15000000</f>
        <v>183578780</v>
      </c>
      <c r="E47" s="259"/>
      <c r="F47" s="259"/>
      <c r="G47" s="96"/>
    </row>
    <row r="48" spans="1:7" ht="16.5" thickTop="1" thickBot="1" x14ac:dyDescent="0.3">
      <c r="A48" s="616">
        <v>18010700</v>
      </c>
      <c r="B48" s="623" t="s">
        <v>73</v>
      </c>
      <c r="C48" s="618">
        <f t="shared" si="0"/>
        <v>4500800</v>
      </c>
      <c r="D48" s="619">
        <v>4500800</v>
      </c>
      <c r="E48" s="259"/>
      <c r="F48" s="259"/>
      <c r="G48" s="96"/>
    </row>
    <row r="49" spans="1:7" ht="16.5" thickTop="1" thickBot="1" x14ac:dyDescent="0.3">
      <c r="A49" s="616">
        <v>18010900</v>
      </c>
      <c r="B49" s="623" t="s">
        <v>74</v>
      </c>
      <c r="C49" s="618">
        <f t="shared" si="0"/>
        <v>49650120</v>
      </c>
      <c r="D49" s="619">
        <v>49650120</v>
      </c>
      <c r="E49" s="259"/>
      <c r="F49" s="259"/>
      <c r="G49" s="96"/>
    </row>
    <row r="50" spans="1:7" ht="15.75" thickTop="1" thickBot="1" x14ac:dyDescent="0.25">
      <c r="A50" s="616">
        <v>18011000</v>
      </c>
      <c r="B50" s="623" t="s">
        <v>75</v>
      </c>
      <c r="C50" s="618">
        <f t="shared" si="0"/>
        <v>1000000</v>
      </c>
      <c r="D50" s="619">
        <v>1000000</v>
      </c>
      <c r="E50" s="259"/>
      <c r="F50" s="259"/>
      <c r="G50" s="97"/>
    </row>
    <row r="51" spans="1:7" ht="16.5" thickTop="1" thickBot="1" x14ac:dyDescent="0.3">
      <c r="A51" s="616">
        <v>18011100</v>
      </c>
      <c r="B51" s="623" t="s">
        <v>76</v>
      </c>
      <c r="C51" s="618">
        <f t="shared" si="0"/>
        <v>605800</v>
      </c>
      <c r="D51" s="619">
        <v>605800</v>
      </c>
      <c r="E51" s="259"/>
      <c r="F51" s="259"/>
      <c r="G51" s="96"/>
    </row>
    <row r="52" spans="1:7" ht="28.5" thickTop="1" thickBot="1" x14ac:dyDescent="0.3">
      <c r="A52" s="620">
        <v>18020000</v>
      </c>
      <c r="B52" s="625" t="s">
        <v>1045</v>
      </c>
      <c r="C52" s="622">
        <f t="shared" si="0"/>
        <v>1615000</v>
      </c>
      <c r="D52" s="622">
        <f>SUM(D53,E53)</f>
        <v>1615000</v>
      </c>
      <c r="E52" s="256"/>
      <c r="F52" s="256"/>
      <c r="G52" s="96"/>
    </row>
    <row r="53" spans="1:7" ht="27" thickTop="1" thickBot="1" x14ac:dyDescent="0.3">
      <c r="A53" s="616">
        <v>180201000</v>
      </c>
      <c r="B53" s="623" t="s">
        <v>1046</v>
      </c>
      <c r="C53" s="618">
        <f t="shared" si="0"/>
        <v>1615000</v>
      </c>
      <c r="D53" s="619">
        <v>1615000</v>
      </c>
      <c r="E53" s="259"/>
      <c r="F53" s="259"/>
      <c r="G53" s="96"/>
    </row>
    <row r="54" spans="1:7" ht="16.5" thickTop="1" thickBot="1" x14ac:dyDescent="0.3">
      <c r="A54" s="620">
        <v>18030000</v>
      </c>
      <c r="B54" s="625" t="s">
        <v>77</v>
      </c>
      <c r="C54" s="622">
        <f>SUM(D54,E54)</f>
        <v>2515000</v>
      </c>
      <c r="D54" s="622">
        <f>SUM(D55:D56)</f>
        <v>2515000</v>
      </c>
      <c r="E54" s="256"/>
      <c r="F54" s="256"/>
      <c r="G54" s="96"/>
    </row>
    <row r="55" spans="1:7" ht="27" thickTop="1" thickBot="1" x14ac:dyDescent="0.3">
      <c r="A55" s="616">
        <v>18030100</v>
      </c>
      <c r="B55" s="623" t="s">
        <v>78</v>
      </c>
      <c r="C55" s="618">
        <f>SUM(D55,E55)</f>
        <v>1300000</v>
      </c>
      <c r="D55" s="619">
        <v>1300000</v>
      </c>
      <c r="E55" s="259"/>
      <c r="F55" s="259"/>
      <c r="G55" s="96"/>
    </row>
    <row r="56" spans="1:7" ht="27" thickTop="1" thickBot="1" x14ac:dyDescent="0.3">
      <c r="A56" s="616">
        <v>18030200</v>
      </c>
      <c r="B56" s="623" t="s">
        <v>79</v>
      </c>
      <c r="C56" s="618">
        <f>SUM(D56,E56)</f>
        <v>1215000</v>
      </c>
      <c r="D56" s="619">
        <v>1215000</v>
      </c>
      <c r="E56" s="259"/>
      <c r="F56" s="259"/>
      <c r="G56" s="96"/>
    </row>
    <row r="57" spans="1:7" ht="16.5" thickTop="1" thickBot="1" x14ac:dyDescent="0.3">
      <c r="A57" s="620">
        <v>18050000</v>
      </c>
      <c r="B57" s="625" t="s">
        <v>80</v>
      </c>
      <c r="C57" s="622">
        <f>SUM(D57,E57)</f>
        <v>899970185</v>
      </c>
      <c r="D57" s="622">
        <f>SUM(D58:D60)</f>
        <v>899970185</v>
      </c>
      <c r="E57" s="261"/>
      <c r="F57" s="261"/>
      <c r="G57" s="96"/>
    </row>
    <row r="58" spans="1:7" ht="16.5" thickTop="1" thickBot="1" x14ac:dyDescent="0.3">
      <c r="A58" s="616">
        <v>18050300</v>
      </c>
      <c r="B58" s="617" t="s">
        <v>963</v>
      </c>
      <c r="C58" s="618">
        <f t="shared" si="0"/>
        <v>145650185</v>
      </c>
      <c r="D58" s="619">
        <v>145650185</v>
      </c>
      <c r="E58" s="259"/>
      <c r="F58" s="259"/>
      <c r="G58" s="96"/>
    </row>
    <row r="59" spans="1:7" ht="15.75" thickTop="1" thickBot="1" x14ac:dyDescent="0.25">
      <c r="A59" s="616">
        <v>18050400</v>
      </c>
      <c r="B59" s="623" t="s">
        <v>81</v>
      </c>
      <c r="C59" s="618">
        <f t="shared" si="0"/>
        <v>748820000</v>
      </c>
      <c r="D59" s="619">
        <f>707570000+41250000</f>
        <v>748820000</v>
      </c>
      <c r="E59" s="259"/>
      <c r="F59" s="259"/>
      <c r="G59" s="97"/>
    </row>
    <row r="60" spans="1:7" ht="65.25" thickTop="1" thickBot="1" x14ac:dyDescent="0.25">
      <c r="A60" s="616">
        <v>18050500</v>
      </c>
      <c r="B60" s="623" t="s">
        <v>517</v>
      </c>
      <c r="C60" s="618">
        <f t="shared" si="0"/>
        <v>5500000</v>
      </c>
      <c r="D60" s="619">
        <v>5500000</v>
      </c>
      <c r="E60" s="259"/>
      <c r="F60" s="259"/>
      <c r="G60" s="97"/>
    </row>
    <row r="61" spans="1:7" ht="31.7" customHeight="1" thickTop="1" thickBot="1" x14ac:dyDescent="0.25">
      <c r="A61" s="375">
        <v>19000000</v>
      </c>
      <c r="B61" s="628" t="s">
        <v>510</v>
      </c>
      <c r="C61" s="618">
        <f t="shared" si="0"/>
        <v>2500000</v>
      </c>
      <c r="D61" s="618"/>
      <c r="E61" s="618">
        <f>SUM(E63:E65)</f>
        <v>2500000</v>
      </c>
      <c r="F61" s="259"/>
      <c r="G61" s="97"/>
    </row>
    <row r="62" spans="1:7" ht="16.5" thickTop="1" thickBot="1" x14ac:dyDescent="0.3">
      <c r="A62" s="620">
        <v>1901000</v>
      </c>
      <c r="B62" s="621" t="s">
        <v>82</v>
      </c>
      <c r="C62" s="622">
        <f t="shared" si="0"/>
        <v>2500000</v>
      </c>
      <c r="D62" s="622">
        <f>SUM(D63:D65)</f>
        <v>0</v>
      </c>
      <c r="E62" s="622">
        <f>SUM(E63:E65)</f>
        <v>2500000</v>
      </c>
      <c r="F62" s="256"/>
      <c r="G62" s="96"/>
    </row>
    <row r="63" spans="1:7" ht="52.5" thickTop="1" thickBot="1" x14ac:dyDescent="0.3">
      <c r="A63" s="616">
        <v>19010100</v>
      </c>
      <c r="B63" s="617" t="s">
        <v>511</v>
      </c>
      <c r="C63" s="618">
        <f t="shared" si="0"/>
        <v>300000</v>
      </c>
      <c r="D63" s="619"/>
      <c r="E63" s="619">
        <v>300000</v>
      </c>
      <c r="F63" s="259"/>
      <c r="G63" s="96"/>
    </row>
    <row r="64" spans="1:7" ht="27" thickTop="1" thickBot="1" x14ac:dyDescent="0.25">
      <c r="A64" s="616">
        <v>19010200</v>
      </c>
      <c r="B64" s="617" t="s">
        <v>1134</v>
      </c>
      <c r="C64" s="618">
        <f t="shared" si="0"/>
        <v>900000</v>
      </c>
      <c r="D64" s="619"/>
      <c r="E64" s="619">
        <v>900000</v>
      </c>
      <c r="F64" s="259"/>
      <c r="G64" s="99"/>
    </row>
    <row r="65" spans="1:7" ht="52.5" thickTop="1" thickBot="1" x14ac:dyDescent="0.3">
      <c r="A65" s="616">
        <v>19010300</v>
      </c>
      <c r="B65" s="617" t="s">
        <v>1135</v>
      </c>
      <c r="C65" s="618">
        <f t="shared" si="0"/>
        <v>1300000</v>
      </c>
      <c r="D65" s="619"/>
      <c r="E65" s="619">
        <v>1300000</v>
      </c>
      <c r="F65" s="259"/>
      <c r="G65" s="96"/>
    </row>
    <row r="66" spans="1:7" ht="30" customHeight="1" thickTop="1" thickBot="1" x14ac:dyDescent="0.3">
      <c r="A66" s="629">
        <v>20000000</v>
      </c>
      <c r="B66" s="629" t="s">
        <v>83</v>
      </c>
      <c r="C66" s="630">
        <f t="shared" si="0"/>
        <v>423520769</v>
      </c>
      <c r="D66" s="630">
        <f>SUM(D67,D77,D90,D95)+D89</f>
        <v>128673361</v>
      </c>
      <c r="E66" s="630">
        <f>SUM(E67,E77,E90,E95)+E89</f>
        <v>294847408</v>
      </c>
      <c r="F66" s="630">
        <f>SUM(F67,F77,F90,F95)+F89</f>
        <v>1182024</v>
      </c>
      <c r="G66" s="96"/>
    </row>
    <row r="67" spans="1:7" ht="27" thickTop="1" thickBot="1" x14ac:dyDescent="0.3">
      <c r="A67" s="375">
        <v>21000000</v>
      </c>
      <c r="B67" s="375" t="s">
        <v>512</v>
      </c>
      <c r="C67" s="618">
        <f>SUM(D67,E67)</f>
        <v>48565000</v>
      </c>
      <c r="D67" s="618">
        <f>SUM(D68,D71,D70)</f>
        <v>48565000</v>
      </c>
      <c r="E67" s="255"/>
      <c r="F67" s="255"/>
      <c r="G67" s="96"/>
    </row>
    <row r="68" spans="1:7" ht="55.5" thickTop="1" thickBot="1" x14ac:dyDescent="0.3">
      <c r="A68" s="620">
        <v>21010000</v>
      </c>
      <c r="B68" s="625" t="s">
        <v>513</v>
      </c>
      <c r="C68" s="622">
        <f t="shared" si="0"/>
        <v>1520000</v>
      </c>
      <c r="D68" s="622">
        <f>D69</f>
        <v>1520000</v>
      </c>
      <c r="E68" s="256"/>
      <c r="F68" s="256"/>
      <c r="G68" s="96"/>
    </row>
    <row r="69" spans="1:7" ht="52.5" thickTop="1" thickBot="1" x14ac:dyDescent="0.3">
      <c r="A69" s="616">
        <v>21010300</v>
      </c>
      <c r="B69" s="623" t="s">
        <v>1212</v>
      </c>
      <c r="C69" s="618">
        <f t="shared" si="0"/>
        <v>1520000</v>
      </c>
      <c r="D69" s="619">
        <v>1520000</v>
      </c>
      <c r="E69" s="259"/>
      <c r="F69" s="259"/>
      <c r="G69" s="96"/>
    </row>
    <row r="70" spans="1:7" ht="28.5" hidden="1" thickTop="1" thickBot="1" x14ac:dyDescent="0.3">
      <c r="A70" s="327">
        <v>21050000</v>
      </c>
      <c r="B70" s="328" t="s">
        <v>84</v>
      </c>
      <c r="C70" s="256">
        <f t="shared" si="0"/>
        <v>0</v>
      </c>
      <c r="D70" s="256">
        <v>0</v>
      </c>
      <c r="E70" s="256"/>
      <c r="F70" s="256"/>
      <c r="G70" s="96"/>
    </row>
    <row r="71" spans="1:7" ht="15" thickTop="1" thickBot="1" x14ac:dyDescent="0.25">
      <c r="A71" s="620">
        <v>21080000</v>
      </c>
      <c r="B71" s="625" t="s">
        <v>964</v>
      </c>
      <c r="C71" s="622">
        <f>SUM(D71,E71)</f>
        <v>47045000</v>
      </c>
      <c r="D71" s="622">
        <f>SUM(D72:D76)</f>
        <v>47045000</v>
      </c>
      <c r="E71" s="256"/>
      <c r="F71" s="256"/>
      <c r="G71" s="99"/>
    </row>
    <row r="72" spans="1:7" ht="16.5" thickTop="1" thickBot="1" x14ac:dyDescent="0.3">
      <c r="A72" s="616">
        <v>21081100</v>
      </c>
      <c r="B72" s="631" t="s">
        <v>85</v>
      </c>
      <c r="C72" s="618">
        <f t="shared" ref="C72:C108" si="2">SUM(D72,E72)</f>
        <v>25500000</v>
      </c>
      <c r="D72" s="619">
        <f>15500000+10000000</f>
        <v>25500000</v>
      </c>
      <c r="E72" s="259"/>
      <c r="F72" s="259"/>
      <c r="G72" s="96"/>
    </row>
    <row r="73" spans="1:7" ht="90.75" thickTop="1" thickBot="1" x14ac:dyDescent="0.3">
      <c r="A73" s="616">
        <v>21081500</v>
      </c>
      <c r="B73" s="617" t="s">
        <v>1384</v>
      </c>
      <c r="C73" s="618">
        <f t="shared" si="2"/>
        <v>1100000</v>
      </c>
      <c r="D73" s="619">
        <v>1100000</v>
      </c>
      <c r="E73" s="259"/>
      <c r="F73" s="259"/>
      <c r="G73" s="96"/>
    </row>
    <row r="74" spans="1:7" ht="16.5" thickTop="1" thickBot="1" x14ac:dyDescent="0.3">
      <c r="A74" s="616">
        <v>21081700</v>
      </c>
      <c r="B74" s="617" t="s">
        <v>364</v>
      </c>
      <c r="C74" s="618">
        <f t="shared" si="2"/>
        <v>19600000</v>
      </c>
      <c r="D74" s="619">
        <v>19600000</v>
      </c>
      <c r="E74" s="259"/>
      <c r="F74" s="259"/>
      <c r="G74" s="100"/>
    </row>
    <row r="75" spans="1:7" ht="52.5" thickTop="1" thickBot="1" x14ac:dyDescent="0.3">
      <c r="A75" s="616">
        <v>21081800</v>
      </c>
      <c r="B75" s="617" t="s">
        <v>1291</v>
      </c>
      <c r="C75" s="618">
        <f t="shared" si="2"/>
        <v>775000</v>
      </c>
      <c r="D75" s="619">
        <v>775000</v>
      </c>
      <c r="E75" s="259"/>
      <c r="F75" s="259"/>
      <c r="G75" s="100"/>
    </row>
    <row r="76" spans="1:7" ht="78" thickTop="1" thickBot="1" x14ac:dyDescent="0.3">
      <c r="A76" s="616">
        <v>21082400</v>
      </c>
      <c r="B76" s="617" t="s">
        <v>1292</v>
      </c>
      <c r="C76" s="618">
        <f t="shared" si="2"/>
        <v>70000</v>
      </c>
      <c r="D76" s="619">
        <v>70000</v>
      </c>
      <c r="E76" s="259"/>
      <c r="F76" s="259"/>
      <c r="G76" s="100"/>
    </row>
    <row r="77" spans="1:7" ht="27" thickTop="1" thickBot="1" x14ac:dyDescent="0.3">
      <c r="A77" s="375">
        <v>22000000</v>
      </c>
      <c r="B77" s="375" t="s">
        <v>86</v>
      </c>
      <c r="C77" s="618">
        <f t="shared" si="2"/>
        <v>68503671</v>
      </c>
      <c r="D77" s="618">
        <f>SUM(D78,D84,D86,D82)</f>
        <v>68503671</v>
      </c>
      <c r="E77" s="259"/>
      <c r="F77" s="259"/>
      <c r="G77" s="96"/>
    </row>
    <row r="78" spans="1:7" ht="24.75" customHeight="1" thickTop="1" thickBot="1" x14ac:dyDescent="0.3">
      <c r="A78" s="620">
        <v>22010000</v>
      </c>
      <c r="B78" s="621" t="s">
        <v>514</v>
      </c>
      <c r="C78" s="622">
        <f t="shared" si="2"/>
        <v>43250071</v>
      </c>
      <c r="D78" s="622">
        <f>SUM(D79:D81)</f>
        <v>43250071</v>
      </c>
      <c r="E78" s="256"/>
      <c r="F78" s="256"/>
      <c r="G78" s="96"/>
    </row>
    <row r="79" spans="1:7" ht="52.5" thickTop="1" thickBot="1" x14ac:dyDescent="0.3">
      <c r="A79" s="616">
        <v>22010300</v>
      </c>
      <c r="B79" s="617" t="s">
        <v>1385</v>
      </c>
      <c r="C79" s="618">
        <f t="shared" si="2"/>
        <v>1265100</v>
      </c>
      <c r="D79" s="619">
        <v>1265100</v>
      </c>
      <c r="E79" s="259"/>
      <c r="F79" s="259"/>
      <c r="G79" s="96"/>
    </row>
    <row r="80" spans="1:7" ht="16.5" thickTop="1" thickBot="1" x14ac:dyDescent="0.3">
      <c r="A80" s="616">
        <v>22012500</v>
      </c>
      <c r="B80" s="617" t="s">
        <v>88</v>
      </c>
      <c r="C80" s="618">
        <f t="shared" si="2"/>
        <v>38634750</v>
      </c>
      <c r="D80" s="619">
        <v>38634750</v>
      </c>
      <c r="E80" s="259"/>
      <c r="F80" s="259"/>
      <c r="G80" s="96"/>
    </row>
    <row r="81" spans="1:7" ht="27" thickTop="1" thickBot="1" x14ac:dyDescent="0.3">
      <c r="A81" s="616">
        <v>22012600</v>
      </c>
      <c r="B81" s="617" t="s">
        <v>87</v>
      </c>
      <c r="C81" s="618">
        <f>SUM(D81,E81)</f>
        <v>3350221</v>
      </c>
      <c r="D81" s="619">
        <v>3350221</v>
      </c>
      <c r="E81" s="259"/>
      <c r="F81" s="259"/>
      <c r="G81" s="96"/>
    </row>
    <row r="82" spans="1:7" ht="42" thickTop="1" thickBot="1" x14ac:dyDescent="0.3">
      <c r="A82" s="620">
        <v>22020000</v>
      </c>
      <c r="B82" s="621" t="s">
        <v>1332</v>
      </c>
      <c r="C82" s="622">
        <f t="shared" ref="C82" si="3">SUM(D82,E82)</f>
        <v>1005000</v>
      </c>
      <c r="D82" s="622">
        <f>SUM(D83)</f>
        <v>1005000</v>
      </c>
      <c r="E82" s="256"/>
      <c r="F82" s="256"/>
      <c r="G82" s="96"/>
    </row>
    <row r="83" spans="1:7" ht="39.75" thickTop="1" thickBot="1" x14ac:dyDescent="0.3">
      <c r="A83" s="616">
        <v>22020400</v>
      </c>
      <c r="B83" s="617" t="s">
        <v>1333</v>
      </c>
      <c r="C83" s="618">
        <f>SUM(D83,E83)</f>
        <v>1005000</v>
      </c>
      <c r="D83" s="619">
        <v>1005000</v>
      </c>
      <c r="E83" s="259"/>
      <c r="F83" s="259"/>
      <c r="G83" s="96"/>
    </row>
    <row r="84" spans="1:7" ht="42" thickTop="1" thickBot="1" x14ac:dyDescent="0.3">
      <c r="A84" s="620">
        <v>2208000</v>
      </c>
      <c r="B84" s="621" t="s">
        <v>515</v>
      </c>
      <c r="C84" s="622">
        <f t="shared" si="2"/>
        <v>22848600</v>
      </c>
      <c r="D84" s="622">
        <f>D85</f>
        <v>22848600</v>
      </c>
      <c r="E84" s="256"/>
      <c r="F84" s="256"/>
      <c r="G84" s="96"/>
    </row>
    <row r="85" spans="1:7" ht="52.5" thickTop="1" thickBot="1" x14ac:dyDescent="0.3">
      <c r="A85" s="616">
        <v>22080400</v>
      </c>
      <c r="B85" s="631" t="s">
        <v>89</v>
      </c>
      <c r="C85" s="618">
        <f t="shared" si="2"/>
        <v>22848600</v>
      </c>
      <c r="D85" s="619">
        <v>22848600</v>
      </c>
      <c r="E85" s="259"/>
      <c r="F85" s="259"/>
      <c r="G85" s="96"/>
    </row>
    <row r="86" spans="1:7" ht="16.5" thickTop="1" thickBot="1" x14ac:dyDescent="0.3">
      <c r="A86" s="620">
        <v>22090000</v>
      </c>
      <c r="B86" s="632" t="s">
        <v>90</v>
      </c>
      <c r="C86" s="622">
        <f t="shared" si="2"/>
        <v>1400000</v>
      </c>
      <c r="D86" s="622">
        <f>SUM(D87:D88)</f>
        <v>1400000</v>
      </c>
      <c r="E86" s="256"/>
      <c r="F86" s="256"/>
      <c r="G86" s="96"/>
    </row>
    <row r="87" spans="1:7" ht="52.5" thickTop="1" thickBot="1" x14ac:dyDescent="0.3">
      <c r="A87" s="616">
        <v>22090100</v>
      </c>
      <c r="B87" s="623" t="s">
        <v>91</v>
      </c>
      <c r="C87" s="618">
        <f t="shared" si="2"/>
        <v>1370000</v>
      </c>
      <c r="D87" s="619">
        <v>1370000</v>
      </c>
      <c r="E87" s="259"/>
      <c r="F87" s="259"/>
      <c r="G87" s="96"/>
    </row>
    <row r="88" spans="1:7" ht="39.75" thickTop="1" thickBot="1" x14ac:dyDescent="0.25">
      <c r="A88" s="616">
        <v>22090400</v>
      </c>
      <c r="B88" s="623" t="s">
        <v>92</v>
      </c>
      <c r="C88" s="618">
        <f t="shared" si="2"/>
        <v>30000</v>
      </c>
      <c r="D88" s="619">
        <v>30000</v>
      </c>
      <c r="E88" s="259"/>
      <c r="F88" s="259"/>
      <c r="G88" s="98"/>
    </row>
    <row r="89" spans="1:7" ht="78" thickTop="1" thickBot="1" x14ac:dyDescent="0.25">
      <c r="A89" s="375">
        <v>22130000</v>
      </c>
      <c r="B89" s="633" t="s">
        <v>1293</v>
      </c>
      <c r="C89" s="618">
        <f t="shared" si="2"/>
        <v>104690</v>
      </c>
      <c r="D89" s="618">
        <v>104690</v>
      </c>
      <c r="E89" s="255"/>
      <c r="F89" s="255"/>
      <c r="G89" s="98"/>
    </row>
    <row r="90" spans="1:7" ht="20.25" customHeight="1" thickTop="1" thickBot="1" x14ac:dyDescent="0.3">
      <c r="A90" s="375">
        <v>24000000</v>
      </c>
      <c r="B90" s="633" t="s">
        <v>93</v>
      </c>
      <c r="C90" s="618">
        <f t="shared" si="2"/>
        <v>12682024</v>
      </c>
      <c r="D90" s="618">
        <f>D91+D92+D94+D93</f>
        <v>11500000</v>
      </c>
      <c r="E90" s="618">
        <f>E91+E92+E94+E93</f>
        <v>1182024</v>
      </c>
      <c r="F90" s="618">
        <f>F91+F92+F94+F93</f>
        <v>1182024</v>
      </c>
      <c r="G90" s="96"/>
    </row>
    <row r="91" spans="1:7" ht="16.5" thickTop="1" thickBot="1" x14ac:dyDescent="0.3">
      <c r="A91" s="616">
        <v>24060300</v>
      </c>
      <c r="B91" s="617" t="s">
        <v>94</v>
      </c>
      <c r="C91" s="618">
        <f t="shared" si="2"/>
        <v>10000000</v>
      </c>
      <c r="D91" s="619">
        <v>10000000</v>
      </c>
      <c r="E91" s="259"/>
      <c r="F91" s="259"/>
      <c r="G91" s="96"/>
    </row>
    <row r="92" spans="1:7" ht="65.25" thickTop="1" thickBot="1" x14ac:dyDescent="0.3">
      <c r="A92" s="616">
        <v>24062200</v>
      </c>
      <c r="B92" s="617" t="s">
        <v>365</v>
      </c>
      <c r="C92" s="618">
        <f t="shared" si="2"/>
        <v>1500000</v>
      </c>
      <c r="D92" s="619">
        <v>1500000</v>
      </c>
      <c r="E92" s="259"/>
      <c r="F92" s="259"/>
      <c r="G92" s="96"/>
    </row>
    <row r="93" spans="1:7" ht="39.75" thickTop="1" thickBot="1" x14ac:dyDescent="0.3">
      <c r="A93" s="616">
        <v>24110700</v>
      </c>
      <c r="B93" s="634" t="s">
        <v>563</v>
      </c>
      <c r="C93" s="618">
        <f t="shared" si="2"/>
        <v>24</v>
      </c>
      <c r="D93" s="619"/>
      <c r="E93" s="619">
        <v>24</v>
      </c>
      <c r="F93" s="619">
        <v>24</v>
      </c>
      <c r="G93" s="96"/>
    </row>
    <row r="94" spans="1:7" ht="27" thickTop="1" thickBot="1" x14ac:dyDescent="0.25">
      <c r="A94" s="616">
        <v>24170000</v>
      </c>
      <c r="B94" s="623" t="s">
        <v>95</v>
      </c>
      <c r="C94" s="618">
        <f t="shared" si="2"/>
        <v>1182000</v>
      </c>
      <c r="D94" s="619"/>
      <c r="E94" s="619">
        <v>1182000</v>
      </c>
      <c r="F94" s="619">
        <v>1182000</v>
      </c>
      <c r="G94" s="97"/>
    </row>
    <row r="95" spans="1:7" ht="16.5" thickTop="1" thickBot="1" x14ac:dyDescent="0.3">
      <c r="A95" s="375">
        <v>25000000</v>
      </c>
      <c r="B95" s="635" t="s">
        <v>96</v>
      </c>
      <c r="C95" s="618">
        <f t="shared" si="2"/>
        <v>293665384</v>
      </c>
      <c r="D95" s="618">
        <f>SUM(D96:D100,)</f>
        <v>0</v>
      </c>
      <c r="E95" s="618">
        <f>SUM(E96)</f>
        <v>293665384</v>
      </c>
      <c r="F95" s="255"/>
      <c r="G95" s="96"/>
    </row>
    <row r="96" spans="1:7" ht="42" thickTop="1" thickBot="1" x14ac:dyDescent="0.3">
      <c r="A96" s="620">
        <v>25010000</v>
      </c>
      <c r="B96" s="625" t="s">
        <v>97</v>
      </c>
      <c r="C96" s="622">
        <f t="shared" si="2"/>
        <v>293665384</v>
      </c>
      <c r="D96" s="622">
        <v>0</v>
      </c>
      <c r="E96" s="622">
        <f>SUM(E97:E100)</f>
        <v>293665384</v>
      </c>
      <c r="F96" s="256"/>
      <c r="G96" s="96"/>
    </row>
    <row r="97" spans="1:7" ht="27" thickTop="1" thickBot="1" x14ac:dyDescent="0.3">
      <c r="A97" s="616">
        <v>25010100</v>
      </c>
      <c r="B97" s="623" t="s">
        <v>98</v>
      </c>
      <c r="C97" s="618">
        <f t="shared" si="2"/>
        <v>274519704</v>
      </c>
      <c r="D97" s="619"/>
      <c r="E97" s="619">
        <f>266049738+8469966</f>
        <v>274519704</v>
      </c>
      <c r="F97" s="259"/>
      <c r="G97" s="96"/>
    </row>
    <row r="98" spans="1:7" ht="27" thickTop="1" thickBot="1" x14ac:dyDescent="0.3">
      <c r="A98" s="616">
        <v>25010200</v>
      </c>
      <c r="B98" s="623" t="s">
        <v>99</v>
      </c>
      <c r="C98" s="618">
        <f t="shared" si="2"/>
        <v>13218390</v>
      </c>
      <c r="D98" s="619"/>
      <c r="E98" s="619">
        <v>13218390</v>
      </c>
      <c r="F98" s="259"/>
      <c r="G98" s="96"/>
    </row>
    <row r="99" spans="1:7" ht="16.5" thickTop="1" thickBot="1" x14ac:dyDescent="0.3">
      <c r="A99" s="616">
        <v>25010300</v>
      </c>
      <c r="B99" s="623" t="s">
        <v>100</v>
      </c>
      <c r="C99" s="618">
        <f t="shared" si="2"/>
        <v>5856720</v>
      </c>
      <c r="D99" s="619"/>
      <c r="E99" s="619">
        <v>5856720</v>
      </c>
      <c r="F99" s="259"/>
      <c r="G99" s="96"/>
    </row>
    <row r="100" spans="1:7" ht="39.75" thickTop="1" thickBot="1" x14ac:dyDescent="0.3">
      <c r="A100" s="616">
        <v>25010400</v>
      </c>
      <c r="B100" s="623" t="s">
        <v>101</v>
      </c>
      <c r="C100" s="618">
        <f t="shared" si="2"/>
        <v>70570</v>
      </c>
      <c r="D100" s="619"/>
      <c r="E100" s="619">
        <v>70570</v>
      </c>
      <c r="F100" s="259"/>
      <c r="G100" s="96"/>
    </row>
    <row r="101" spans="1:7" ht="24.75" customHeight="1" thickTop="1" thickBot="1" x14ac:dyDescent="0.25">
      <c r="A101" s="629">
        <v>30000000</v>
      </c>
      <c r="B101" s="629" t="s">
        <v>102</v>
      </c>
      <c r="C101" s="630">
        <f>SUM(D101,E101)</f>
        <v>20278126</v>
      </c>
      <c r="D101" s="630">
        <f>SUM(D102)+D106</f>
        <v>35000</v>
      </c>
      <c r="E101" s="630">
        <f>SUM(E102)+E106</f>
        <v>20243126</v>
      </c>
      <c r="F101" s="630">
        <f>SUM(F102)+F106</f>
        <v>20243126</v>
      </c>
      <c r="G101" s="98"/>
    </row>
    <row r="102" spans="1:7" ht="27" customHeight="1" thickTop="1" thickBot="1" x14ac:dyDescent="0.3">
      <c r="A102" s="375">
        <v>31000000</v>
      </c>
      <c r="B102" s="375" t="s">
        <v>103</v>
      </c>
      <c r="C102" s="618">
        <f>SUM(D102,E102)</f>
        <v>2735000</v>
      </c>
      <c r="D102" s="618">
        <f>D103+D105</f>
        <v>35000</v>
      </c>
      <c r="E102" s="618">
        <f>E103+E105</f>
        <v>2700000</v>
      </c>
      <c r="F102" s="618">
        <f>F103+F105</f>
        <v>2700000</v>
      </c>
      <c r="G102" s="96"/>
    </row>
    <row r="103" spans="1:7" ht="82.5" thickTop="1" thickBot="1" x14ac:dyDescent="0.3">
      <c r="A103" s="620">
        <v>3101000</v>
      </c>
      <c r="B103" s="621" t="s">
        <v>516</v>
      </c>
      <c r="C103" s="622">
        <f>SUM(D103,E103)</f>
        <v>35000</v>
      </c>
      <c r="D103" s="622">
        <f>D104</f>
        <v>35000</v>
      </c>
      <c r="E103" s="256"/>
      <c r="F103" s="256"/>
      <c r="G103" s="96"/>
    </row>
    <row r="104" spans="1:7" ht="78" thickTop="1" thickBot="1" x14ac:dyDescent="0.3">
      <c r="A104" s="616">
        <v>31010200</v>
      </c>
      <c r="B104" s="623" t="s">
        <v>104</v>
      </c>
      <c r="C104" s="618">
        <f>SUM(D104,E104)</f>
        <v>35000</v>
      </c>
      <c r="D104" s="619">
        <v>35000</v>
      </c>
      <c r="E104" s="259"/>
      <c r="F104" s="259"/>
      <c r="G104" s="96"/>
    </row>
    <row r="105" spans="1:7" ht="55.5" thickTop="1" thickBot="1" x14ac:dyDescent="0.3">
      <c r="A105" s="620">
        <v>31030000</v>
      </c>
      <c r="B105" s="625" t="s">
        <v>105</v>
      </c>
      <c r="C105" s="622">
        <f t="shared" si="2"/>
        <v>2700000</v>
      </c>
      <c r="D105" s="622"/>
      <c r="E105" s="622">
        <v>2700000</v>
      </c>
      <c r="F105" s="622">
        <v>2700000</v>
      </c>
      <c r="G105" s="96"/>
    </row>
    <row r="106" spans="1:7" ht="27" thickTop="1" thickBot="1" x14ac:dyDescent="0.3">
      <c r="A106" s="375">
        <v>33000000</v>
      </c>
      <c r="B106" s="375" t="s">
        <v>106</v>
      </c>
      <c r="C106" s="618">
        <f t="shared" si="2"/>
        <v>17543126</v>
      </c>
      <c r="D106" s="618">
        <f>SUM(D107)</f>
        <v>0</v>
      </c>
      <c r="E106" s="618">
        <f>SUM(E107)</f>
        <v>17543126</v>
      </c>
      <c r="F106" s="618">
        <f>SUM(F107)</f>
        <v>17543126</v>
      </c>
      <c r="G106" s="96"/>
    </row>
    <row r="107" spans="1:7" ht="16.5" thickTop="1" thickBot="1" x14ac:dyDescent="0.3">
      <c r="A107" s="620">
        <v>33010000</v>
      </c>
      <c r="B107" s="621" t="s">
        <v>107</v>
      </c>
      <c r="C107" s="622">
        <f>SUM(D107,E107)</f>
        <v>17543126</v>
      </c>
      <c r="D107" s="622">
        <f>SUM(D108:D110)</f>
        <v>0</v>
      </c>
      <c r="E107" s="622">
        <f>SUM(E108:E110)</f>
        <v>17543126</v>
      </c>
      <c r="F107" s="622">
        <f>SUM(F108:F110)</f>
        <v>17543126</v>
      </c>
      <c r="G107" s="96"/>
    </row>
    <row r="108" spans="1:7" ht="52.5" thickTop="1" thickBot="1" x14ac:dyDescent="0.3">
      <c r="A108" s="616">
        <v>33010100</v>
      </c>
      <c r="B108" s="623" t="s">
        <v>334</v>
      </c>
      <c r="C108" s="618">
        <f t="shared" si="2"/>
        <v>16896670</v>
      </c>
      <c r="D108" s="619"/>
      <c r="E108" s="619">
        <v>16896670</v>
      </c>
      <c r="F108" s="619">
        <v>16896670</v>
      </c>
      <c r="G108" s="96"/>
    </row>
    <row r="109" spans="1:7" ht="52.5" thickTop="1" thickBot="1" x14ac:dyDescent="0.3">
      <c r="A109" s="616">
        <v>33010200</v>
      </c>
      <c r="B109" s="623" t="s">
        <v>108</v>
      </c>
      <c r="C109" s="618">
        <f>SUM(D109,E109)</f>
        <v>646456</v>
      </c>
      <c r="D109" s="619"/>
      <c r="E109" s="619">
        <v>646456</v>
      </c>
      <c r="F109" s="619">
        <v>646456</v>
      </c>
      <c r="G109" s="96"/>
    </row>
    <row r="110" spans="1:7" ht="65.25" hidden="1" thickTop="1" thickBot="1" x14ac:dyDescent="0.3">
      <c r="A110" s="257">
        <v>33010500</v>
      </c>
      <c r="B110" s="260" t="s">
        <v>1213</v>
      </c>
      <c r="C110" s="255">
        <f>SUM(D110,E110)</f>
        <v>0</v>
      </c>
      <c r="D110" s="259"/>
      <c r="E110" s="259">
        <v>0</v>
      </c>
      <c r="F110" s="259">
        <v>0</v>
      </c>
      <c r="G110" s="96"/>
    </row>
    <row r="111" spans="1:7" ht="27" customHeight="1" thickTop="1" thickBot="1" x14ac:dyDescent="0.3">
      <c r="A111" s="629">
        <v>50000000</v>
      </c>
      <c r="B111" s="629" t="s">
        <v>471</v>
      </c>
      <c r="C111" s="630">
        <f>SUM(D111,E111)</f>
        <v>7105000</v>
      </c>
      <c r="D111" s="630">
        <f>SUM(D112)</f>
        <v>0</v>
      </c>
      <c r="E111" s="630">
        <f>SUM(E112)</f>
        <v>7105000</v>
      </c>
      <c r="F111" s="630">
        <f>SUM(F112)</f>
        <v>0</v>
      </c>
      <c r="G111" s="96"/>
    </row>
    <row r="112" spans="1:7" ht="52.5" thickTop="1" thickBot="1" x14ac:dyDescent="0.3">
      <c r="A112" s="375">
        <v>50110000</v>
      </c>
      <c r="B112" s="628" t="s">
        <v>109</v>
      </c>
      <c r="C112" s="618">
        <f t="shared" ref="C112:C155" si="4">SUM(D112,E112)</f>
        <v>7105000</v>
      </c>
      <c r="D112" s="619"/>
      <c r="E112" s="618">
        <v>7105000</v>
      </c>
      <c r="F112" s="619"/>
      <c r="G112" s="96"/>
    </row>
    <row r="113" spans="1:10" ht="45.75" customHeight="1" thickTop="1" thickBot="1" x14ac:dyDescent="0.25">
      <c r="A113" s="637"/>
      <c r="B113" s="638" t="s">
        <v>472</v>
      </c>
      <c r="C113" s="636">
        <f t="shared" si="4"/>
        <v>4900581627</v>
      </c>
      <c r="D113" s="636">
        <f>D111+D101+D66+D15</f>
        <v>4575886093</v>
      </c>
      <c r="E113" s="636">
        <f>E111+E101+E66+E15</f>
        <v>324695534</v>
      </c>
      <c r="F113" s="636">
        <f>F111+F101+F66+F15</f>
        <v>21425150</v>
      </c>
      <c r="G113" s="97"/>
      <c r="H113" s="104">
        <f>C113-C111-C95-C62</f>
        <v>4597311243</v>
      </c>
    </row>
    <row r="114" spans="1:10" ht="15.75" thickTop="1" thickBot="1" x14ac:dyDescent="0.25">
      <c r="A114" s="629">
        <v>40000000</v>
      </c>
      <c r="B114" s="629" t="s">
        <v>416</v>
      </c>
      <c r="C114" s="630">
        <f>SUM(D114,E114)</f>
        <v>921951659</v>
      </c>
      <c r="D114" s="630">
        <f>SUM(D119,D115)</f>
        <v>921951659</v>
      </c>
      <c r="E114" s="630">
        <f>SUM(E119,E115)</f>
        <v>0</v>
      </c>
      <c r="F114" s="630">
        <f>SUM(F119,F115)</f>
        <v>0</v>
      </c>
      <c r="G114" s="97"/>
    </row>
    <row r="115" spans="1:10" ht="27" thickTop="1" thickBot="1" x14ac:dyDescent="0.25">
      <c r="A115" s="639"/>
      <c r="B115" s="640" t="s">
        <v>1165</v>
      </c>
      <c r="C115" s="641">
        <f>SUM(C116:C118)</f>
        <v>21976300</v>
      </c>
      <c r="D115" s="641">
        <f>SUM(D116:D118)</f>
        <v>21976300</v>
      </c>
      <c r="E115" s="641"/>
      <c r="F115" s="641"/>
      <c r="G115" s="97"/>
    </row>
    <row r="116" spans="1:10" ht="103.5" thickTop="1" thickBot="1" x14ac:dyDescent="0.25">
      <c r="A116" s="642">
        <v>41021400</v>
      </c>
      <c r="B116" s="643" t="s">
        <v>1167</v>
      </c>
      <c r="C116" s="641">
        <f t="shared" ref="C116" si="5">SUM(D116,E116)</f>
        <v>17727100</v>
      </c>
      <c r="D116" s="644">
        <v>17727100</v>
      </c>
      <c r="E116" s="641"/>
      <c r="F116" s="641"/>
      <c r="G116" s="97"/>
    </row>
    <row r="117" spans="1:10" ht="65.25" thickTop="1" thickBot="1" x14ac:dyDescent="0.25">
      <c r="A117" s="642">
        <v>41040200</v>
      </c>
      <c r="B117" s="643" t="s">
        <v>1047</v>
      </c>
      <c r="C117" s="641">
        <f t="shared" si="4"/>
        <v>4249200</v>
      </c>
      <c r="D117" s="644">
        <v>4249200</v>
      </c>
      <c r="E117" s="255"/>
      <c r="F117" s="255"/>
      <c r="G117" s="97"/>
    </row>
    <row r="118" spans="1:10" ht="15.75" hidden="1" thickTop="1" thickBot="1" x14ac:dyDescent="0.25">
      <c r="A118" s="257">
        <v>41040400</v>
      </c>
      <c r="B118" s="260" t="s">
        <v>1096</v>
      </c>
      <c r="C118" s="255">
        <f t="shared" si="4"/>
        <v>0</v>
      </c>
      <c r="D118" s="259"/>
      <c r="E118" s="255"/>
      <c r="F118" s="255"/>
      <c r="G118" s="97"/>
    </row>
    <row r="119" spans="1:10" s="303" customFormat="1" ht="15.75" thickTop="1" thickBot="1" x14ac:dyDescent="0.25">
      <c r="A119" s="639">
        <v>41000000</v>
      </c>
      <c r="B119" s="639" t="s">
        <v>110</v>
      </c>
      <c r="C119" s="641">
        <f t="shared" si="4"/>
        <v>899975359</v>
      </c>
      <c r="D119" s="641">
        <f>SUM(D120,D133)</f>
        <v>899975359</v>
      </c>
      <c r="E119" s="641">
        <f>SUM(E120,E133)</f>
        <v>0</v>
      </c>
      <c r="F119" s="641">
        <f>SUM(F120,F133)</f>
        <v>0</v>
      </c>
      <c r="G119" s="97"/>
      <c r="H119" s="95"/>
      <c r="I119" s="95"/>
      <c r="J119" s="95"/>
    </row>
    <row r="120" spans="1:10" s="303" customFormat="1" ht="27" thickTop="1" thickBot="1" x14ac:dyDescent="0.3">
      <c r="A120" s="375">
        <v>41030000</v>
      </c>
      <c r="B120" s="635" t="s">
        <v>427</v>
      </c>
      <c r="C120" s="618">
        <f t="shared" si="4"/>
        <v>887182500</v>
      </c>
      <c r="D120" s="618">
        <f>SUM(D121:D132)</f>
        <v>887182500</v>
      </c>
      <c r="E120" s="618">
        <f>SUM(E121:E132)</f>
        <v>0</v>
      </c>
      <c r="F120" s="618">
        <f>SUM(F121:F132)</f>
        <v>0</v>
      </c>
      <c r="G120" s="96"/>
      <c r="H120" s="95"/>
      <c r="I120" s="95"/>
      <c r="J120" s="95"/>
    </row>
    <row r="121" spans="1:10" ht="39.75" thickTop="1" thickBot="1" x14ac:dyDescent="0.3">
      <c r="A121" s="616">
        <v>41031100</v>
      </c>
      <c r="B121" s="617" t="s">
        <v>1706</v>
      </c>
      <c r="C121" s="618">
        <f>SUM(D121,E121)</f>
        <v>58944400</v>
      </c>
      <c r="D121" s="619">
        <v>58944400</v>
      </c>
      <c r="E121" s="618"/>
      <c r="F121" s="619"/>
      <c r="G121" s="96"/>
    </row>
    <row r="122" spans="1:10" ht="52.5" hidden="1" thickTop="1" thickBot="1" x14ac:dyDescent="0.3">
      <c r="A122" s="257">
        <v>41032300</v>
      </c>
      <c r="B122" s="258" t="s">
        <v>920</v>
      </c>
      <c r="C122" s="255">
        <f>SUM(D122,E122)</f>
        <v>0</v>
      </c>
      <c r="D122" s="259">
        <v>0</v>
      </c>
      <c r="E122" s="255"/>
      <c r="F122" s="259"/>
      <c r="G122" s="96"/>
    </row>
    <row r="123" spans="1:10" ht="52.5" hidden="1" thickTop="1" thickBot="1" x14ac:dyDescent="0.3">
      <c r="A123" s="257">
        <v>41033300</v>
      </c>
      <c r="B123" s="258" t="s">
        <v>1348</v>
      </c>
      <c r="C123" s="255">
        <f t="shared" si="4"/>
        <v>0</v>
      </c>
      <c r="D123" s="259">
        <v>0</v>
      </c>
      <c r="E123" s="255"/>
      <c r="F123" s="259"/>
      <c r="G123" s="96"/>
    </row>
    <row r="124" spans="1:10" ht="52.5" hidden="1" thickTop="1" thickBot="1" x14ac:dyDescent="0.3">
      <c r="A124" s="257">
        <v>41033800</v>
      </c>
      <c r="B124" s="258" t="s">
        <v>965</v>
      </c>
      <c r="C124" s="255">
        <f t="shared" si="4"/>
        <v>0</v>
      </c>
      <c r="D124" s="259">
        <v>0</v>
      </c>
      <c r="E124" s="255"/>
      <c r="F124" s="259"/>
      <c r="G124" s="96"/>
    </row>
    <row r="125" spans="1:10" ht="33" customHeight="1" thickTop="1" thickBot="1" x14ac:dyDescent="0.3">
      <c r="A125" s="616">
        <v>41033900</v>
      </c>
      <c r="B125" s="617" t="s">
        <v>111</v>
      </c>
      <c r="C125" s="618">
        <f t="shared" si="4"/>
        <v>737961300</v>
      </c>
      <c r="D125" s="619">
        <v>737961300</v>
      </c>
      <c r="E125" s="259"/>
      <c r="F125" s="259"/>
      <c r="G125" s="96"/>
    </row>
    <row r="126" spans="1:10" ht="39.75" hidden="1" thickTop="1" thickBot="1" x14ac:dyDescent="0.3">
      <c r="A126" s="257">
        <v>41034500</v>
      </c>
      <c r="B126" s="258" t="s">
        <v>966</v>
      </c>
      <c r="C126" s="255">
        <f t="shared" si="4"/>
        <v>0</v>
      </c>
      <c r="D126" s="259">
        <v>0</v>
      </c>
      <c r="E126" s="259">
        <v>0</v>
      </c>
      <c r="F126" s="259">
        <v>0</v>
      </c>
      <c r="G126" s="96"/>
    </row>
    <row r="127" spans="1:10" ht="49.5" customHeight="1" thickTop="1" thickBot="1" x14ac:dyDescent="0.3">
      <c r="A127" s="616">
        <v>41035400</v>
      </c>
      <c r="B127" s="617" t="s">
        <v>1395</v>
      </c>
      <c r="C127" s="618">
        <f t="shared" si="4"/>
        <v>5194600</v>
      </c>
      <c r="D127" s="619">
        <v>5194600</v>
      </c>
      <c r="E127" s="619"/>
      <c r="F127" s="619"/>
      <c r="G127" s="96"/>
    </row>
    <row r="128" spans="1:10" ht="52.5" hidden="1" thickTop="1" thickBot="1" x14ac:dyDescent="0.3">
      <c r="A128" s="257">
        <v>41035500</v>
      </c>
      <c r="B128" s="258" t="s">
        <v>922</v>
      </c>
      <c r="C128" s="255">
        <f t="shared" si="4"/>
        <v>0</v>
      </c>
      <c r="D128" s="259">
        <v>0</v>
      </c>
      <c r="E128" s="259"/>
      <c r="F128" s="259"/>
      <c r="G128" s="96"/>
    </row>
    <row r="129" spans="1:10" ht="65.25" hidden="1" thickTop="1" thickBot="1" x14ac:dyDescent="0.3">
      <c r="A129" s="257">
        <v>41035600</v>
      </c>
      <c r="B129" s="258" t="s">
        <v>938</v>
      </c>
      <c r="C129" s="255">
        <f t="shared" si="4"/>
        <v>0</v>
      </c>
      <c r="D129" s="259">
        <v>0</v>
      </c>
      <c r="E129" s="259"/>
      <c r="F129" s="259"/>
      <c r="G129" s="96"/>
    </row>
    <row r="130" spans="1:10" ht="83.25" customHeight="1" thickTop="1" thickBot="1" x14ac:dyDescent="0.3">
      <c r="A130" s="616">
        <v>41036000</v>
      </c>
      <c r="B130" s="617" t="s">
        <v>1708</v>
      </c>
      <c r="C130" s="618">
        <f t="shared" si="4"/>
        <v>5345900</v>
      </c>
      <c r="D130" s="619">
        <v>5345900</v>
      </c>
      <c r="E130" s="619"/>
      <c r="F130" s="619"/>
      <c r="G130" s="96"/>
    </row>
    <row r="131" spans="1:10" ht="48" customHeight="1" thickTop="1" thickBot="1" x14ac:dyDescent="0.3">
      <c r="A131" s="616">
        <v>41036300</v>
      </c>
      <c r="B131" s="617" t="s">
        <v>1396</v>
      </c>
      <c r="C131" s="618">
        <f t="shared" si="4"/>
        <v>79736300</v>
      </c>
      <c r="D131" s="619">
        <v>79736300</v>
      </c>
      <c r="E131" s="619"/>
      <c r="F131" s="619"/>
      <c r="G131" s="96"/>
    </row>
    <row r="132" spans="1:10" ht="39.75" hidden="1" thickTop="1" thickBot="1" x14ac:dyDescent="0.3">
      <c r="A132" s="257">
        <v>41035700</v>
      </c>
      <c r="B132" s="258" t="s">
        <v>913</v>
      </c>
      <c r="C132" s="255">
        <f t="shared" si="4"/>
        <v>0</v>
      </c>
      <c r="D132" s="259">
        <v>0</v>
      </c>
      <c r="E132" s="259"/>
      <c r="F132" s="259"/>
      <c r="G132" s="96"/>
    </row>
    <row r="133" spans="1:10" s="303" customFormat="1" ht="27" thickTop="1" thickBot="1" x14ac:dyDescent="0.3">
      <c r="A133" s="639">
        <v>41050000</v>
      </c>
      <c r="B133" s="649" t="s">
        <v>457</v>
      </c>
      <c r="C133" s="641">
        <f>SUM(D133,E133)</f>
        <v>12792859</v>
      </c>
      <c r="D133" s="641">
        <f>SUM(D134:D149)+D156+D157+D158+D159</f>
        <v>12792859</v>
      </c>
      <c r="E133" s="641">
        <f>SUM(E134:E149)+E156+E157++E158+E159</f>
        <v>0</v>
      </c>
      <c r="F133" s="641">
        <f>SUM(F134:F149)+F156+F157++F158+F159</f>
        <v>0</v>
      </c>
      <c r="G133" s="96"/>
      <c r="H133" s="95"/>
      <c r="I133" s="95"/>
      <c r="J133" s="95"/>
    </row>
    <row r="134" spans="1:10" s="303" customFormat="1" ht="90.75" hidden="1" thickTop="1" thickBot="1" x14ac:dyDescent="0.3">
      <c r="A134" s="257">
        <v>41050100</v>
      </c>
      <c r="B134" s="258" t="s">
        <v>1457</v>
      </c>
      <c r="C134" s="255">
        <f t="shared" si="4"/>
        <v>0</v>
      </c>
      <c r="D134" s="259"/>
      <c r="E134" s="259"/>
      <c r="F134" s="259"/>
      <c r="G134" s="96"/>
      <c r="H134" s="95"/>
      <c r="I134" s="95"/>
      <c r="J134" s="95"/>
    </row>
    <row r="135" spans="1:10" s="303" customFormat="1" ht="320.25" hidden="1" thickTop="1" thickBot="1" x14ac:dyDescent="0.3">
      <c r="A135" s="257">
        <v>41050200</v>
      </c>
      <c r="B135" s="258" t="s">
        <v>1436</v>
      </c>
      <c r="C135" s="255">
        <f t="shared" si="4"/>
        <v>0</v>
      </c>
      <c r="D135" s="259"/>
      <c r="E135" s="259"/>
      <c r="F135" s="259"/>
      <c r="G135" s="96"/>
      <c r="H135" s="95"/>
      <c r="I135" s="95"/>
      <c r="J135" s="95"/>
    </row>
    <row r="136" spans="1:10" ht="307.5" hidden="1" thickTop="1" thickBot="1" x14ac:dyDescent="0.3">
      <c r="A136" s="257">
        <v>41050400</v>
      </c>
      <c r="B136" s="258" t="s">
        <v>1228</v>
      </c>
      <c r="C136" s="255">
        <f t="shared" si="4"/>
        <v>0</v>
      </c>
      <c r="D136" s="259">
        <v>0</v>
      </c>
      <c r="E136" s="259"/>
      <c r="F136" s="259"/>
      <c r="G136" s="96"/>
    </row>
    <row r="137" spans="1:10" ht="218.25" hidden="1" thickTop="1" thickBot="1" x14ac:dyDescent="0.3">
      <c r="A137" s="257">
        <v>41050500</v>
      </c>
      <c r="B137" s="258" t="s">
        <v>967</v>
      </c>
      <c r="C137" s="255">
        <f t="shared" si="4"/>
        <v>0</v>
      </c>
      <c r="D137" s="259">
        <v>0</v>
      </c>
      <c r="E137" s="259"/>
      <c r="F137" s="259"/>
      <c r="G137" s="96"/>
    </row>
    <row r="138" spans="1:10" ht="307.5" hidden="1" thickTop="1" thickBot="1" x14ac:dyDescent="0.3">
      <c r="A138" s="257">
        <v>41050600</v>
      </c>
      <c r="B138" s="258" t="s">
        <v>1229</v>
      </c>
      <c r="C138" s="255">
        <f t="shared" si="4"/>
        <v>0</v>
      </c>
      <c r="D138" s="259">
        <v>0</v>
      </c>
      <c r="E138" s="259"/>
      <c r="F138" s="259"/>
      <c r="G138" s="96"/>
    </row>
    <row r="139" spans="1:10" ht="116.25" hidden="1" thickTop="1" thickBot="1" x14ac:dyDescent="0.3">
      <c r="A139" s="257">
        <v>41050900</v>
      </c>
      <c r="B139" s="258" t="s">
        <v>968</v>
      </c>
      <c r="C139" s="255">
        <f t="shared" si="4"/>
        <v>0</v>
      </c>
      <c r="D139" s="259">
        <v>0</v>
      </c>
      <c r="E139" s="259"/>
      <c r="F139" s="259"/>
      <c r="G139" s="96"/>
    </row>
    <row r="140" spans="1:10" s="303" customFormat="1" ht="39.75" thickTop="1" thickBot="1" x14ac:dyDescent="0.3">
      <c r="A140" s="616">
        <v>41051000</v>
      </c>
      <c r="B140" s="617" t="s">
        <v>458</v>
      </c>
      <c r="C140" s="618">
        <f t="shared" si="4"/>
        <v>3564700</v>
      </c>
      <c r="D140" s="619">
        <v>3564700</v>
      </c>
      <c r="E140" s="619"/>
      <c r="F140" s="619"/>
      <c r="G140" s="96"/>
      <c r="H140" s="95"/>
      <c r="I140" s="95"/>
      <c r="J140" s="95"/>
    </row>
    <row r="141" spans="1:10" ht="39.75" hidden="1" thickTop="1" thickBot="1" x14ac:dyDescent="0.3">
      <c r="A141" s="257">
        <v>41051100</v>
      </c>
      <c r="B141" s="258" t="s">
        <v>1312</v>
      </c>
      <c r="C141" s="255">
        <f t="shared" si="4"/>
        <v>0</v>
      </c>
      <c r="D141" s="259"/>
      <c r="E141" s="259">
        <v>0</v>
      </c>
      <c r="F141" s="259"/>
      <c r="G141" s="96"/>
    </row>
    <row r="142" spans="1:10" s="303" customFormat="1" ht="52.5" hidden="1" thickTop="1" thickBot="1" x14ac:dyDescent="0.3">
      <c r="A142" s="257">
        <v>41051200</v>
      </c>
      <c r="B142" s="258" t="s">
        <v>1145</v>
      </c>
      <c r="C142" s="255">
        <f>SUM(D142,E142)</f>
        <v>0</v>
      </c>
      <c r="D142" s="259">
        <v>0</v>
      </c>
      <c r="E142" s="259"/>
      <c r="F142" s="259"/>
      <c r="G142" s="96"/>
      <c r="H142" s="95"/>
      <c r="I142" s="95"/>
      <c r="J142" s="95"/>
    </row>
    <row r="143" spans="1:10" ht="65.25" hidden="1" thickTop="1" thickBot="1" x14ac:dyDescent="0.3">
      <c r="A143" s="257">
        <v>41051400</v>
      </c>
      <c r="B143" s="258" t="s">
        <v>1336</v>
      </c>
      <c r="C143" s="255">
        <f t="shared" si="4"/>
        <v>0</v>
      </c>
      <c r="D143" s="259">
        <v>0</v>
      </c>
      <c r="E143" s="259"/>
      <c r="F143" s="259"/>
      <c r="G143" s="96"/>
    </row>
    <row r="144" spans="1:10" ht="65.25" hidden="1" thickTop="1" thickBot="1" x14ac:dyDescent="0.3">
      <c r="A144" s="257">
        <v>41051700</v>
      </c>
      <c r="B144" s="258" t="s">
        <v>888</v>
      </c>
      <c r="C144" s="255">
        <f t="shared" si="4"/>
        <v>0</v>
      </c>
      <c r="D144" s="259">
        <v>0</v>
      </c>
      <c r="E144" s="259"/>
      <c r="F144" s="259"/>
      <c r="G144" s="96"/>
    </row>
    <row r="145" spans="1:10" ht="90.75" hidden="1" thickTop="1" thickBot="1" x14ac:dyDescent="0.3">
      <c r="A145" s="262">
        <v>41056600</v>
      </c>
      <c r="B145" s="263" t="s">
        <v>951</v>
      </c>
      <c r="C145" s="264">
        <f t="shared" si="4"/>
        <v>0</v>
      </c>
      <c r="D145" s="265">
        <f>10623233.82-10623233.82</f>
        <v>0</v>
      </c>
      <c r="E145" s="265"/>
      <c r="F145" s="265"/>
      <c r="G145" s="96"/>
    </row>
    <row r="146" spans="1:10" ht="52.5" hidden="1" thickTop="1" thickBot="1" x14ac:dyDescent="0.25">
      <c r="A146" s="262">
        <v>41055000</v>
      </c>
      <c r="B146" s="263" t="s">
        <v>969</v>
      </c>
      <c r="C146" s="264">
        <f t="shared" si="4"/>
        <v>0</v>
      </c>
      <c r="D146" s="265">
        <v>0</v>
      </c>
      <c r="E146" s="265"/>
      <c r="F146" s="265"/>
      <c r="G146" s="97"/>
    </row>
    <row r="147" spans="1:10" ht="27" hidden="1" thickTop="1" thickBot="1" x14ac:dyDescent="0.25">
      <c r="A147" s="262">
        <v>41053600</v>
      </c>
      <c r="B147" s="263" t="s">
        <v>890</v>
      </c>
      <c r="C147" s="264">
        <f t="shared" si="4"/>
        <v>0</v>
      </c>
      <c r="D147" s="265"/>
      <c r="E147" s="265">
        <v>0</v>
      </c>
      <c r="F147" s="265"/>
      <c r="G147" s="97"/>
    </row>
    <row r="148" spans="1:10" ht="205.5" hidden="1" thickTop="1" thickBot="1" x14ac:dyDescent="0.25">
      <c r="A148" s="262">
        <v>41054200</v>
      </c>
      <c r="B148" s="263" t="s">
        <v>970</v>
      </c>
      <c r="C148" s="264">
        <f t="shared" si="4"/>
        <v>0</v>
      </c>
      <c r="D148" s="265">
        <v>0</v>
      </c>
      <c r="E148" s="265"/>
      <c r="F148" s="265"/>
      <c r="G148" s="97"/>
    </row>
    <row r="149" spans="1:10" s="303" customFormat="1" ht="27" thickTop="1" thickBot="1" x14ac:dyDescent="0.25">
      <c r="A149" s="642">
        <v>41053900</v>
      </c>
      <c r="B149" s="645" t="s">
        <v>858</v>
      </c>
      <c r="C149" s="641">
        <f t="shared" si="4"/>
        <v>1723647</v>
      </c>
      <c r="D149" s="641">
        <f>SUM(D150:D155)</f>
        <v>1723647</v>
      </c>
      <c r="E149" s="641">
        <f>SUM(E150:E155)</f>
        <v>0</v>
      </c>
      <c r="F149" s="641">
        <f>SUM(F150:F155)</f>
        <v>0</v>
      </c>
      <c r="G149" s="97"/>
      <c r="H149" s="95"/>
      <c r="I149" s="95"/>
      <c r="J149" s="95"/>
    </row>
    <row r="150" spans="1:10" ht="15.75" hidden="1" thickTop="1" thickBot="1" x14ac:dyDescent="0.25">
      <c r="A150" s="642"/>
      <c r="B150" s="646" t="s">
        <v>891</v>
      </c>
      <c r="C150" s="647">
        <f>SUM(D150,E150)</f>
        <v>0</v>
      </c>
      <c r="D150" s="648"/>
      <c r="E150" s="261">
        <v>0</v>
      </c>
      <c r="F150" s="261">
        <v>0</v>
      </c>
      <c r="G150" s="97"/>
    </row>
    <row r="151" spans="1:10" ht="50.25" customHeight="1" thickTop="1" thickBot="1" x14ac:dyDescent="0.25">
      <c r="A151" s="642"/>
      <c r="B151" s="646" t="s">
        <v>859</v>
      </c>
      <c r="C151" s="647">
        <f t="shared" si="4"/>
        <v>399986</v>
      </c>
      <c r="D151" s="648">
        <v>399986</v>
      </c>
      <c r="E151" s="261"/>
      <c r="F151" s="261"/>
      <c r="G151" s="97"/>
    </row>
    <row r="152" spans="1:10" ht="62.25" customHeight="1" thickTop="1" thickBot="1" x14ac:dyDescent="0.25">
      <c r="A152" s="642"/>
      <c r="B152" s="646" t="s">
        <v>860</v>
      </c>
      <c r="C152" s="647">
        <f t="shared" si="4"/>
        <v>177006</v>
      </c>
      <c r="D152" s="648">
        <v>177006</v>
      </c>
      <c r="E152" s="261"/>
      <c r="F152" s="261"/>
      <c r="G152" s="97"/>
    </row>
    <row r="153" spans="1:10" ht="38.25" customHeight="1" thickTop="1" thickBot="1" x14ac:dyDescent="0.25">
      <c r="A153" s="642"/>
      <c r="B153" s="646" t="s">
        <v>861</v>
      </c>
      <c r="C153" s="647">
        <f t="shared" si="4"/>
        <v>1146655</v>
      </c>
      <c r="D153" s="648">
        <v>1146655</v>
      </c>
      <c r="E153" s="261"/>
      <c r="F153" s="261"/>
      <c r="G153" s="97"/>
    </row>
    <row r="154" spans="1:10" ht="39.75" hidden="1" thickTop="1" thickBot="1" x14ac:dyDescent="0.25">
      <c r="A154" s="262"/>
      <c r="B154" s="266" t="s">
        <v>1005</v>
      </c>
      <c r="C154" s="101">
        <f t="shared" si="4"/>
        <v>0</v>
      </c>
      <c r="D154" s="102">
        <v>0</v>
      </c>
      <c r="E154" s="102"/>
      <c r="F154" s="102"/>
      <c r="G154" s="97"/>
    </row>
    <row r="155" spans="1:10" ht="27" hidden="1" thickTop="1" thickBot="1" x14ac:dyDescent="0.25">
      <c r="A155" s="262"/>
      <c r="B155" s="266" t="s">
        <v>1006</v>
      </c>
      <c r="C155" s="101">
        <f t="shared" si="4"/>
        <v>0</v>
      </c>
      <c r="D155" s="102"/>
      <c r="E155" s="102">
        <v>0</v>
      </c>
      <c r="F155" s="102">
        <v>0</v>
      </c>
      <c r="G155" s="97"/>
    </row>
    <row r="156" spans="1:10" ht="65.25" hidden="1" thickTop="1" thickBot="1" x14ac:dyDescent="0.25">
      <c r="A156" s="257">
        <v>41057700</v>
      </c>
      <c r="B156" s="258" t="s">
        <v>1191</v>
      </c>
      <c r="C156" s="255">
        <f>SUM(D156,E156)</f>
        <v>0</v>
      </c>
      <c r="D156" s="259"/>
      <c r="E156" s="259"/>
      <c r="F156" s="259"/>
      <c r="G156" s="97"/>
    </row>
    <row r="157" spans="1:10" ht="52.5" hidden="1" thickTop="1" thickBot="1" x14ac:dyDescent="0.25">
      <c r="A157" s="257">
        <v>41059000</v>
      </c>
      <c r="B157" s="258" t="s">
        <v>1214</v>
      </c>
      <c r="C157" s="255">
        <f>SUM(D157,E157)</f>
        <v>0</v>
      </c>
      <c r="D157" s="259">
        <v>0</v>
      </c>
      <c r="E157" s="259"/>
      <c r="F157" s="259"/>
      <c r="G157" s="97"/>
    </row>
    <row r="158" spans="1:10" ht="106.5" customHeight="1" thickTop="1" thickBot="1" x14ac:dyDescent="0.25">
      <c r="A158" s="616">
        <v>41059300</v>
      </c>
      <c r="B158" s="617" t="s">
        <v>1415</v>
      </c>
      <c r="C158" s="618">
        <f>SUM(D158,E158)</f>
        <v>7504512</v>
      </c>
      <c r="D158" s="619">
        <v>7504512</v>
      </c>
      <c r="E158" s="619"/>
      <c r="F158" s="619"/>
      <c r="G158" s="97"/>
    </row>
    <row r="159" spans="1:10" ht="78" hidden="1" thickTop="1" thickBot="1" x14ac:dyDescent="0.25">
      <c r="A159" s="257">
        <v>41059700</v>
      </c>
      <c r="B159" s="258" t="s">
        <v>1398</v>
      </c>
      <c r="C159" s="255">
        <f>SUM(D159,E159)</f>
        <v>0</v>
      </c>
      <c r="D159" s="259"/>
      <c r="E159" s="259"/>
      <c r="F159" s="259"/>
      <c r="G159" s="97"/>
    </row>
    <row r="160" spans="1:10" ht="38.25" customHeight="1" thickTop="1" thickBot="1" x14ac:dyDescent="0.3">
      <c r="A160" s="637"/>
      <c r="B160" s="638" t="s">
        <v>962</v>
      </c>
      <c r="C160" s="636">
        <f>SUM(D160,E160)</f>
        <v>5822533286</v>
      </c>
      <c r="D160" s="636">
        <f>SUM(D113,D114)</f>
        <v>5497837752</v>
      </c>
      <c r="E160" s="636">
        <f>SUM(E113,E114)</f>
        <v>324695534</v>
      </c>
      <c r="F160" s="636">
        <f>SUM(F113,F114)</f>
        <v>21425150</v>
      </c>
      <c r="G160" s="650" t="b">
        <f>C160=C153+C152+C151+C142+C140+C117+C112+C109+C108+C105+C104+C100+C99+C98+C97+C94+C93+C92+C91+C89+C88+C87+C85+C81+C80+C79+C76+C75+C74+C73+C72+C69+C65+C64+C63+C60+C59+C58+C56+C55+C53+C51+C50+C49+C48+C47+C46+C45+C44+C43+C42+C39+C38+C36+C34+C31+C29+C28+C25+C23+C22+C21+C20+C18+C125+C159+C131+C127+C158+C130+C156+C118+C135+C134+C83+C116+C121</f>
        <v>1</v>
      </c>
      <c r="H160" s="650" t="b">
        <f>D160=D153+D152+D151+D142+D140+D117+D112+D109+D108+D105+D104+D100+D99+D98+D97+D94+D93+D92+D91+D89+D88+D87+D85+D81+D80+D79+D76+D75+D74+D73+D72+D69+D65+D64+D63+D60+D59+D58+D56+D55+D53+D51+D50+D49+D48+D47+D46+D45+D44+D43+D42+D39+D38+D36+D34+D31+D29+D28+D25+D23+D22+D21+D20+D18+D125+D159+D131+D127+D158+D130+D156+D118+D135+D134+D83+D116+D121</f>
        <v>1</v>
      </c>
      <c r="I160" s="650" t="b">
        <f>E160=E153+E152+E151+E142+E140+E117+E112+E109+E108+E105+E104+E100+E99+E98+E97+E94+E93+E92+E91+E89+E88+E87+E85+E81+E80+E79+E76+E75+E74+E73+E72+E69+E65+E64+E63+E60+E59+E58+E56+E55+E53+E51+E50+E49+E48+E47+E46+E45+E44+E43+E42+E39+E38+E36+E34+E31+E29+E28+E25+E23+E22+E21+E20+E18+E125+E159+E131+E127+E158+E130+E156+E118+E135+E134+E83+E116+E121</f>
        <v>1</v>
      </c>
      <c r="J160" s="650" t="b">
        <f>F160=F153+F152+F151+F142+F140+F117+F112+F109+F108+F105+F104+F100+F99+F98+F97+F94+F93+F92+F91+F89+F88+F87+F85+F81+F80+F79+F76+F75+F74+F73+F72+F69+F65+F64+F63+F60+F59+F58+F56+F55+F53+F51+F50+F49+F48+F47+F46+F45+F44+F43+F42+F39+F38+F36+F34+F31+F29+F28+F25+F23+F22+F21+F20+F18+F125+F159+F131+F127+F158+F130+F156+F118+F135+F134+F83+F116+F121</f>
        <v>1</v>
      </c>
    </row>
    <row r="161" spans="1:7" ht="16.5" thickTop="1" x14ac:dyDescent="0.25">
      <c r="B161" s="103"/>
      <c r="G161" s="650" t="b">
        <f>(4694722341-'d2'!C41-'d2'!C23)+(1375609268.53-247798323.53)=C160</f>
        <v>1</v>
      </c>
    </row>
    <row r="162" spans="1:7" ht="21" customHeight="1" x14ac:dyDescent="0.2">
      <c r="B162" s="669" t="s">
        <v>1417</v>
      </c>
      <c r="C162" s="13"/>
      <c r="D162" s="13"/>
      <c r="E162" s="670" t="s">
        <v>1418</v>
      </c>
      <c r="F162" s="105"/>
      <c r="G162" s="104"/>
    </row>
    <row r="163" spans="1:7" ht="15.75" hidden="1" x14ac:dyDescent="0.2">
      <c r="B163" s="385" t="s">
        <v>1245</v>
      </c>
      <c r="C163"/>
      <c r="D163"/>
      <c r="E163" s="386" t="s">
        <v>1246</v>
      </c>
      <c r="F163" s="105"/>
      <c r="G163" s="104"/>
    </row>
    <row r="164" spans="1:7" ht="47.25" hidden="1" x14ac:dyDescent="0.2">
      <c r="B164" s="355" t="s">
        <v>1472</v>
      </c>
      <c r="C164" s="13"/>
      <c r="D164" s="13"/>
      <c r="E164" s="267" t="s">
        <v>1471</v>
      </c>
      <c r="F164" s="105"/>
      <c r="G164" s="104"/>
    </row>
    <row r="165" spans="1:7" ht="9" customHeight="1" x14ac:dyDescent="0.25">
      <c r="B165" s="1"/>
      <c r="C165" s="303"/>
      <c r="D165" s="303"/>
      <c r="E165" s="1"/>
    </row>
    <row r="166" spans="1:7" ht="15.75" x14ac:dyDescent="0.25">
      <c r="A166" s="106"/>
      <c r="B166" s="301" t="s">
        <v>501</v>
      </c>
      <c r="C166" s="1"/>
      <c r="D166" s="1"/>
      <c r="E166" s="1" t="s">
        <v>1168</v>
      </c>
      <c r="F166" s="106"/>
    </row>
    <row r="169" spans="1:7" x14ac:dyDescent="0.2">
      <c r="C169" s="104"/>
      <c r="D169" s="104"/>
      <c r="E169" s="104"/>
      <c r="F169" s="104"/>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FECF7786-B15F-410A-B47A-F1A9BF3A2D3B}"/>
    <hyperlink ref="B101" location="_ftn1" display="_ftn1" xr:uid="{72CEAA82-B63D-47CE-9A00-386E87D076B1}"/>
    <hyperlink ref="B88" location="_ftn1" display="_ftn1" xr:uid="{ADA4DC24-9B56-4F27-9CA2-09D669207908}"/>
    <hyperlink ref="B20" location="_ftn1" display="_ftn1" xr:uid="{5109E35B-D7C4-45E7-80F7-40F3F70C8C56}"/>
    <hyperlink ref="B19" location="_ftn1" display="_ftn1" xr:uid="{784BA6CD-16FF-4DEF-8ADF-76A6223B9A8F}"/>
    <hyperlink ref="B64" location="_ftn1" display="_ftn1" xr:uid="{7DEA0543-008A-4AD6-9FA7-7B5DE24198FB}"/>
    <hyperlink ref="B106" location="_ftn1" display="_ftn1" xr:uid="{C3122737-5F1B-4959-9DC9-AAE8A9DA4CC2}"/>
    <hyperlink ref="B107" location="_ftn1" display="_ftn1" xr:uid="{74C8E892-BE29-4D9B-94D0-7985E68F7AC2}"/>
    <hyperlink ref="B72" location="_ftn1" display="_ftn1" xr:uid="{FEB3EFA7-CF82-42D5-9D21-C7D69D21D786}"/>
  </hyperlinks>
  <printOptions horizontalCentered="1"/>
  <pageMargins left="0.35433070866141736" right="0.15748031496062992" top="0.59055118110236227" bottom="0.51181102362204722" header="0.51181102362204722" footer="0.51181102362204722"/>
  <pageSetup paperSize="9" scale="86" fitToHeight="0" orientation="portrait" verticalDpi="300" r:id="rId1"/>
  <headerFooter alignWithMargins="0"/>
  <rowBreaks count="1" manualBreakCount="1">
    <brk id="8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D655-0E75-4E87-AF5C-44C0C04F18CC}">
  <sheetPr>
    <tabColor theme="5" tint="0.79998168889431442"/>
    <pageSetUpPr fitToPage="1"/>
  </sheetPr>
  <dimension ref="A1:J169"/>
  <sheetViews>
    <sheetView view="pageBreakPreview" topLeftCell="A131" zoomScaleNormal="100" zoomScaleSheetLayoutView="100" workbookViewId="0">
      <selection activeCell="C153" sqref="C153:F158"/>
    </sheetView>
  </sheetViews>
  <sheetFormatPr defaultColWidth="6.85546875" defaultRowHeight="12.75" x14ac:dyDescent="0.2"/>
  <cols>
    <col min="1" max="1" width="10.140625" style="95" customWidth="1"/>
    <col min="2" max="2" width="40.42578125" style="95" customWidth="1"/>
    <col min="3" max="4" width="17.28515625" style="95" customWidth="1"/>
    <col min="5" max="5" width="15.7109375" style="95" customWidth="1"/>
    <col min="6" max="6" width="14.5703125" style="95" customWidth="1"/>
    <col min="7" max="7" width="18.28515625" style="95" bestFit="1" customWidth="1"/>
    <col min="8" max="8" width="13.140625" style="95" bestFit="1" customWidth="1"/>
    <col min="9" max="10" width="10.85546875" style="95" bestFit="1" customWidth="1"/>
    <col min="11" max="252" width="7.85546875" style="95" customWidth="1"/>
    <col min="253" max="16384" width="6.85546875" style="95"/>
  </cols>
  <sheetData>
    <row r="1" spans="1:7" ht="15.75" x14ac:dyDescent="0.2">
      <c r="A1" s="303"/>
      <c r="B1" s="303"/>
      <c r="C1" s="303"/>
      <c r="D1" s="741" t="s">
        <v>54</v>
      </c>
      <c r="E1" s="742"/>
      <c r="F1" s="742"/>
      <c r="G1" s="742"/>
    </row>
    <row r="2" spans="1:7" ht="30" customHeight="1" x14ac:dyDescent="0.2">
      <c r="A2" s="303"/>
      <c r="B2" s="303"/>
      <c r="C2" s="369"/>
      <c r="D2" s="743" t="s">
        <v>1769</v>
      </c>
      <c r="E2" s="744"/>
      <c r="F2" s="744"/>
      <c r="G2" s="744"/>
    </row>
    <row r="3" spans="1:7" ht="6" hidden="1" customHeight="1" x14ac:dyDescent="0.2">
      <c r="A3" s="303"/>
      <c r="B3" s="303"/>
      <c r="C3" s="369"/>
      <c r="D3" s="741"/>
      <c r="E3" s="744"/>
      <c r="F3" s="744"/>
      <c r="G3" s="744"/>
    </row>
    <row r="4" spans="1:7" ht="12.75" customHeight="1" x14ac:dyDescent="0.2">
      <c r="A4" s="734"/>
      <c r="B4" s="734"/>
      <c r="C4" s="734"/>
      <c r="D4" s="734"/>
      <c r="E4" s="734"/>
      <c r="F4" s="303"/>
      <c r="G4" s="303"/>
    </row>
    <row r="5" spans="1:7" ht="20.25" x14ac:dyDescent="0.2">
      <c r="A5" s="734" t="s">
        <v>1802</v>
      </c>
      <c r="B5" s="735"/>
      <c r="C5" s="735"/>
      <c r="D5" s="735"/>
      <c r="E5" s="735"/>
      <c r="F5" s="735"/>
      <c r="G5" s="303"/>
    </row>
    <row r="6" spans="1:7" ht="20.25" x14ac:dyDescent="0.2">
      <c r="A6" s="734" t="s">
        <v>1473</v>
      </c>
      <c r="B6" s="735"/>
      <c r="C6" s="735"/>
      <c r="D6" s="735"/>
      <c r="E6" s="735"/>
      <c r="F6" s="735"/>
      <c r="G6" s="303"/>
    </row>
    <row r="7" spans="1:7" ht="20.25" x14ac:dyDescent="0.2">
      <c r="A7" s="371"/>
      <c r="B7" s="372"/>
      <c r="C7" s="372"/>
      <c r="D7" s="372"/>
      <c r="E7" s="372"/>
      <c r="F7" s="372"/>
      <c r="G7" s="303"/>
    </row>
    <row r="8" spans="1:7" ht="20.25" x14ac:dyDescent="0.2">
      <c r="A8" s="736">
        <v>2256400000</v>
      </c>
      <c r="B8" s="737"/>
      <c r="C8" s="737"/>
      <c r="D8" s="737"/>
      <c r="E8" s="737"/>
      <c r="F8" s="737"/>
      <c r="G8" s="303"/>
    </row>
    <row r="9" spans="1:7" ht="15.75" x14ac:dyDescent="0.2">
      <c r="A9" s="738" t="s">
        <v>474</v>
      </c>
      <c r="B9" s="739"/>
      <c r="C9" s="739"/>
      <c r="D9" s="739"/>
      <c r="E9" s="739"/>
      <c r="F9" s="739"/>
      <c r="G9" s="303"/>
    </row>
    <row r="10" spans="1:7" ht="20.25" x14ac:dyDescent="0.2">
      <c r="A10" s="371"/>
      <c r="B10" s="368"/>
      <c r="C10" s="368"/>
      <c r="D10" s="368"/>
      <c r="E10" s="368"/>
      <c r="F10" s="368"/>
      <c r="G10" s="303"/>
    </row>
    <row r="11" spans="1:7" ht="13.5" thickBot="1" x14ac:dyDescent="0.25">
      <c r="A11" s="303"/>
      <c r="B11" s="373"/>
      <c r="C11" s="373"/>
      <c r="D11" s="373"/>
      <c r="E11" s="373"/>
      <c r="F11" s="374" t="s">
        <v>394</v>
      </c>
      <c r="G11" s="303"/>
    </row>
    <row r="12" spans="1:7" ht="14.25" thickTop="1" thickBot="1" x14ac:dyDescent="0.25">
      <c r="A12" s="740" t="s">
        <v>55</v>
      </c>
      <c r="B12" s="740" t="s">
        <v>1474</v>
      </c>
      <c r="C12" s="740" t="s">
        <v>373</v>
      </c>
      <c r="D12" s="740" t="s">
        <v>12</v>
      </c>
      <c r="E12" s="740" t="s">
        <v>50</v>
      </c>
      <c r="F12" s="740"/>
      <c r="G12" s="354"/>
    </row>
    <row r="13" spans="1:7" ht="39.75" thickTop="1" thickBot="1" x14ac:dyDescent="0.3">
      <c r="A13" s="740"/>
      <c r="B13" s="740"/>
      <c r="C13" s="740"/>
      <c r="D13" s="740"/>
      <c r="E13" s="375" t="s">
        <v>374</v>
      </c>
      <c r="F13" s="375" t="s">
        <v>415</v>
      </c>
      <c r="G13" s="96"/>
    </row>
    <row r="14" spans="1:7" ht="16.5" thickTop="1" thickBot="1" x14ac:dyDescent="0.3">
      <c r="A14" s="375">
        <v>1</v>
      </c>
      <c r="B14" s="375">
        <v>2</v>
      </c>
      <c r="C14" s="375">
        <v>3</v>
      </c>
      <c r="D14" s="375">
        <v>4</v>
      </c>
      <c r="E14" s="375">
        <v>5</v>
      </c>
      <c r="F14" s="375">
        <v>6</v>
      </c>
      <c r="G14" s="96"/>
    </row>
    <row r="15" spans="1:7" ht="25.5" customHeight="1" thickTop="1" thickBot="1" x14ac:dyDescent="0.25">
      <c r="A15" s="629">
        <v>10000000</v>
      </c>
      <c r="B15" s="629" t="s">
        <v>56</v>
      </c>
      <c r="C15" s="630">
        <f t="shared" ref="C15:C66" si="0">SUM(D15,E15)</f>
        <v>207685000</v>
      </c>
      <c r="D15" s="630">
        <f>SUM(D16,D32,D40,D61,D26)</f>
        <v>207685000</v>
      </c>
      <c r="E15" s="630">
        <f>SUM(E16,E32,E40,E61,E26)</f>
        <v>0</v>
      </c>
      <c r="F15" s="630">
        <f>SUM(F16,F32,F40,F61,F26)</f>
        <v>0</v>
      </c>
      <c r="G15" s="97"/>
    </row>
    <row r="16" spans="1:7" ht="31.7" customHeight="1" thickTop="1" thickBot="1" x14ac:dyDescent="0.25">
      <c r="A16" s="375">
        <v>11000000</v>
      </c>
      <c r="B16" s="375" t="s">
        <v>57</v>
      </c>
      <c r="C16" s="618">
        <f>'d1'!C16-'d1-П'!C16</f>
        <v>193035000</v>
      </c>
      <c r="D16" s="618">
        <f>'d1'!D16-'d1-П'!D16</f>
        <v>193035000</v>
      </c>
      <c r="E16" s="618">
        <f>'d1'!E16-'d1-П'!E16</f>
        <v>0</v>
      </c>
      <c r="F16" s="618">
        <f>'d1'!F16-'d1-П'!F16</f>
        <v>0</v>
      </c>
      <c r="G16" s="98"/>
    </row>
    <row r="17" spans="1:7" ht="24.75" customHeight="1" thickTop="1" thickBot="1" x14ac:dyDescent="0.25">
      <c r="A17" s="620">
        <v>11010000</v>
      </c>
      <c r="B17" s="621" t="s">
        <v>58</v>
      </c>
      <c r="C17" s="618">
        <f>'d1'!C17-'d1-П'!C17</f>
        <v>192035000</v>
      </c>
      <c r="D17" s="618">
        <f>'d1'!D17-'d1-П'!D17</f>
        <v>192035000</v>
      </c>
      <c r="E17" s="618">
        <f>'d1'!E17-'d1-П'!E17</f>
        <v>0</v>
      </c>
      <c r="F17" s="618">
        <f>'d1'!F17-'d1-П'!F17</f>
        <v>0</v>
      </c>
      <c r="G17" s="98"/>
    </row>
    <row r="18" spans="1:7" ht="39.75" thickTop="1" thickBot="1" x14ac:dyDescent="0.25">
      <c r="A18" s="616">
        <v>11010100</v>
      </c>
      <c r="B18" s="617" t="s">
        <v>59</v>
      </c>
      <c r="C18" s="618">
        <f>'d1'!C18-'d1-П'!C18</f>
        <v>189335000</v>
      </c>
      <c r="D18" s="618">
        <f>'d1'!D18-'d1-П'!D18</f>
        <v>189335000</v>
      </c>
      <c r="E18" s="618">
        <f>'d1'!E18-'d1-П'!E18</f>
        <v>0</v>
      </c>
      <c r="F18" s="618">
        <f>'d1'!F18-'d1-П'!F18</f>
        <v>0</v>
      </c>
      <c r="G18" s="98"/>
    </row>
    <row r="19" spans="1:7" ht="65.25" hidden="1" thickTop="1" thickBot="1" x14ac:dyDescent="0.25">
      <c r="A19" s="257">
        <v>11010200</v>
      </c>
      <c r="B19" s="258" t="s">
        <v>60</v>
      </c>
      <c r="C19" s="618">
        <f>'d1'!C19-'d1-П'!C19</f>
        <v>0</v>
      </c>
      <c r="D19" s="618">
        <f>'d1'!D19-'d1-П'!D19</f>
        <v>0</v>
      </c>
      <c r="E19" s="618">
        <f>'d1'!E19-'d1-П'!E19</f>
        <v>0</v>
      </c>
      <c r="F19" s="618">
        <f>'d1'!F19-'d1-П'!F19</f>
        <v>0</v>
      </c>
      <c r="G19" s="98"/>
    </row>
    <row r="20" spans="1:7" ht="39.75" thickTop="1" thickBot="1" x14ac:dyDescent="0.25">
      <c r="A20" s="616">
        <v>11010400</v>
      </c>
      <c r="B20" s="617" t="s">
        <v>61</v>
      </c>
      <c r="C20" s="618">
        <f>'d1'!C20-'d1-П'!C20</f>
        <v>0</v>
      </c>
      <c r="D20" s="618">
        <f>'d1'!D20-'d1-П'!D20</f>
        <v>0</v>
      </c>
      <c r="E20" s="618">
        <f>'d1'!E20-'d1-П'!E20</f>
        <v>0</v>
      </c>
      <c r="F20" s="618">
        <f>'d1'!F20-'d1-П'!F20</f>
        <v>0</v>
      </c>
      <c r="G20" s="98"/>
    </row>
    <row r="21" spans="1:7" ht="39.75" thickTop="1" thickBot="1" x14ac:dyDescent="0.3">
      <c r="A21" s="616">
        <v>11010500</v>
      </c>
      <c r="B21" s="617" t="s">
        <v>62</v>
      </c>
      <c r="C21" s="618">
        <f>'d1'!C21-'d1-П'!C21</f>
        <v>0</v>
      </c>
      <c r="D21" s="618">
        <f>'d1'!D21-'d1-П'!D21</f>
        <v>0</v>
      </c>
      <c r="E21" s="618">
        <f>'d1'!E21-'d1-П'!E21</f>
        <v>0</v>
      </c>
      <c r="F21" s="618">
        <f>'d1'!F21-'d1-П'!F21</f>
        <v>0</v>
      </c>
      <c r="G21" s="96"/>
    </row>
    <row r="22" spans="1:7" ht="27" thickTop="1" thickBot="1" x14ac:dyDescent="0.3">
      <c r="A22" s="616">
        <v>11011200</v>
      </c>
      <c r="B22" s="617" t="s">
        <v>1288</v>
      </c>
      <c r="C22" s="618">
        <f>'d1'!C22-'d1-П'!C22</f>
        <v>2500000</v>
      </c>
      <c r="D22" s="618">
        <f>'d1'!D22-'d1-П'!D22</f>
        <v>2500000</v>
      </c>
      <c r="E22" s="618">
        <f>'d1'!E22-'d1-П'!E22</f>
        <v>0</v>
      </c>
      <c r="F22" s="618">
        <f>'d1'!F22-'d1-П'!F22</f>
        <v>0</v>
      </c>
      <c r="G22" s="96"/>
    </row>
    <row r="23" spans="1:7" ht="39.75" thickTop="1" thickBot="1" x14ac:dyDescent="0.3">
      <c r="A23" s="616">
        <v>11011300</v>
      </c>
      <c r="B23" s="617" t="s">
        <v>1289</v>
      </c>
      <c r="C23" s="618">
        <f>'d1'!C23-'d1-П'!C23</f>
        <v>200000</v>
      </c>
      <c r="D23" s="618">
        <f>'d1'!D23-'d1-П'!D23</f>
        <v>200000</v>
      </c>
      <c r="E23" s="618">
        <f>'d1'!E23-'d1-П'!E23</f>
        <v>0</v>
      </c>
      <c r="F23" s="618">
        <f>'d1'!F23-'d1-П'!F23</f>
        <v>0</v>
      </c>
      <c r="G23" s="96"/>
    </row>
    <row r="24" spans="1:7" ht="28.5" customHeight="1" thickTop="1" thickBot="1" x14ac:dyDescent="0.25">
      <c r="A24" s="620">
        <v>11020000</v>
      </c>
      <c r="B24" s="621" t="s">
        <v>63</v>
      </c>
      <c r="C24" s="618">
        <f>'d1'!C24-'d1-П'!C24</f>
        <v>1000000</v>
      </c>
      <c r="D24" s="618">
        <f>'d1'!D24-'d1-П'!D24</f>
        <v>1000000</v>
      </c>
      <c r="E24" s="618">
        <f>'d1'!E24-'d1-П'!E24</f>
        <v>0</v>
      </c>
      <c r="F24" s="618">
        <f>'d1'!F24-'d1-П'!F24</f>
        <v>0</v>
      </c>
      <c r="G24" s="97"/>
    </row>
    <row r="25" spans="1:7" ht="27" thickTop="1" thickBot="1" x14ac:dyDescent="0.3">
      <c r="A25" s="616">
        <v>11020200</v>
      </c>
      <c r="B25" s="623" t="s">
        <v>64</v>
      </c>
      <c r="C25" s="618">
        <f>'d1'!C25-'d1-П'!C25</f>
        <v>1000000</v>
      </c>
      <c r="D25" s="618">
        <f>'d1'!D25-'d1-П'!D25</f>
        <v>1000000</v>
      </c>
      <c r="E25" s="618">
        <f>'d1'!E25-'d1-П'!E25</f>
        <v>0</v>
      </c>
      <c r="F25" s="618">
        <f>'d1'!F25-'d1-П'!F25</f>
        <v>0</v>
      </c>
      <c r="G25" s="96"/>
    </row>
    <row r="26" spans="1:7" ht="27" thickTop="1" thickBot="1" x14ac:dyDescent="0.3">
      <c r="A26" s="375">
        <v>13000000</v>
      </c>
      <c r="B26" s="624" t="s">
        <v>504</v>
      </c>
      <c r="C26" s="618">
        <f>'d1'!C26-'d1-П'!C26</f>
        <v>0</v>
      </c>
      <c r="D26" s="618">
        <f>'d1'!D26-'d1-П'!D26</f>
        <v>0</v>
      </c>
      <c r="E26" s="618">
        <f>'d1'!E26-'d1-П'!E26</f>
        <v>0</v>
      </c>
      <c r="F26" s="618">
        <f>'d1'!F26-'d1-П'!F26</f>
        <v>0</v>
      </c>
      <c r="G26" s="96"/>
    </row>
    <row r="27" spans="1:7" ht="28.5" thickTop="1" thickBot="1" x14ac:dyDescent="0.3">
      <c r="A27" s="620">
        <v>13010000</v>
      </c>
      <c r="B27" s="625" t="s">
        <v>505</v>
      </c>
      <c r="C27" s="618">
        <f>'d1'!C27-'d1-П'!C27</f>
        <v>0</v>
      </c>
      <c r="D27" s="618">
        <f>'d1'!D27-'d1-П'!D27</f>
        <v>0</v>
      </c>
      <c r="E27" s="618">
        <f>'d1'!E27-'d1-П'!E27</f>
        <v>0</v>
      </c>
      <c r="F27" s="618">
        <f>'d1'!F27-'d1-П'!F27</f>
        <v>0</v>
      </c>
      <c r="G27" s="96"/>
    </row>
    <row r="28" spans="1:7" ht="52.5" thickTop="1" thickBot="1" x14ac:dyDescent="0.3">
      <c r="A28" s="616">
        <v>13010100</v>
      </c>
      <c r="B28" s="626" t="s">
        <v>1290</v>
      </c>
      <c r="C28" s="618">
        <f>'d1'!C28-'d1-П'!C28</f>
        <v>0</v>
      </c>
      <c r="D28" s="618">
        <f>'d1'!D28-'d1-П'!D28</f>
        <v>0</v>
      </c>
      <c r="E28" s="618">
        <f>'d1'!E28-'d1-П'!E28</f>
        <v>0</v>
      </c>
      <c r="F28" s="618">
        <f>'d1'!F28-'d1-П'!F28</f>
        <v>0</v>
      </c>
      <c r="G28" s="96"/>
    </row>
    <row r="29" spans="1:7" ht="65.25" thickTop="1" thickBot="1" x14ac:dyDescent="0.3">
      <c r="A29" s="616">
        <v>13010200</v>
      </c>
      <c r="B29" s="626" t="s">
        <v>506</v>
      </c>
      <c r="C29" s="618">
        <f>'d1'!C29-'d1-П'!C29</f>
        <v>0</v>
      </c>
      <c r="D29" s="618">
        <f>'d1'!D29-'d1-П'!D29</f>
        <v>0</v>
      </c>
      <c r="E29" s="618">
        <f>'d1'!E29-'d1-П'!E29</f>
        <v>0</v>
      </c>
      <c r="F29" s="618">
        <f>'d1'!F29-'d1-П'!F29</f>
        <v>0</v>
      </c>
      <c r="G29" s="96"/>
    </row>
    <row r="30" spans="1:7" ht="16.5" thickTop="1" thickBot="1" x14ac:dyDescent="0.3">
      <c r="A30" s="620">
        <v>13030000</v>
      </c>
      <c r="B30" s="627" t="s">
        <v>507</v>
      </c>
      <c r="C30" s="618">
        <f>'d1'!C30-'d1-П'!C30</f>
        <v>0</v>
      </c>
      <c r="D30" s="618">
        <f>'d1'!D30-'d1-П'!D30</f>
        <v>0</v>
      </c>
      <c r="E30" s="618">
        <f>'d1'!E30-'d1-П'!E30</f>
        <v>0</v>
      </c>
      <c r="F30" s="618">
        <f>'d1'!F30-'d1-П'!F30</f>
        <v>0</v>
      </c>
      <c r="G30" s="96"/>
    </row>
    <row r="31" spans="1:7" ht="39.75" thickTop="1" thickBot="1" x14ac:dyDescent="0.3">
      <c r="A31" s="616">
        <v>13030100</v>
      </c>
      <c r="B31" s="626" t="s">
        <v>508</v>
      </c>
      <c r="C31" s="618">
        <f>'d1'!C31-'d1-П'!C31</f>
        <v>0</v>
      </c>
      <c r="D31" s="618">
        <f>'d1'!D31-'d1-П'!D31</f>
        <v>0</v>
      </c>
      <c r="E31" s="618">
        <f>'d1'!E31-'d1-П'!E31</f>
        <v>0</v>
      </c>
      <c r="F31" s="618">
        <f>'d1'!F31-'d1-П'!F31</f>
        <v>0</v>
      </c>
      <c r="G31" s="96"/>
    </row>
    <row r="32" spans="1:7" ht="26.45" customHeight="1" thickTop="1" thickBot="1" x14ac:dyDescent="0.3">
      <c r="A32" s="375">
        <v>14000000</v>
      </c>
      <c r="B32" s="624" t="s">
        <v>509</v>
      </c>
      <c r="C32" s="618">
        <f>'d1'!C32-'d1-П'!C32</f>
        <v>0</v>
      </c>
      <c r="D32" s="618">
        <f>'d1'!D32-'d1-П'!D32</f>
        <v>0</v>
      </c>
      <c r="E32" s="618">
        <f>'d1'!E32-'d1-П'!E32</f>
        <v>0</v>
      </c>
      <c r="F32" s="618">
        <f>'d1'!F32-'d1-П'!F32</f>
        <v>0</v>
      </c>
      <c r="G32" s="96"/>
    </row>
    <row r="33" spans="1:7" ht="30" customHeight="1" thickTop="1" thickBot="1" x14ac:dyDescent="0.3">
      <c r="A33" s="620">
        <v>14020000</v>
      </c>
      <c r="B33" s="625" t="s">
        <v>595</v>
      </c>
      <c r="C33" s="618">
        <f>'d1'!C33-'d1-П'!C33</f>
        <v>0</v>
      </c>
      <c r="D33" s="618">
        <f>'d1'!D33-'d1-П'!D33</f>
        <v>0</v>
      </c>
      <c r="E33" s="618">
        <f>'d1'!E33-'d1-П'!E33</f>
        <v>0</v>
      </c>
      <c r="F33" s="618">
        <f>'d1'!F33-'d1-П'!F33</f>
        <v>0</v>
      </c>
      <c r="G33" s="96"/>
    </row>
    <row r="34" spans="1:7" ht="16.5" thickTop="1" thickBot="1" x14ac:dyDescent="0.3">
      <c r="A34" s="616">
        <v>14021900</v>
      </c>
      <c r="B34" s="623" t="s">
        <v>594</v>
      </c>
      <c r="C34" s="618">
        <f>'d1'!C34-'d1-П'!C34</f>
        <v>0</v>
      </c>
      <c r="D34" s="618">
        <f>'d1'!D34-'d1-П'!D34</f>
        <v>0</v>
      </c>
      <c r="E34" s="618">
        <f>'d1'!E34-'d1-П'!E34</f>
        <v>0</v>
      </c>
      <c r="F34" s="618">
        <f>'d1'!F34-'d1-П'!F34</f>
        <v>0</v>
      </c>
      <c r="G34" s="96"/>
    </row>
    <row r="35" spans="1:7" ht="42" thickTop="1" thickBot="1" x14ac:dyDescent="0.3">
      <c r="A35" s="620">
        <v>14030000</v>
      </c>
      <c r="B35" s="625" t="s">
        <v>596</v>
      </c>
      <c r="C35" s="618">
        <f>'d1'!C35-'d1-П'!C35</f>
        <v>0</v>
      </c>
      <c r="D35" s="618">
        <f>'d1'!D35-'d1-П'!D35</f>
        <v>0</v>
      </c>
      <c r="E35" s="618">
        <f>'d1'!E35-'d1-П'!E35</f>
        <v>0</v>
      </c>
      <c r="F35" s="618">
        <f>'d1'!F35-'d1-П'!F35</f>
        <v>0</v>
      </c>
      <c r="G35" s="96"/>
    </row>
    <row r="36" spans="1:7" ht="16.5" thickTop="1" thickBot="1" x14ac:dyDescent="0.3">
      <c r="A36" s="616">
        <v>14031900</v>
      </c>
      <c r="B36" s="623" t="s">
        <v>594</v>
      </c>
      <c r="C36" s="618">
        <f>'d1'!C36-'d1-П'!C36</f>
        <v>0</v>
      </c>
      <c r="D36" s="618">
        <f>'d1'!D36-'d1-П'!D36</f>
        <v>0</v>
      </c>
      <c r="E36" s="618">
        <f>'d1'!E36-'d1-П'!E36</f>
        <v>0</v>
      </c>
      <c r="F36" s="618">
        <f>'d1'!F36-'d1-П'!F36</f>
        <v>0</v>
      </c>
      <c r="G36" s="96"/>
    </row>
    <row r="37" spans="1:7" ht="42" thickTop="1" thickBot="1" x14ac:dyDescent="0.3">
      <c r="A37" s="620">
        <v>14040000</v>
      </c>
      <c r="B37" s="625" t="s">
        <v>1089</v>
      </c>
      <c r="C37" s="618">
        <f>'d1'!C37-'d1-П'!C37</f>
        <v>0</v>
      </c>
      <c r="D37" s="618">
        <f>'d1'!D37-'d1-П'!D37</f>
        <v>0</v>
      </c>
      <c r="E37" s="618">
        <f>'d1'!E37-'d1-П'!E37</f>
        <v>0</v>
      </c>
      <c r="F37" s="618">
        <f>'d1'!F37-'d1-П'!F37</f>
        <v>0</v>
      </c>
      <c r="G37" s="96"/>
    </row>
    <row r="38" spans="1:7" ht="103.5" thickTop="1" thickBot="1" x14ac:dyDescent="0.25">
      <c r="A38" s="616">
        <v>14040100</v>
      </c>
      <c r="B38" s="623" t="s">
        <v>1107</v>
      </c>
      <c r="C38" s="618">
        <f>'d1'!C38-'d1-П'!C38</f>
        <v>0</v>
      </c>
      <c r="D38" s="618">
        <f>'d1'!D38-'d1-П'!D38</f>
        <v>0</v>
      </c>
      <c r="E38" s="618">
        <f>'d1'!E38-'d1-П'!E38</f>
        <v>0</v>
      </c>
      <c r="F38" s="618">
        <f>'d1'!F38-'d1-П'!F38</f>
        <v>0</v>
      </c>
      <c r="G38" s="99"/>
    </row>
    <row r="39" spans="1:7" ht="65.25" thickTop="1" thickBot="1" x14ac:dyDescent="0.25">
      <c r="A39" s="616">
        <v>14040200</v>
      </c>
      <c r="B39" s="623" t="s">
        <v>1088</v>
      </c>
      <c r="C39" s="618">
        <f>'d1'!C39-'d1-П'!C39</f>
        <v>0</v>
      </c>
      <c r="D39" s="618">
        <f>'d1'!D39-'d1-П'!D39</f>
        <v>0</v>
      </c>
      <c r="E39" s="618">
        <f>'d1'!E39-'d1-П'!E39</f>
        <v>0</v>
      </c>
      <c r="F39" s="618">
        <f>'d1'!F39-'d1-П'!F39</f>
        <v>0</v>
      </c>
      <c r="G39" s="99"/>
    </row>
    <row r="40" spans="1:7" ht="29.25" customHeight="1" thickTop="1" thickBot="1" x14ac:dyDescent="0.3">
      <c r="A40" s="375">
        <v>18000000</v>
      </c>
      <c r="B40" s="375" t="s">
        <v>65</v>
      </c>
      <c r="C40" s="618">
        <f>'d1'!C40-'d1-П'!C40</f>
        <v>14650000</v>
      </c>
      <c r="D40" s="618">
        <f>'d1'!D40-'d1-П'!D40</f>
        <v>14650000</v>
      </c>
      <c r="E40" s="618">
        <f>'d1'!E40-'d1-П'!E40</f>
        <v>0</v>
      </c>
      <c r="F40" s="618">
        <f>'d1'!F40-'d1-П'!F40</f>
        <v>0</v>
      </c>
      <c r="G40" s="96"/>
    </row>
    <row r="41" spans="1:7" ht="16.5" thickTop="1" thickBot="1" x14ac:dyDescent="0.3">
      <c r="A41" s="620">
        <v>18010000</v>
      </c>
      <c r="B41" s="625" t="s">
        <v>66</v>
      </c>
      <c r="C41" s="618">
        <f>'d1'!C41-'d1-П'!C41</f>
        <v>6000000</v>
      </c>
      <c r="D41" s="618">
        <f>'d1'!D41-'d1-П'!D41</f>
        <v>6000000</v>
      </c>
      <c r="E41" s="618">
        <f>'d1'!E41-'d1-П'!E41</f>
        <v>0</v>
      </c>
      <c r="F41" s="618">
        <f>'d1'!F41-'d1-П'!F41</f>
        <v>0</v>
      </c>
      <c r="G41" s="96"/>
    </row>
    <row r="42" spans="1:7" ht="52.5" thickTop="1" thickBot="1" x14ac:dyDescent="0.3">
      <c r="A42" s="616">
        <v>18010100</v>
      </c>
      <c r="B42" s="623" t="s">
        <v>67</v>
      </c>
      <c r="C42" s="618">
        <f>'d1'!C42-'d1-П'!C42</f>
        <v>0</v>
      </c>
      <c r="D42" s="618">
        <f>'d1'!D42-'d1-П'!D42</f>
        <v>0</v>
      </c>
      <c r="E42" s="618">
        <f>'d1'!E42-'d1-П'!E42</f>
        <v>0</v>
      </c>
      <c r="F42" s="618">
        <f>'d1'!F42-'d1-П'!F42</f>
        <v>0</v>
      </c>
      <c r="G42" s="96"/>
    </row>
    <row r="43" spans="1:7" ht="52.5" thickTop="1" thickBot="1" x14ac:dyDescent="0.3">
      <c r="A43" s="616">
        <v>18010200</v>
      </c>
      <c r="B43" s="623" t="s">
        <v>68</v>
      </c>
      <c r="C43" s="618">
        <f>'d1'!C43-'d1-П'!C43</f>
        <v>0</v>
      </c>
      <c r="D43" s="618">
        <f>'d1'!D43-'d1-П'!D43</f>
        <v>0</v>
      </c>
      <c r="E43" s="618">
        <f>'d1'!E43-'d1-П'!E43</f>
        <v>0</v>
      </c>
      <c r="F43" s="618">
        <f>'d1'!F43-'d1-П'!F43</f>
        <v>0</v>
      </c>
      <c r="G43" s="96"/>
    </row>
    <row r="44" spans="1:7" ht="52.5" thickTop="1" thickBot="1" x14ac:dyDescent="0.3">
      <c r="A44" s="616">
        <v>18010300</v>
      </c>
      <c r="B44" s="623" t="s">
        <v>69</v>
      </c>
      <c r="C44" s="618">
        <f>'d1'!C44-'d1-П'!C44</f>
        <v>2000000</v>
      </c>
      <c r="D44" s="618">
        <f>'d1'!D44-'d1-П'!D44</f>
        <v>2000000</v>
      </c>
      <c r="E44" s="618">
        <f>'d1'!E44-'d1-П'!E44</f>
        <v>0</v>
      </c>
      <c r="F44" s="618">
        <f>'d1'!F44-'d1-П'!F44</f>
        <v>0</v>
      </c>
      <c r="G44" s="96"/>
    </row>
    <row r="45" spans="1:7" ht="52.5" thickTop="1" thickBot="1" x14ac:dyDescent="0.3">
      <c r="A45" s="616">
        <v>18010400</v>
      </c>
      <c r="B45" s="623" t="s">
        <v>70</v>
      </c>
      <c r="C45" s="618">
        <f>'d1'!C45-'d1-П'!C45</f>
        <v>3000000</v>
      </c>
      <c r="D45" s="618">
        <f>'d1'!D45-'d1-П'!D45</f>
        <v>3000000</v>
      </c>
      <c r="E45" s="618">
        <f>'d1'!E45-'d1-П'!E45</f>
        <v>0</v>
      </c>
      <c r="F45" s="618">
        <f>'d1'!F45-'d1-П'!F45</f>
        <v>0</v>
      </c>
      <c r="G45" s="96"/>
    </row>
    <row r="46" spans="1:7" ht="16.5" thickTop="1" thickBot="1" x14ac:dyDescent="0.3">
      <c r="A46" s="616">
        <v>18010500</v>
      </c>
      <c r="B46" s="623" t="s">
        <v>71</v>
      </c>
      <c r="C46" s="618">
        <f>'d1'!C46-'d1-П'!C46</f>
        <v>0</v>
      </c>
      <c r="D46" s="618">
        <f>'d1'!D46-'d1-П'!D46</f>
        <v>0</v>
      </c>
      <c r="E46" s="618">
        <f>'d1'!E46-'d1-П'!E46</f>
        <v>0</v>
      </c>
      <c r="F46" s="618">
        <f>'d1'!F46-'d1-П'!F46</f>
        <v>0</v>
      </c>
      <c r="G46" s="96"/>
    </row>
    <row r="47" spans="1:7" ht="16.5" thickTop="1" thickBot="1" x14ac:dyDescent="0.3">
      <c r="A47" s="616">
        <v>18010600</v>
      </c>
      <c r="B47" s="623" t="s">
        <v>72</v>
      </c>
      <c r="C47" s="618">
        <f>'d1'!C47-'d1-П'!C47</f>
        <v>0</v>
      </c>
      <c r="D47" s="618">
        <f>'d1'!D47-'d1-П'!D47</f>
        <v>0</v>
      </c>
      <c r="E47" s="618">
        <f>'d1'!E47-'d1-П'!E47</f>
        <v>0</v>
      </c>
      <c r="F47" s="618">
        <f>'d1'!F47-'d1-П'!F47</f>
        <v>0</v>
      </c>
      <c r="G47" s="96"/>
    </row>
    <row r="48" spans="1:7" ht="16.5" thickTop="1" thickBot="1" x14ac:dyDescent="0.3">
      <c r="A48" s="616">
        <v>18010700</v>
      </c>
      <c r="B48" s="623" t="s">
        <v>73</v>
      </c>
      <c r="C48" s="618">
        <f>'d1'!C48-'d1-П'!C48</f>
        <v>0</v>
      </c>
      <c r="D48" s="618">
        <f>'d1'!D48-'d1-П'!D48</f>
        <v>0</v>
      </c>
      <c r="E48" s="618">
        <f>'d1'!E48-'d1-П'!E48</f>
        <v>0</v>
      </c>
      <c r="F48" s="618">
        <f>'d1'!F48-'d1-П'!F48</f>
        <v>0</v>
      </c>
      <c r="G48" s="96"/>
    </row>
    <row r="49" spans="1:7" ht="16.5" thickTop="1" thickBot="1" x14ac:dyDescent="0.3">
      <c r="A49" s="616">
        <v>18010900</v>
      </c>
      <c r="B49" s="623" t="s">
        <v>74</v>
      </c>
      <c r="C49" s="618">
        <f>'d1'!C49-'d1-П'!C49</f>
        <v>0</v>
      </c>
      <c r="D49" s="618">
        <f>'d1'!D49-'d1-П'!D49</f>
        <v>0</v>
      </c>
      <c r="E49" s="618">
        <f>'d1'!E49-'d1-П'!E49</f>
        <v>0</v>
      </c>
      <c r="F49" s="618">
        <f>'d1'!F49-'d1-П'!F49</f>
        <v>0</v>
      </c>
      <c r="G49" s="96"/>
    </row>
    <row r="50" spans="1:7" ht="15.75" thickTop="1" thickBot="1" x14ac:dyDescent="0.25">
      <c r="A50" s="616">
        <v>18011000</v>
      </c>
      <c r="B50" s="623" t="s">
        <v>75</v>
      </c>
      <c r="C50" s="618">
        <f>'d1'!C50-'d1-П'!C50</f>
        <v>800000</v>
      </c>
      <c r="D50" s="618">
        <f>'d1'!D50-'d1-П'!D50</f>
        <v>800000</v>
      </c>
      <c r="E50" s="618">
        <f>'d1'!E50-'d1-П'!E50</f>
        <v>0</v>
      </c>
      <c r="F50" s="618">
        <f>'d1'!F50-'d1-П'!F50</f>
        <v>0</v>
      </c>
      <c r="G50" s="97"/>
    </row>
    <row r="51" spans="1:7" ht="16.5" thickTop="1" thickBot="1" x14ac:dyDescent="0.3">
      <c r="A51" s="616">
        <v>18011100</v>
      </c>
      <c r="B51" s="623" t="s">
        <v>76</v>
      </c>
      <c r="C51" s="618">
        <f>'d1'!C51-'d1-П'!C51</f>
        <v>200000</v>
      </c>
      <c r="D51" s="618">
        <f>'d1'!D51-'d1-П'!D51</f>
        <v>200000</v>
      </c>
      <c r="E51" s="618">
        <f>'d1'!E51-'d1-П'!E51</f>
        <v>0</v>
      </c>
      <c r="F51" s="618">
        <f>'d1'!F51-'d1-П'!F51</f>
        <v>0</v>
      </c>
      <c r="G51" s="96"/>
    </row>
    <row r="52" spans="1:7" ht="28.5" thickTop="1" thickBot="1" x14ac:dyDescent="0.3">
      <c r="A52" s="620">
        <v>18020000</v>
      </c>
      <c r="B52" s="625" t="s">
        <v>1045</v>
      </c>
      <c r="C52" s="618">
        <f>'d1'!C52-'d1-П'!C52</f>
        <v>0</v>
      </c>
      <c r="D52" s="618">
        <f>'d1'!D52-'d1-П'!D52</f>
        <v>0</v>
      </c>
      <c r="E52" s="618">
        <f>'d1'!E52-'d1-П'!E52</f>
        <v>0</v>
      </c>
      <c r="F52" s="618">
        <f>'d1'!F52-'d1-П'!F52</f>
        <v>0</v>
      </c>
      <c r="G52" s="96"/>
    </row>
    <row r="53" spans="1:7" ht="27" thickTop="1" thickBot="1" x14ac:dyDescent="0.3">
      <c r="A53" s="616">
        <v>180201000</v>
      </c>
      <c r="B53" s="623" t="s">
        <v>1046</v>
      </c>
      <c r="C53" s="618">
        <f>'d1'!C53-'d1-П'!C53</f>
        <v>0</v>
      </c>
      <c r="D53" s="618">
        <f>'d1'!D53-'d1-П'!D53</f>
        <v>0</v>
      </c>
      <c r="E53" s="618">
        <f>'d1'!E53-'d1-П'!E53</f>
        <v>0</v>
      </c>
      <c r="F53" s="618">
        <f>'d1'!F53-'d1-П'!F53</f>
        <v>0</v>
      </c>
      <c r="G53" s="96"/>
    </row>
    <row r="54" spans="1:7" ht="16.5" thickTop="1" thickBot="1" x14ac:dyDescent="0.3">
      <c r="A54" s="620">
        <v>18030000</v>
      </c>
      <c r="B54" s="625" t="s">
        <v>77</v>
      </c>
      <c r="C54" s="618">
        <f>'d1'!C54-'d1-П'!C54</f>
        <v>650000</v>
      </c>
      <c r="D54" s="618">
        <f>'d1'!D54-'d1-П'!D54</f>
        <v>650000</v>
      </c>
      <c r="E54" s="618">
        <f>'d1'!E54-'d1-П'!E54</f>
        <v>0</v>
      </c>
      <c r="F54" s="618">
        <f>'d1'!F54-'d1-П'!F54</f>
        <v>0</v>
      </c>
      <c r="G54" s="96"/>
    </row>
    <row r="55" spans="1:7" ht="27" thickTop="1" thickBot="1" x14ac:dyDescent="0.3">
      <c r="A55" s="616">
        <v>18030100</v>
      </c>
      <c r="B55" s="623" t="s">
        <v>78</v>
      </c>
      <c r="C55" s="618">
        <f>'d1'!C55-'d1-П'!C55</f>
        <v>500000</v>
      </c>
      <c r="D55" s="618">
        <f>'d1'!D55-'d1-П'!D55</f>
        <v>500000</v>
      </c>
      <c r="E55" s="618">
        <f>'d1'!E55-'d1-П'!E55</f>
        <v>0</v>
      </c>
      <c r="F55" s="618">
        <f>'d1'!F55-'d1-П'!F55</f>
        <v>0</v>
      </c>
      <c r="G55" s="96"/>
    </row>
    <row r="56" spans="1:7" ht="27" thickTop="1" thickBot="1" x14ac:dyDescent="0.3">
      <c r="A56" s="616">
        <v>18030200</v>
      </c>
      <c r="B56" s="623" t="s">
        <v>79</v>
      </c>
      <c r="C56" s="618">
        <f>'d1'!C56-'d1-П'!C56</f>
        <v>150000</v>
      </c>
      <c r="D56" s="618">
        <f>'d1'!D56-'d1-П'!D56</f>
        <v>150000</v>
      </c>
      <c r="E56" s="618">
        <f>'d1'!E56-'d1-П'!E56</f>
        <v>0</v>
      </c>
      <c r="F56" s="618">
        <f>'d1'!F56-'d1-П'!F56</f>
        <v>0</v>
      </c>
      <c r="G56" s="96"/>
    </row>
    <row r="57" spans="1:7" ht="16.5" thickTop="1" thickBot="1" x14ac:dyDescent="0.3">
      <c r="A57" s="620">
        <v>18050000</v>
      </c>
      <c r="B57" s="625" t="s">
        <v>80</v>
      </c>
      <c r="C57" s="618">
        <f>'d1'!C57-'d1-П'!C57</f>
        <v>8000000</v>
      </c>
      <c r="D57" s="618">
        <f>'d1'!D57-'d1-П'!D57</f>
        <v>8000000</v>
      </c>
      <c r="E57" s="618">
        <f>'d1'!E57-'d1-П'!E57</f>
        <v>0</v>
      </c>
      <c r="F57" s="618">
        <f>'d1'!F57-'d1-П'!F57</f>
        <v>0</v>
      </c>
      <c r="G57" s="96"/>
    </row>
    <row r="58" spans="1:7" ht="16.5" thickTop="1" thickBot="1" x14ac:dyDescent="0.3">
      <c r="A58" s="616">
        <v>18050300</v>
      </c>
      <c r="B58" s="617" t="s">
        <v>963</v>
      </c>
      <c r="C58" s="618">
        <f>'d1'!C58-'d1-П'!C58</f>
        <v>8000000</v>
      </c>
      <c r="D58" s="618">
        <f>'d1'!D58-'d1-П'!D58</f>
        <v>8000000</v>
      </c>
      <c r="E58" s="618">
        <f>'d1'!E58-'d1-П'!E58</f>
        <v>0</v>
      </c>
      <c r="F58" s="618">
        <f>'d1'!F58-'d1-П'!F58</f>
        <v>0</v>
      </c>
      <c r="G58" s="96"/>
    </row>
    <row r="59" spans="1:7" ht="15.75" thickTop="1" thickBot="1" x14ac:dyDescent="0.25">
      <c r="A59" s="616">
        <v>18050400</v>
      </c>
      <c r="B59" s="623" t="s">
        <v>81</v>
      </c>
      <c r="C59" s="618">
        <f>'d1'!C59-'d1-П'!C59</f>
        <v>0</v>
      </c>
      <c r="D59" s="618">
        <f>'d1'!D59-'d1-П'!D59</f>
        <v>0</v>
      </c>
      <c r="E59" s="618">
        <f>'d1'!E59-'d1-П'!E59</f>
        <v>0</v>
      </c>
      <c r="F59" s="618">
        <f>'d1'!F59-'d1-П'!F59</f>
        <v>0</v>
      </c>
      <c r="G59" s="97"/>
    </row>
    <row r="60" spans="1:7" ht="65.25" thickTop="1" thickBot="1" x14ac:dyDescent="0.25">
      <c r="A60" s="616">
        <v>18050500</v>
      </c>
      <c r="B60" s="623" t="s">
        <v>517</v>
      </c>
      <c r="C60" s="618">
        <f>'d1'!C60-'d1-П'!C60</f>
        <v>0</v>
      </c>
      <c r="D60" s="618">
        <f>'d1'!D60-'d1-П'!D60</f>
        <v>0</v>
      </c>
      <c r="E60" s="618">
        <f>'d1'!E60-'d1-П'!E60</f>
        <v>0</v>
      </c>
      <c r="F60" s="618">
        <f>'d1'!F60-'d1-П'!F60</f>
        <v>0</v>
      </c>
      <c r="G60" s="97"/>
    </row>
    <row r="61" spans="1:7" ht="31.7" customHeight="1" thickTop="1" thickBot="1" x14ac:dyDescent="0.25">
      <c r="A61" s="375">
        <v>19000000</v>
      </c>
      <c r="B61" s="628" t="s">
        <v>510</v>
      </c>
      <c r="C61" s="618">
        <f>'d1'!C61-'d1-П'!C61</f>
        <v>0</v>
      </c>
      <c r="D61" s="618">
        <f>'d1'!D61-'d1-П'!D61</f>
        <v>0</v>
      </c>
      <c r="E61" s="618">
        <f>'d1'!E61-'d1-П'!E61</f>
        <v>0</v>
      </c>
      <c r="F61" s="618">
        <f>'d1'!F61-'d1-П'!F61</f>
        <v>0</v>
      </c>
      <c r="G61" s="97"/>
    </row>
    <row r="62" spans="1:7" ht="16.5" thickTop="1" thickBot="1" x14ac:dyDescent="0.3">
      <c r="A62" s="620">
        <v>1901000</v>
      </c>
      <c r="B62" s="621" t="s">
        <v>82</v>
      </c>
      <c r="C62" s="618">
        <f>'d1'!C62-'d1-П'!C62</f>
        <v>0</v>
      </c>
      <c r="D62" s="618">
        <f>'d1'!D62-'d1-П'!D62</f>
        <v>0</v>
      </c>
      <c r="E62" s="618">
        <f>'d1'!E62-'d1-П'!E62</f>
        <v>0</v>
      </c>
      <c r="F62" s="618">
        <f>'d1'!F62-'d1-П'!F62</f>
        <v>0</v>
      </c>
      <c r="G62" s="96"/>
    </row>
    <row r="63" spans="1:7" ht="52.5" thickTop="1" thickBot="1" x14ac:dyDescent="0.3">
      <c r="A63" s="616">
        <v>19010100</v>
      </c>
      <c r="B63" s="617" t="s">
        <v>511</v>
      </c>
      <c r="C63" s="618">
        <f>'d1'!C63-'d1-П'!C63</f>
        <v>0</v>
      </c>
      <c r="D63" s="618">
        <f>'d1'!D63-'d1-П'!D63</f>
        <v>0</v>
      </c>
      <c r="E63" s="618">
        <f>'d1'!E63-'d1-П'!E63</f>
        <v>0</v>
      </c>
      <c r="F63" s="618">
        <f>'d1'!F63-'d1-П'!F63</f>
        <v>0</v>
      </c>
      <c r="G63" s="96"/>
    </row>
    <row r="64" spans="1:7" ht="27" thickTop="1" thickBot="1" x14ac:dyDescent="0.25">
      <c r="A64" s="616">
        <v>19010200</v>
      </c>
      <c r="B64" s="617" t="s">
        <v>1134</v>
      </c>
      <c r="C64" s="618">
        <f>'d1'!C64-'d1-П'!C64</f>
        <v>0</v>
      </c>
      <c r="D64" s="618">
        <f>'d1'!D64-'d1-П'!D64</f>
        <v>0</v>
      </c>
      <c r="E64" s="618">
        <f>'d1'!E64-'d1-П'!E64</f>
        <v>0</v>
      </c>
      <c r="F64" s="618">
        <f>'d1'!F64-'d1-П'!F64</f>
        <v>0</v>
      </c>
      <c r="G64" s="99"/>
    </row>
    <row r="65" spans="1:7" ht="52.5" thickTop="1" thickBot="1" x14ac:dyDescent="0.3">
      <c r="A65" s="616">
        <v>19010300</v>
      </c>
      <c r="B65" s="617" t="s">
        <v>1135</v>
      </c>
      <c r="C65" s="618">
        <f>'d1'!C65-'d1-П'!C65</f>
        <v>0</v>
      </c>
      <c r="D65" s="618">
        <f>'d1'!D65-'d1-П'!D65</f>
        <v>0</v>
      </c>
      <c r="E65" s="618">
        <f>'d1'!E65-'d1-П'!E65</f>
        <v>0</v>
      </c>
      <c r="F65" s="618">
        <f>'d1'!F65-'d1-П'!F65</f>
        <v>0</v>
      </c>
      <c r="G65" s="96"/>
    </row>
    <row r="66" spans="1:7" ht="30" customHeight="1" thickTop="1" thickBot="1" x14ac:dyDescent="0.3">
      <c r="A66" s="629">
        <v>20000000</v>
      </c>
      <c r="B66" s="629" t="s">
        <v>83</v>
      </c>
      <c r="C66" s="630">
        <f t="shared" si="0"/>
        <v>6916000</v>
      </c>
      <c r="D66" s="630">
        <f>SUM(D67,D77,D90,D95)+D89</f>
        <v>6916000</v>
      </c>
      <c r="E66" s="630">
        <f>SUM(E67,E77,E90,E95)+E89</f>
        <v>0</v>
      </c>
      <c r="F66" s="630">
        <f>SUM(F67,F77,F90,F95)+F89</f>
        <v>0</v>
      </c>
      <c r="G66" s="96"/>
    </row>
    <row r="67" spans="1:7" ht="27" thickTop="1" thickBot="1" x14ac:dyDescent="0.3">
      <c r="A67" s="375">
        <v>21000000</v>
      </c>
      <c r="B67" s="375" t="s">
        <v>512</v>
      </c>
      <c r="C67" s="618">
        <f>'d1'!C67-'d1-П'!C67</f>
        <v>0</v>
      </c>
      <c r="D67" s="618">
        <f>'d1'!D67-'d1-П'!D67</f>
        <v>0</v>
      </c>
      <c r="E67" s="618">
        <f>'d1'!E67-'d1-П'!E67</f>
        <v>0</v>
      </c>
      <c r="F67" s="618">
        <f>'d1'!F67-'d1-П'!F67</f>
        <v>0</v>
      </c>
      <c r="G67" s="96"/>
    </row>
    <row r="68" spans="1:7" ht="55.5" thickTop="1" thickBot="1" x14ac:dyDescent="0.3">
      <c r="A68" s="620">
        <v>21010000</v>
      </c>
      <c r="B68" s="625" t="s">
        <v>513</v>
      </c>
      <c r="C68" s="618">
        <f>'d1'!C68-'d1-П'!C68</f>
        <v>0</v>
      </c>
      <c r="D68" s="618">
        <f>'d1'!D68-'d1-П'!D68</f>
        <v>0</v>
      </c>
      <c r="E68" s="618">
        <f>'d1'!E68-'d1-П'!E68</f>
        <v>0</v>
      </c>
      <c r="F68" s="618">
        <f>'d1'!F68-'d1-П'!F68</f>
        <v>0</v>
      </c>
      <c r="G68" s="96"/>
    </row>
    <row r="69" spans="1:7" ht="52.5" thickTop="1" thickBot="1" x14ac:dyDescent="0.3">
      <c r="A69" s="616">
        <v>21010300</v>
      </c>
      <c r="B69" s="623" t="s">
        <v>1212</v>
      </c>
      <c r="C69" s="618">
        <f>'d1'!C69-'d1-П'!C69</f>
        <v>0</v>
      </c>
      <c r="D69" s="618">
        <f>'d1'!D69-'d1-П'!D69</f>
        <v>0</v>
      </c>
      <c r="E69" s="618">
        <f>'d1'!E69-'d1-П'!E69</f>
        <v>0</v>
      </c>
      <c r="F69" s="618">
        <f>'d1'!F69-'d1-П'!F69</f>
        <v>0</v>
      </c>
      <c r="G69" s="96"/>
    </row>
    <row r="70" spans="1:7" ht="28.5" hidden="1" thickTop="1" thickBot="1" x14ac:dyDescent="0.3">
      <c r="A70" s="327">
        <v>21050000</v>
      </c>
      <c r="B70" s="328" t="s">
        <v>84</v>
      </c>
      <c r="C70" s="618">
        <f>'d1'!C70-'d1-П'!C70</f>
        <v>0</v>
      </c>
      <c r="D70" s="618">
        <f>'d1'!D70-'d1-П'!D70</f>
        <v>0</v>
      </c>
      <c r="E70" s="618">
        <f>'d1'!E70-'d1-П'!E70</f>
        <v>0</v>
      </c>
      <c r="F70" s="618">
        <f>'d1'!F70-'d1-П'!F70</f>
        <v>0</v>
      </c>
      <c r="G70" s="96"/>
    </row>
    <row r="71" spans="1:7" ht="15" thickTop="1" thickBot="1" x14ac:dyDescent="0.25">
      <c r="A71" s="620">
        <v>21080000</v>
      </c>
      <c r="B71" s="625" t="s">
        <v>964</v>
      </c>
      <c r="C71" s="618">
        <f>'d1'!C71-'d1-П'!C71</f>
        <v>0</v>
      </c>
      <c r="D71" s="618">
        <f>'d1'!D71-'d1-П'!D71</f>
        <v>0</v>
      </c>
      <c r="E71" s="618">
        <f>'d1'!E71-'d1-П'!E71</f>
        <v>0</v>
      </c>
      <c r="F71" s="618">
        <f>'d1'!F71-'d1-П'!F71</f>
        <v>0</v>
      </c>
      <c r="G71" s="99"/>
    </row>
    <row r="72" spans="1:7" ht="16.5" thickTop="1" thickBot="1" x14ac:dyDescent="0.3">
      <c r="A72" s="616">
        <v>21081100</v>
      </c>
      <c r="B72" s="631" t="s">
        <v>85</v>
      </c>
      <c r="C72" s="618">
        <f>'d1'!C72-'d1-П'!C72</f>
        <v>0</v>
      </c>
      <c r="D72" s="618">
        <f>'d1'!D72-'d1-П'!D72</f>
        <v>0</v>
      </c>
      <c r="E72" s="618">
        <f>'d1'!E72-'d1-П'!E72</f>
        <v>0</v>
      </c>
      <c r="F72" s="618">
        <f>'d1'!F72-'d1-П'!F72</f>
        <v>0</v>
      </c>
      <c r="G72" s="96"/>
    </row>
    <row r="73" spans="1:7" ht="90.75" thickTop="1" thickBot="1" x14ac:dyDescent="0.3">
      <c r="A73" s="616">
        <v>21081500</v>
      </c>
      <c r="B73" s="617" t="s">
        <v>1384</v>
      </c>
      <c r="C73" s="618">
        <f>'d1'!C73-'d1-П'!C73</f>
        <v>0</v>
      </c>
      <c r="D73" s="618">
        <f>'d1'!D73-'d1-П'!D73</f>
        <v>0</v>
      </c>
      <c r="E73" s="618">
        <f>'d1'!E73-'d1-П'!E73</f>
        <v>0</v>
      </c>
      <c r="F73" s="618">
        <f>'d1'!F73-'d1-П'!F73</f>
        <v>0</v>
      </c>
      <c r="G73" s="96"/>
    </row>
    <row r="74" spans="1:7" ht="16.5" thickTop="1" thickBot="1" x14ac:dyDescent="0.3">
      <c r="A74" s="616">
        <v>21081700</v>
      </c>
      <c r="B74" s="617" t="s">
        <v>364</v>
      </c>
      <c r="C74" s="618">
        <f>'d1'!C74-'d1-П'!C74</f>
        <v>0</v>
      </c>
      <c r="D74" s="618">
        <f>'d1'!D74-'d1-П'!D74</f>
        <v>0</v>
      </c>
      <c r="E74" s="618">
        <f>'d1'!E74-'d1-П'!E74</f>
        <v>0</v>
      </c>
      <c r="F74" s="618">
        <f>'d1'!F74-'d1-П'!F74</f>
        <v>0</v>
      </c>
      <c r="G74" s="100"/>
    </row>
    <row r="75" spans="1:7" ht="52.5" thickTop="1" thickBot="1" x14ac:dyDescent="0.3">
      <c r="A75" s="616">
        <v>21081800</v>
      </c>
      <c r="B75" s="617" t="s">
        <v>1291</v>
      </c>
      <c r="C75" s="618">
        <f>'d1'!C75-'d1-П'!C75</f>
        <v>0</v>
      </c>
      <c r="D75" s="618">
        <f>'d1'!D75-'d1-П'!D75</f>
        <v>0</v>
      </c>
      <c r="E75" s="618">
        <f>'d1'!E75-'d1-П'!E75</f>
        <v>0</v>
      </c>
      <c r="F75" s="618">
        <f>'d1'!F75-'d1-П'!F75</f>
        <v>0</v>
      </c>
      <c r="G75" s="100"/>
    </row>
    <row r="76" spans="1:7" ht="78" thickTop="1" thickBot="1" x14ac:dyDescent="0.3">
      <c r="A76" s="616">
        <v>21082400</v>
      </c>
      <c r="B76" s="617" t="s">
        <v>1292</v>
      </c>
      <c r="C76" s="618">
        <f>'d1'!C76-'d1-П'!C76</f>
        <v>0</v>
      </c>
      <c r="D76" s="618">
        <f>'d1'!D76-'d1-П'!D76</f>
        <v>0</v>
      </c>
      <c r="E76" s="618">
        <f>'d1'!E76-'d1-П'!E76</f>
        <v>0</v>
      </c>
      <c r="F76" s="618">
        <f>'d1'!F76-'d1-П'!F76</f>
        <v>0</v>
      </c>
      <c r="G76" s="100"/>
    </row>
    <row r="77" spans="1:7" ht="27" thickTop="1" thickBot="1" x14ac:dyDescent="0.3">
      <c r="A77" s="375">
        <v>22000000</v>
      </c>
      <c r="B77" s="375" t="s">
        <v>86</v>
      </c>
      <c r="C77" s="618">
        <f>'d1'!C77-'d1-П'!C77</f>
        <v>1000000</v>
      </c>
      <c r="D77" s="618">
        <f>'d1'!D77-'d1-П'!D77</f>
        <v>1000000</v>
      </c>
      <c r="E77" s="618">
        <f>'d1'!E77-'d1-П'!E77</f>
        <v>0</v>
      </c>
      <c r="F77" s="618">
        <f>'d1'!F77-'d1-П'!F77</f>
        <v>0</v>
      </c>
      <c r="G77" s="96"/>
    </row>
    <row r="78" spans="1:7" ht="24.75" customHeight="1" thickTop="1" thickBot="1" x14ac:dyDescent="0.3">
      <c r="A78" s="620">
        <v>22010000</v>
      </c>
      <c r="B78" s="621" t="s">
        <v>514</v>
      </c>
      <c r="C78" s="618">
        <f>'d1'!C78-'d1-П'!C78</f>
        <v>0</v>
      </c>
      <c r="D78" s="618">
        <f>'d1'!D78-'d1-П'!D78</f>
        <v>0</v>
      </c>
      <c r="E78" s="618">
        <f>'d1'!E78-'d1-П'!E78</f>
        <v>0</v>
      </c>
      <c r="F78" s="618">
        <f>'d1'!F78-'d1-П'!F78</f>
        <v>0</v>
      </c>
      <c r="G78" s="96"/>
    </row>
    <row r="79" spans="1:7" ht="52.5" thickTop="1" thickBot="1" x14ac:dyDescent="0.3">
      <c r="A79" s="616">
        <v>22010300</v>
      </c>
      <c r="B79" s="617" t="s">
        <v>1385</v>
      </c>
      <c r="C79" s="618">
        <f>'d1'!C79-'d1-П'!C79</f>
        <v>0</v>
      </c>
      <c r="D79" s="618">
        <f>'d1'!D79-'d1-П'!D79</f>
        <v>0</v>
      </c>
      <c r="E79" s="618">
        <f>'d1'!E79-'d1-П'!E79</f>
        <v>0</v>
      </c>
      <c r="F79" s="618">
        <f>'d1'!F79-'d1-П'!F79</f>
        <v>0</v>
      </c>
      <c r="G79" s="96"/>
    </row>
    <row r="80" spans="1:7" ht="16.5" thickTop="1" thickBot="1" x14ac:dyDescent="0.3">
      <c r="A80" s="616">
        <v>22012500</v>
      </c>
      <c r="B80" s="617" t="s">
        <v>88</v>
      </c>
      <c r="C80" s="618">
        <f>'d1'!C80-'d1-П'!C80</f>
        <v>0</v>
      </c>
      <c r="D80" s="618">
        <f>'d1'!D80-'d1-П'!D80</f>
        <v>0</v>
      </c>
      <c r="E80" s="618">
        <f>'d1'!E80-'d1-П'!E80</f>
        <v>0</v>
      </c>
      <c r="F80" s="618">
        <f>'d1'!F80-'d1-П'!F80</f>
        <v>0</v>
      </c>
      <c r="G80" s="96"/>
    </row>
    <row r="81" spans="1:7" ht="27" thickTop="1" thickBot="1" x14ac:dyDescent="0.3">
      <c r="A81" s="616">
        <v>22012600</v>
      </c>
      <c r="B81" s="617" t="s">
        <v>87</v>
      </c>
      <c r="C81" s="618">
        <f>'d1'!C81-'d1-П'!C81</f>
        <v>0</v>
      </c>
      <c r="D81" s="618">
        <f>'d1'!D81-'d1-П'!D81</f>
        <v>0</v>
      </c>
      <c r="E81" s="618">
        <f>'d1'!E81-'d1-П'!E81</f>
        <v>0</v>
      </c>
      <c r="F81" s="618">
        <f>'d1'!F81-'d1-П'!F81</f>
        <v>0</v>
      </c>
      <c r="G81" s="96"/>
    </row>
    <row r="82" spans="1:7" ht="42" thickTop="1" thickBot="1" x14ac:dyDescent="0.3">
      <c r="A82" s="620">
        <v>22020000</v>
      </c>
      <c r="B82" s="621" t="s">
        <v>1332</v>
      </c>
      <c r="C82" s="618">
        <f>'d1'!C82-'d1-П'!C82</f>
        <v>0</v>
      </c>
      <c r="D82" s="618">
        <f>'d1'!D82-'d1-П'!D82</f>
        <v>0</v>
      </c>
      <c r="E82" s="618">
        <f>'d1'!E82-'d1-П'!E82</f>
        <v>0</v>
      </c>
      <c r="F82" s="618">
        <f>'d1'!F82-'d1-П'!F82</f>
        <v>0</v>
      </c>
      <c r="G82" s="96"/>
    </row>
    <row r="83" spans="1:7" ht="39.75" thickTop="1" thickBot="1" x14ac:dyDescent="0.3">
      <c r="A83" s="616">
        <v>22020400</v>
      </c>
      <c r="B83" s="617" t="s">
        <v>1333</v>
      </c>
      <c r="C83" s="618">
        <f>'d1'!C83-'d1-П'!C83</f>
        <v>0</v>
      </c>
      <c r="D83" s="618">
        <f>'d1'!D83-'d1-П'!D83</f>
        <v>0</v>
      </c>
      <c r="E83" s="618">
        <f>'d1'!E83-'d1-П'!E83</f>
        <v>0</v>
      </c>
      <c r="F83" s="618">
        <f>'d1'!F83-'d1-П'!F83</f>
        <v>0</v>
      </c>
      <c r="G83" s="96"/>
    </row>
    <row r="84" spans="1:7" ht="42" thickTop="1" thickBot="1" x14ac:dyDescent="0.3">
      <c r="A84" s="620">
        <v>2208000</v>
      </c>
      <c r="B84" s="621" t="s">
        <v>515</v>
      </c>
      <c r="C84" s="618">
        <f>'d1'!C84-'d1-П'!C84</f>
        <v>0</v>
      </c>
      <c r="D84" s="618">
        <f>'d1'!D84-'d1-П'!D84</f>
        <v>0</v>
      </c>
      <c r="E84" s="618">
        <f>'d1'!E84-'d1-П'!E84</f>
        <v>0</v>
      </c>
      <c r="F84" s="618">
        <f>'d1'!F84-'d1-П'!F84</f>
        <v>0</v>
      </c>
      <c r="G84" s="96"/>
    </row>
    <row r="85" spans="1:7" ht="52.5" thickTop="1" thickBot="1" x14ac:dyDescent="0.3">
      <c r="A85" s="616">
        <v>22080400</v>
      </c>
      <c r="B85" s="631" t="s">
        <v>89</v>
      </c>
      <c r="C85" s="618">
        <f>'d1'!C85-'d1-П'!C85</f>
        <v>0</v>
      </c>
      <c r="D85" s="618">
        <f>'d1'!D85-'d1-П'!D85</f>
        <v>0</v>
      </c>
      <c r="E85" s="618">
        <f>'d1'!E85-'d1-П'!E85</f>
        <v>0</v>
      </c>
      <c r="F85" s="618">
        <f>'d1'!F85-'d1-П'!F85</f>
        <v>0</v>
      </c>
      <c r="G85" s="96"/>
    </row>
    <row r="86" spans="1:7" ht="16.5" thickTop="1" thickBot="1" x14ac:dyDescent="0.3">
      <c r="A86" s="620">
        <v>22090000</v>
      </c>
      <c r="B86" s="632" t="s">
        <v>90</v>
      </c>
      <c r="C86" s="618">
        <f>'d1'!C86-'d1-П'!C86</f>
        <v>1000000</v>
      </c>
      <c r="D86" s="618">
        <f>'d1'!D86-'d1-П'!D86</f>
        <v>1000000</v>
      </c>
      <c r="E86" s="618">
        <f>'d1'!E86-'d1-П'!E86</f>
        <v>0</v>
      </c>
      <c r="F86" s="618">
        <f>'d1'!F86-'d1-П'!F86</f>
        <v>0</v>
      </c>
      <c r="G86" s="96"/>
    </row>
    <row r="87" spans="1:7" ht="52.5" thickTop="1" thickBot="1" x14ac:dyDescent="0.3">
      <c r="A87" s="616">
        <v>22090100</v>
      </c>
      <c r="B87" s="623" t="s">
        <v>91</v>
      </c>
      <c r="C87" s="618">
        <f>'d1'!C87-'d1-П'!C87</f>
        <v>1000000</v>
      </c>
      <c r="D87" s="618">
        <f>'d1'!D87-'d1-П'!D87</f>
        <v>1000000</v>
      </c>
      <c r="E87" s="618">
        <f>'d1'!E87-'d1-П'!E87</f>
        <v>0</v>
      </c>
      <c r="F87" s="618">
        <f>'d1'!F87-'d1-П'!F87</f>
        <v>0</v>
      </c>
      <c r="G87" s="96"/>
    </row>
    <row r="88" spans="1:7" ht="39.75" thickTop="1" thickBot="1" x14ac:dyDescent="0.25">
      <c r="A88" s="616">
        <v>22090400</v>
      </c>
      <c r="B88" s="623" t="s">
        <v>92</v>
      </c>
      <c r="C88" s="618">
        <f>'d1'!C88-'d1-П'!C88</f>
        <v>0</v>
      </c>
      <c r="D88" s="618">
        <f>'d1'!D88-'d1-П'!D88</f>
        <v>0</v>
      </c>
      <c r="E88" s="618">
        <f>'d1'!E88-'d1-П'!E88</f>
        <v>0</v>
      </c>
      <c r="F88" s="618">
        <f>'d1'!F88-'d1-П'!F88</f>
        <v>0</v>
      </c>
      <c r="G88" s="98"/>
    </row>
    <row r="89" spans="1:7" ht="78" thickTop="1" thickBot="1" x14ac:dyDescent="0.25">
      <c r="A89" s="375">
        <v>22130000</v>
      </c>
      <c r="B89" s="633" t="s">
        <v>1293</v>
      </c>
      <c r="C89" s="618">
        <f>'d1'!C89-'d1-П'!C89</f>
        <v>0</v>
      </c>
      <c r="D89" s="618">
        <f>'d1'!D89-'d1-П'!D89</f>
        <v>0</v>
      </c>
      <c r="E89" s="618">
        <f>'d1'!E89-'d1-П'!E89</f>
        <v>0</v>
      </c>
      <c r="F89" s="618">
        <f>'d1'!F89-'d1-П'!F89</f>
        <v>0</v>
      </c>
      <c r="G89" s="98"/>
    </row>
    <row r="90" spans="1:7" ht="20.25" customHeight="1" thickTop="1" thickBot="1" x14ac:dyDescent="0.3">
      <c r="A90" s="375">
        <v>24000000</v>
      </c>
      <c r="B90" s="633" t="s">
        <v>93</v>
      </c>
      <c r="C90" s="618">
        <f>'d1'!C90-'d1-П'!C90</f>
        <v>5916000</v>
      </c>
      <c r="D90" s="618">
        <f>'d1'!D90-'d1-П'!D90</f>
        <v>5916000</v>
      </c>
      <c r="E90" s="618">
        <f>'d1'!E90-'d1-П'!E90</f>
        <v>0</v>
      </c>
      <c r="F90" s="618">
        <f>'d1'!F90-'d1-П'!F90</f>
        <v>0</v>
      </c>
      <c r="G90" s="96"/>
    </row>
    <row r="91" spans="1:7" ht="16.5" thickTop="1" thickBot="1" x14ac:dyDescent="0.3">
      <c r="A91" s="616">
        <v>24060300</v>
      </c>
      <c r="B91" s="617" t="s">
        <v>94</v>
      </c>
      <c r="C91" s="618">
        <f>'d1'!C91-'d1-П'!C91</f>
        <v>5916000</v>
      </c>
      <c r="D91" s="618">
        <f>'d1'!D91-'d1-П'!D91</f>
        <v>5916000</v>
      </c>
      <c r="E91" s="618">
        <f>'d1'!E91-'d1-П'!E91</f>
        <v>0</v>
      </c>
      <c r="F91" s="618">
        <f>'d1'!F91-'d1-П'!F91</f>
        <v>0</v>
      </c>
      <c r="G91" s="96"/>
    </row>
    <row r="92" spans="1:7" ht="65.25" thickTop="1" thickBot="1" x14ac:dyDescent="0.3">
      <c r="A92" s="616">
        <v>24062200</v>
      </c>
      <c r="B92" s="617" t="s">
        <v>365</v>
      </c>
      <c r="C92" s="618">
        <f>'d1'!C92-'d1-П'!C92</f>
        <v>0</v>
      </c>
      <c r="D92" s="618">
        <f>'d1'!D92-'d1-П'!D92</f>
        <v>0</v>
      </c>
      <c r="E92" s="618">
        <f>'d1'!E92-'d1-П'!E92</f>
        <v>0</v>
      </c>
      <c r="F92" s="618">
        <f>'d1'!F92-'d1-П'!F92</f>
        <v>0</v>
      </c>
      <c r="G92" s="96"/>
    </row>
    <row r="93" spans="1:7" ht="39.75" thickTop="1" thickBot="1" x14ac:dyDescent="0.3">
      <c r="A93" s="616">
        <v>24110700</v>
      </c>
      <c r="B93" s="634" t="s">
        <v>563</v>
      </c>
      <c r="C93" s="618">
        <f>'d1'!C93-'d1-П'!C93</f>
        <v>0</v>
      </c>
      <c r="D93" s="618">
        <f>'d1'!D93-'d1-П'!D93</f>
        <v>0</v>
      </c>
      <c r="E93" s="618">
        <f>'d1'!E93-'d1-П'!E93</f>
        <v>0</v>
      </c>
      <c r="F93" s="618">
        <f>'d1'!F93-'d1-П'!F93</f>
        <v>0</v>
      </c>
      <c r="G93" s="96"/>
    </row>
    <row r="94" spans="1:7" ht="27" thickTop="1" thickBot="1" x14ac:dyDescent="0.25">
      <c r="A94" s="616">
        <v>24170000</v>
      </c>
      <c r="B94" s="623" t="s">
        <v>95</v>
      </c>
      <c r="C94" s="618">
        <f>'d1'!C94-'d1-П'!C94</f>
        <v>0</v>
      </c>
      <c r="D94" s="618">
        <f>'d1'!D94-'d1-П'!D94</f>
        <v>0</v>
      </c>
      <c r="E94" s="618">
        <f>'d1'!E94-'d1-П'!E94</f>
        <v>0</v>
      </c>
      <c r="F94" s="618">
        <f>'d1'!F94-'d1-П'!F94</f>
        <v>0</v>
      </c>
      <c r="G94" s="97"/>
    </row>
    <row r="95" spans="1:7" ht="16.5" thickTop="1" thickBot="1" x14ac:dyDescent="0.3">
      <c r="A95" s="375">
        <v>25000000</v>
      </c>
      <c r="B95" s="635" t="s">
        <v>96</v>
      </c>
      <c r="C95" s="618">
        <f>'d1'!C95-'d1-П'!C95</f>
        <v>0</v>
      </c>
      <c r="D95" s="618">
        <f>'d1'!D95-'d1-П'!D95</f>
        <v>0</v>
      </c>
      <c r="E95" s="618">
        <f>'d1'!E95-'d1-П'!E95</f>
        <v>0</v>
      </c>
      <c r="F95" s="618">
        <f>'d1'!F95-'d1-П'!F95</f>
        <v>0</v>
      </c>
      <c r="G95" s="96"/>
    </row>
    <row r="96" spans="1:7" ht="42" thickTop="1" thickBot="1" x14ac:dyDescent="0.3">
      <c r="A96" s="620">
        <v>25010000</v>
      </c>
      <c r="B96" s="625" t="s">
        <v>97</v>
      </c>
      <c r="C96" s="618">
        <f>'d1'!C96-'d1-П'!C96</f>
        <v>0</v>
      </c>
      <c r="D96" s="618">
        <f>'d1'!D96-'d1-П'!D96</f>
        <v>0</v>
      </c>
      <c r="E96" s="618">
        <f>'d1'!E96-'d1-П'!E96</f>
        <v>0</v>
      </c>
      <c r="F96" s="618">
        <f>'d1'!F96-'d1-П'!F96</f>
        <v>0</v>
      </c>
      <c r="G96" s="96"/>
    </row>
    <row r="97" spans="1:7" ht="27" thickTop="1" thickBot="1" x14ac:dyDescent="0.3">
      <c r="A97" s="616">
        <v>25010100</v>
      </c>
      <c r="B97" s="623" t="s">
        <v>98</v>
      </c>
      <c r="C97" s="618">
        <f>'d1'!C97-'d1-П'!C97</f>
        <v>0</v>
      </c>
      <c r="D97" s="618">
        <f>'d1'!D97-'d1-П'!D97</f>
        <v>0</v>
      </c>
      <c r="E97" s="618">
        <f>'d1'!E97-'d1-П'!E97</f>
        <v>0</v>
      </c>
      <c r="F97" s="618">
        <f>'d1'!F97-'d1-П'!F97</f>
        <v>0</v>
      </c>
      <c r="G97" s="96"/>
    </row>
    <row r="98" spans="1:7" ht="27" thickTop="1" thickBot="1" x14ac:dyDescent="0.3">
      <c r="A98" s="616">
        <v>25010200</v>
      </c>
      <c r="B98" s="623" t="s">
        <v>99</v>
      </c>
      <c r="C98" s="618">
        <f>'d1'!C98-'d1-П'!C98</f>
        <v>0</v>
      </c>
      <c r="D98" s="618">
        <f>'d1'!D98-'d1-П'!D98</f>
        <v>0</v>
      </c>
      <c r="E98" s="618">
        <f>'d1'!E98-'d1-П'!E98</f>
        <v>0</v>
      </c>
      <c r="F98" s="618">
        <f>'d1'!F98-'d1-П'!F98</f>
        <v>0</v>
      </c>
      <c r="G98" s="96"/>
    </row>
    <row r="99" spans="1:7" ht="16.5" thickTop="1" thickBot="1" x14ac:dyDescent="0.3">
      <c r="A99" s="616">
        <v>25010300</v>
      </c>
      <c r="B99" s="623" t="s">
        <v>100</v>
      </c>
      <c r="C99" s="618">
        <f>'d1'!C99-'d1-П'!C99</f>
        <v>0</v>
      </c>
      <c r="D99" s="618">
        <f>'d1'!D99-'d1-П'!D99</f>
        <v>0</v>
      </c>
      <c r="E99" s="618">
        <f>'d1'!E99-'d1-П'!E99</f>
        <v>0</v>
      </c>
      <c r="F99" s="618">
        <f>'d1'!F99-'d1-П'!F99</f>
        <v>0</v>
      </c>
      <c r="G99" s="96"/>
    </row>
    <row r="100" spans="1:7" ht="39.75" thickTop="1" thickBot="1" x14ac:dyDescent="0.3">
      <c r="A100" s="616">
        <v>25010400</v>
      </c>
      <c r="B100" s="623" t="s">
        <v>101</v>
      </c>
      <c r="C100" s="618">
        <f>'d1'!C100-'d1-П'!C100</f>
        <v>0</v>
      </c>
      <c r="D100" s="618">
        <f>'d1'!D100-'d1-П'!D100</f>
        <v>0</v>
      </c>
      <c r="E100" s="618">
        <f>'d1'!E100-'d1-П'!E100</f>
        <v>0</v>
      </c>
      <c r="F100" s="618">
        <f>'d1'!F100-'d1-П'!F100</f>
        <v>0</v>
      </c>
      <c r="G100" s="96"/>
    </row>
    <row r="101" spans="1:7" ht="24.75" customHeight="1" thickTop="1" thickBot="1" x14ac:dyDescent="0.25">
      <c r="A101" s="629">
        <v>30000000</v>
      </c>
      <c r="B101" s="629" t="s">
        <v>102</v>
      </c>
      <c r="C101" s="630">
        <f>SUM(D101,E101)</f>
        <v>0</v>
      </c>
      <c r="D101" s="630">
        <f>SUM(D102)+D106</f>
        <v>0</v>
      </c>
      <c r="E101" s="630">
        <f>SUM(E102)+E106</f>
        <v>0</v>
      </c>
      <c r="F101" s="630">
        <f>SUM(F102)+F106</f>
        <v>0</v>
      </c>
      <c r="G101" s="98"/>
    </row>
    <row r="102" spans="1:7" ht="27" customHeight="1" thickTop="1" thickBot="1" x14ac:dyDescent="0.3">
      <c r="A102" s="375">
        <v>31000000</v>
      </c>
      <c r="B102" s="375" t="s">
        <v>103</v>
      </c>
      <c r="C102" s="618">
        <f>'d1'!C102-'d1-П'!C102</f>
        <v>0</v>
      </c>
      <c r="D102" s="618">
        <f>'d1'!D102-'d1-П'!D102</f>
        <v>0</v>
      </c>
      <c r="E102" s="618">
        <f>'d1'!E102-'d1-П'!E102</f>
        <v>0</v>
      </c>
      <c r="F102" s="618">
        <f>'d1'!F102-'d1-П'!F102</f>
        <v>0</v>
      </c>
      <c r="G102" s="96"/>
    </row>
    <row r="103" spans="1:7" ht="82.5" thickTop="1" thickBot="1" x14ac:dyDescent="0.3">
      <c r="A103" s="620">
        <v>3101000</v>
      </c>
      <c r="B103" s="621" t="s">
        <v>516</v>
      </c>
      <c r="C103" s="618">
        <f>'d1'!C103-'d1-П'!C103</f>
        <v>0</v>
      </c>
      <c r="D103" s="618">
        <f>'d1'!D103-'d1-П'!D103</f>
        <v>0</v>
      </c>
      <c r="E103" s="618">
        <f>'d1'!E103-'d1-П'!E103</f>
        <v>0</v>
      </c>
      <c r="F103" s="618">
        <f>'d1'!F103-'d1-П'!F103</f>
        <v>0</v>
      </c>
      <c r="G103" s="96"/>
    </row>
    <row r="104" spans="1:7" ht="78" thickTop="1" thickBot="1" x14ac:dyDescent="0.3">
      <c r="A104" s="616">
        <v>31010200</v>
      </c>
      <c r="B104" s="623" t="s">
        <v>104</v>
      </c>
      <c r="C104" s="618">
        <f>'d1'!C104-'d1-П'!C104</f>
        <v>0</v>
      </c>
      <c r="D104" s="618">
        <f>'d1'!D104-'d1-П'!D104</f>
        <v>0</v>
      </c>
      <c r="E104" s="618">
        <f>'d1'!E104-'d1-П'!E104</f>
        <v>0</v>
      </c>
      <c r="F104" s="618">
        <f>'d1'!F104-'d1-П'!F104</f>
        <v>0</v>
      </c>
      <c r="G104" s="96"/>
    </row>
    <row r="105" spans="1:7" ht="55.5" thickTop="1" thickBot="1" x14ac:dyDescent="0.3">
      <c r="A105" s="620">
        <v>31030000</v>
      </c>
      <c r="B105" s="625" t="s">
        <v>105</v>
      </c>
      <c r="C105" s="618">
        <f>'d1'!C105-'d1-П'!C105</f>
        <v>0</v>
      </c>
      <c r="D105" s="618">
        <f>'d1'!D105-'d1-П'!D105</f>
        <v>0</v>
      </c>
      <c r="E105" s="618">
        <f>'d1'!E105-'d1-П'!E105</f>
        <v>0</v>
      </c>
      <c r="F105" s="618">
        <f>'d1'!F105-'d1-П'!F105</f>
        <v>0</v>
      </c>
      <c r="G105" s="96"/>
    </row>
    <row r="106" spans="1:7" ht="27" thickTop="1" thickBot="1" x14ac:dyDescent="0.3">
      <c r="A106" s="375">
        <v>33000000</v>
      </c>
      <c r="B106" s="375" t="s">
        <v>106</v>
      </c>
      <c r="C106" s="618">
        <f>'d1'!C106-'d1-П'!C106</f>
        <v>0</v>
      </c>
      <c r="D106" s="618">
        <f>'d1'!D106-'d1-П'!D106</f>
        <v>0</v>
      </c>
      <c r="E106" s="618">
        <f>'d1'!E106-'d1-П'!E106</f>
        <v>0</v>
      </c>
      <c r="F106" s="618">
        <f>'d1'!F106-'d1-П'!F106</f>
        <v>0</v>
      </c>
      <c r="G106" s="96"/>
    </row>
    <row r="107" spans="1:7" ht="16.5" thickTop="1" thickBot="1" x14ac:dyDescent="0.3">
      <c r="A107" s="620">
        <v>33010000</v>
      </c>
      <c r="B107" s="621" t="s">
        <v>107</v>
      </c>
      <c r="C107" s="618">
        <f>'d1'!C107-'d1-П'!C107</f>
        <v>0</v>
      </c>
      <c r="D107" s="618">
        <f>'d1'!D107-'d1-П'!D107</f>
        <v>0</v>
      </c>
      <c r="E107" s="618">
        <f>'d1'!E107-'d1-П'!E107</f>
        <v>0</v>
      </c>
      <c r="F107" s="618">
        <f>'d1'!F107-'d1-П'!F107</f>
        <v>0</v>
      </c>
      <c r="G107" s="96"/>
    </row>
    <row r="108" spans="1:7" ht="52.5" thickTop="1" thickBot="1" x14ac:dyDescent="0.3">
      <c r="A108" s="616">
        <v>33010100</v>
      </c>
      <c r="B108" s="623" t="s">
        <v>334</v>
      </c>
      <c r="C108" s="618">
        <f>'d1'!C108-'d1-П'!C108</f>
        <v>0</v>
      </c>
      <c r="D108" s="618">
        <f>'d1'!D108-'d1-П'!D108</f>
        <v>0</v>
      </c>
      <c r="E108" s="618">
        <f>'d1'!E108-'d1-П'!E108</f>
        <v>0</v>
      </c>
      <c r="F108" s="618">
        <f>'d1'!F108-'d1-П'!F108</f>
        <v>0</v>
      </c>
      <c r="G108" s="96"/>
    </row>
    <row r="109" spans="1:7" ht="52.5" thickTop="1" thickBot="1" x14ac:dyDescent="0.3">
      <c r="A109" s="616">
        <v>33010200</v>
      </c>
      <c r="B109" s="623" t="s">
        <v>108</v>
      </c>
      <c r="C109" s="618">
        <f>'d1'!C109-'d1-П'!C109</f>
        <v>0</v>
      </c>
      <c r="D109" s="618">
        <f>'d1'!D109-'d1-П'!D109</f>
        <v>0</v>
      </c>
      <c r="E109" s="618">
        <f>'d1'!E109-'d1-П'!E109</f>
        <v>0</v>
      </c>
      <c r="F109" s="618">
        <f>'d1'!F109-'d1-П'!F109</f>
        <v>0</v>
      </c>
      <c r="G109" s="96"/>
    </row>
    <row r="110" spans="1:7" ht="65.25" hidden="1" thickTop="1" thickBot="1" x14ac:dyDescent="0.3">
      <c r="A110" s="257">
        <v>33010500</v>
      </c>
      <c r="B110" s="260" t="s">
        <v>1213</v>
      </c>
      <c r="C110" s="255">
        <f>SUM(D110,E110)</f>
        <v>0</v>
      </c>
      <c r="D110" s="259"/>
      <c r="E110" s="259">
        <v>0</v>
      </c>
      <c r="F110" s="259">
        <v>0</v>
      </c>
      <c r="G110" s="96"/>
    </row>
    <row r="111" spans="1:7" ht="27" customHeight="1" thickTop="1" thickBot="1" x14ac:dyDescent="0.3">
      <c r="A111" s="629">
        <v>50000000</v>
      </c>
      <c r="B111" s="629" t="s">
        <v>471</v>
      </c>
      <c r="C111" s="630">
        <f>SUM(D111,E111)</f>
        <v>0</v>
      </c>
      <c r="D111" s="630">
        <f>SUM(D112)</f>
        <v>0</v>
      </c>
      <c r="E111" s="630">
        <f>SUM(E112)</f>
        <v>0</v>
      </c>
      <c r="F111" s="630">
        <f>SUM(F112)</f>
        <v>0</v>
      </c>
      <c r="G111" s="96"/>
    </row>
    <row r="112" spans="1:7" ht="52.5" thickTop="1" thickBot="1" x14ac:dyDescent="0.3">
      <c r="A112" s="375">
        <v>50110000</v>
      </c>
      <c r="B112" s="628" t="s">
        <v>109</v>
      </c>
      <c r="C112" s="618">
        <f>'d1'!C112-'d1-П'!C112</f>
        <v>0</v>
      </c>
      <c r="D112" s="618">
        <f>'d1'!D112-'d1-П'!D112</f>
        <v>0</v>
      </c>
      <c r="E112" s="618">
        <f>'d1'!E112-'d1-П'!E112</f>
        <v>0</v>
      </c>
      <c r="F112" s="618">
        <f>'d1'!F112-'d1-П'!F112</f>
        <v>0</v>
      </c>
      <c r="G112" s="96"/>
    </row>
    <row r="113" spans="1:10" ht="45.75" customHeight="1" thickTop="1" thickBot="1" x14ac:dyDescent="0.25">
      <c r="A113" s="637"/>
      <c r="B113" s="638" t="s">
        <v>472</v>
      </c>
      <c r="C113" s="636">
        <f t="shared" ref="C113" si="1">SUM(D113,E113)</f>
        <v>214601000</v>
      </c>
      <c r="D113" s="636">
        <f>D111+D101+D66+D15</f>
        <v>214601000</v>
      </c>
      <c r="E113" s="636">
        <f>E111+E101+E66+E15</f>
        <v>0</v>
      </c>
      <c r="F113" s="636">
        <f>F111+F101+F66+F15</f>
        <v>0</v>
      </c>
      <c r="G113" s="97"/>
      <c r="H113" s="104">
        <f>C113-C111-C95-C62</f>
        <v>214601000</v>
      </c>
    </row>
    <row r="114" spans="1:10" ht="15.75" thickTop="1" thickBot="1" x14ac:dyDescent="0.25">
      <c r="A114" s="629">
        <v>40000000</v>
      </c>
      <c r="B114" s="629" t="s">
        <v>416</v>
      </c>
      <c r="C114" s="630">
        <f>SUM(D114,E114)</f>
        <v>6886341</v>
      </c>
      <c r="D114" s="630">
        <f>SUM(D119,D115)</f>
        <v>6886341</v>
      </c>
      <c r="E114" s="630">
        <f>SUM(E119,E115)</f>
        <v>0</v>
      </c>
      <c r="F114" s="630">
        <f>SUM(F119,F115)</f>
        <v>0</v>
      </c>
      <c r="G114" s="97"/>
    </row>
    <row r="115" spans="1:10" ht="27" thickTop="1" thickBot="1" x14ac:dyDescent="0.25">
      <c r="A115" s="639"/>
      <c r="B115" s="640" t="s">
        <v>1165</v>
      </c>
      <c r="C115" s="618">
        <f>'d1'!C115-'d1-П'!C115</f>
        <v>0</v>
      </c>
      <c r="D115" s="618">
        <f>'d1'!D115-'d1-П'!D115</f>
        <v>0</v>
      </c>
      <c r="E115" s="618">
        <f>'d1'!E115-'d1-П'!E115</f>
        <v>0</v>
      </c>
      <c r="F115" s="618">
        <f>'d1'!F115-'d1-П'!F115</f>
        <v>0</v>
      </c>
      <c r="G115" s="97"/>
    </row>
    <row r="116" spans="1:10" ht="103.5" thickTop="1" thickBot="1" x14ac:dyDescent="0.25">
      <c r="A116" s="642">
        <v>41021400</v>
      </c>
      <c r="B116" s="643" t="s">
        <v>1167</v>
      </c>
      <c r="C116" s="618">
        <f>'d1'!C116-'d1-П'!C116</f>
        <v>0</v>
      </c>
      <c r="D116" s="618">
        <f>'d1'!D116-'d1-П'!D116</f>
        <v>0</v>
      </c>
      <c r="E116" s="618">
        <f>'d1'!E116-'d1-П'!E116</f>
        <v>0</v>
      </c>
      <c r="F116" s="618">
        <f>'d1'!F116-'d1-П'!F116</f>
        <v>0</v>
      </c>
      <c r="G116" s="97"/>
    </row>
    <row r="117" spans="1:10" ht="65.25" thickTop="1" thickBot="1" x14ac:dyDescent="0.25">
      <c r="A117" s="642">
        <v>41040200</v>
      </c>
      <c r="B117" s="643" t="s">
        <v>1047</v>
      </c>
      <c r="C117" s="618">
        <f>'d1'!C117-'d1-П'!C117</f>
        <v>0</v>
      </c>
      <c r="D117" s="618">
        <f>'d1'!D117-'d1-П'!D117</f>
        <v>0</v>
      </c>
      <c r="E117" s="618">
        <f>'d1'!E117-'d1-П'!E117</f>
        <v>0</v>
      </c>
      <c r="F117" s="618">
        <f>'d1'!F117-'d1-П'!F117</f>
        <v>0</v>
      </c>
      <c r="G117" s="97"/>
    </row>
    <row r="118" spans="1:10" ht="15.75" hidden="1" thickTop="1" thickBot="1" x14ac:dyDescent="0.25">
      <c r="A118" s="257">
        <v>41040400</v>
      </c>
      <c r="B118" s="260" t="s">
        <v>1096</v>
      </c>
      <c r="C118" s="618">
        <f>'d1'!C118-'d1-П'!C118</f>
        <v>0</v>
      </c>
      <c r="D118" s="618">
        <f>'d1'!D118-'d1-П'!D118</f>
        <v>0</v>
      </c>
      <c r="E118" s="618">
        <f>'d1'!E118-'d1-П'!E118</f>
        <v>0</v>
      </c>
      <c r="F118" s="618">
        <f>'d1'!F118-'d1-П'!F118</f>
        <v>0</v>
      </c>
      <c r="G118" s="97"/>
    </row>
    <row r="119" spans="1:10" s="303" customFormat="1" ht="15.75" thickTop="1" thickBot="1" x14ac:dyDescent="0.25">
      <c r="A119" s="639">
        <v>41000000</v>
      </c>
      <c r="B119" s="639" t="s">
        <v>110</v>
      </c>
      <c r="C119" s="618">
        <f>'d1'!C119-'d1-П'!C119</f>
        <v>6886341</v>
      </c>
      <c r="D119" s="618">
        <f>'d1'!D119-'d1-П'!D119</f>
        <v>6886341</v>
      </c>
      <c r="E119" s="618">
        <f>'d1'!E119-'d1-П'!E119</f>
        <v>0</v>
      </c>
      <c r="F119" s="618">
        <f>'d1'!F119-'d1-П'!F119</f>
        <v>0</v>
      </c>
      <c r="G119" s="97"/>
      <c r="H119" s="95"/>
      <c r="I119" s="95"/>
      <c r="J119" s="95"/>
    </row>
    <row r="120" spans="1:10" s="303" customFormat="1" ht="27" thickTop="1" thickBot="1" x14ac:dyDescent="0.3">
      <c r="A120" s="375">
        <v>41030000</v>
      </c>
      <c r="B120" s="635" t="s">
        <v>427</v>
      </c>
      <c r="C120" s="618">
        <f>'d1'!C120-'d1-П'!C120</f>
        <v>699000</v>
      </c>
      <c r="D120" s="618">
        <f>'d1'!D120-'d1-П'!D120</f>
        <v>699000</v>
      </c>
      <c r="E120" s="618">
        <f>'d1'!E120-'d1-П'!E120</f>
        <v>0</v>
      </c>
      <c r="F120" s="618">
        <f>'d1'!F120-'d1-П'!F120</f>
        <v>0</v>
      </c>
      <c r="G120" s="96"/>
      <c r="H120" s="95"/>
      <c r="I120" s="95"/>
      <c r="J120" s="95"/>
    </row>
    <row r="121" spans="1:10" ht="39.75" thickTop="1" thickBot="1" x14ac:dyDescent="0.3">
      <c r="A121" s="616">
        <v>41031100</v>
      </c>
      <c r="B121" s="617" t="s">
        <v>1706</v>
      </c>
      <c r="C121" s="618">
        <f>'d1'!C121-'d1-П'!C121</f>
        <v>0</v>
      </c>
      <c r="D121" s="618">
        <f>'d1'!D121-'d1-П'!D121</f>
        <v>0</v>
      </c>
      <c r="E121" s="618">
        <f>'d1'!E121-'d1-П'!E121</f>
        <v>0</v>
      </c>
      <c r="F121" s="618">
        <f>'d1'!F121-'d1-П'!F121</f>
        <v>0</v>
      </c>
      <c r="G121" s="96"/>
    </row>
    <row r="122" spans="1:10" ht="52.5" hidden="1" thickTop="1" thickBot="1" x14ac:dyDescent="0.3">
      <c r="A122" s="257">
        <v>41032300</v>
      </c>
      <c r="B122" s="258" t="s">
        <v>920</v>
      </c>
      <c r="C122" s="255"/>
      <c r="D122" s="259"/>
      <c r="E122" s="255"/>
      <c r="F122" s="259"/>
      <c r="G122" s="96"/>
    </row>
    <row r="123" spans="1:10" ht="52.5" hidden="1" thickTop="1" thickBot="1" x14ac:dyDescent="0.3">
      <c r="A123" s="257">
        <v>41033300</v>
      </c>
      <c r="B123" s="258" t="s">
        <v>1348</v>
      </c>
      <c r="C123" s="255"/>
      <c r="D123" s="259"/>
      <c r="E123" s="255"/>
      <c r="F123" s="259"/>
      <c r="G123" s="96"/>
    </row>
    <row r="124" spans="1:10" ht="52.5" hidden="1" thickTop="1" thickBot="1" x14ac:dyDescent="0.3">
      <c r="A124" s="257">
        <v>41033800</v>
      </c>
      <c r="B124" s="258" t="s">
        <v>965</v>
      </c>
      <c r="C124" s="255"/>
      <c r="D124" s="259"/>
      <c r="E124" s="255"/>
      <c r="F124" s="259"/>
      <c r="G124" s="96"/>
    </row>
    <row r="125" spans="1:10" ht="33" customHeight="1" thickTop="1" thickBot="1" x14ac:dyDescent="0.3">
      <c r="A125" s="616">
        <v>41033900</v>
      </c>
      <c r="B125" s="617" t="s">
        <v>111</v>
      </c>
      <c r="C125" s="618">
        <f>'d1'!C125-'d1-П'!C125</f>
        <v>0</v>
      </c>
      <c r="D125" s="618">
        <f>'d1'!D125-'d1-П'!D125</f>
        <v>0</v>
      </c>
      <c r="E125" s="618">
        <f>'d1'!E125-'d1-П'!E125</f>
        <v>0</v>
      </c>
      <c r="F125" s="618">
        <f>'d1'!F125-'d1-П'!F125</f>
        <v>0</v>
      </c>
      <c r="G125" s="96"/>
    </row>
    <row r="126" spans="1:10" ht="39.75" hidden="1" thickTop="1" thickBot="1" x14ac:dyDescent="0.3">
      <c r="A126" s="257">
        <v>41034500</v>
      </c>
      <c r="B126" s="258" t="s">
        <v>966</v>
      </c>
      <c r="C126" s="618">
        <f>'d1'!C126-'d1-П'!C126</f>
        <v>0</v>
      </c>
      <c r="D126" s="618">
        <f>'d1'!D126-'d1-П'!D126</f>
        <v>0</v>
      </c>
      <c r="E126" s="618">
        <f>'d1'!E126-'d1-П'!E126</f>
        <v>0</v>
      </c>
      <c r="F126" s="618">
        <f>'d1'!F126-'d1-П'!F126</f>
        <v>0</v>
      </c>
      <c r="G126" s="96"/>
    </row>
    <row r="127" spans="1:10" ht="49.5" customHeight="1" thickTop="1" thickBot="1" x14ac:dyDescent="0.3">
      <c r="A127" s="616">
        <v>41035400</v>
      </c>
      <c r="B127" s="617" t="s">
        <v>1395</v>
      </c>
      <c r="C127" s="618">
        <f>'d1'!C127-'d1-П'!C127</f>
        <v>0</v>
      </c>
      <c r="D127" s="618">
        <f>'d1'!D127-'d1-П'!D127</f>
        <v>0</v>
      </c>
      <c r="E127" s="618">
        <f>'d1'!E127-'d1-П'!E127</f>
        <v>0</v>
      </c>
      <c r="F127" s="618">
        <f>'d1'!F127-'d1-П'!F127</f>
        <v>0</v>
      </c>
      <c r="G127" s="96"/>
    </row>
    <row r="128" spans="1:10" ht="52.5" hidden="1" thickTop="1" thickBot="1" x14ac:dyDescent="0.3">
      <c r="A128" s="257">
        <v>41035500</v>
      </c>
      <c r="B128" s="258" t="s">
        <v>922</v>
      </c>
      <c r="C128" s="618">
        <f>'d1'!C128-'d1-П'!C128</f>
        <v>0</v>
      </c>
      <c r="D128" s="618">
        <f>'d1'!D128-'d1-П'!D128</f>
        <v>0</v>
      </c>
      <c r="E128" s="618">
        <f>'d1'!E128-'d1-П'!E128</f>
        <v>0</v>
      </c>
      <c r="F128" s="618">
        <f>'d1'!F128-'d1-П'!F128</f>
        <v>0</v>
      </c>
      <c r="G128" s="96"/>
    </row>
    <row r="129" spans="1:10" ht="65.25" hidden="1" thickTop="1" thickBot="1" x14ac:dyDescent="0.3">
      <c r="A129" s="257">
        <v>41035600</v>
      </c>
      <c r="B129" s="258" t="s">
        <v>938</v>
      </c>
      <c r="C129" s="618">
        <f>'d1'!C129-'d1-П'!C129</f>
        <v>0</v>
      </c>
      <c r="D129" s="618">
        <f>'d1'!D129-'d1-П'!D129</f>
        <v>0</v>
      </c>
      <c r="E129" s="618">
        <f>'d1'!E129-'d1-П'!E129</f>
        <v>0</v>
      </c>
      <c r="F129" s="618">
        <f>'d1'!F129-'d1-П'!F129</f>
        <v>0</v>
      </c>
      <c r="G129" s="96"/>
    </row>
    <row r="130" spans="1:10" ht="83.25" customHeight="1" thickTop="1" thickBot="1" x14ac:dyDescent="0.3">
      <c r="A130" s="616">
        <v>41036000</v>
      </c>
      <c r="B130" s="617" t="s">
        <v>1708</v>
      </c>
      <c r="C130" s="618">
        <f>'d1'!C130-'d1-П'!C130</f>
        <v>699000</v>
      </c>
      <c r="D130" s="618">
        <f>'d1'!D130-'d1-П'!D130</f>
        <v>699000</v>
      </c>
      <c r="E130" s="618">
        <f>'d1'!E130-'d1-П'!E130</f>
        <v>0</v>
      </c>
      <c r="F130" s="618">
        <f>'d1'!F130-'d1-П'!F130</f>
        <v>0</v>
      </c>
      <c r="G130" s="96"/>
    </row>
    <row r="131" spans="1:10" ht="48" customHeight="1" thickTop="1" thickBot="1" x14ac:dyDescent="0.3">
      <c r="A131" s="616">
        <v>41036300</v>
      </c>
      <c r="B131" s="617" t="s">
        <v>1396</v>
      </c>
      <c r="C131" s="618">
        <f>'d1'!C131-'d1-П'!C131</f>
        <v>0</v>
      </c>
      <c r="D131" s="618">
        <f>'d1'!D131-'d1-П'!D131</f>
        <v>0</v>
      </c>
      <c r="E131" s="618">
        <f>'d1'!E131-'d1-П'!E131</f>
        <v>0</v>
      </c>
      <c r="F131" s="618">
        <f>'d1'!F131-'d1-П'!F131</f>
        <v>0</v>
      </c>
      <c r="G131" s="96"/>
    </row>
    <row r="132" spans="1:10" ht="39.75" hidden="1" thickTop="1" thickBot="1" x14ac:dyDescent="0.3">
      <c r="A132" s="257">
        <v>41035700</v>
      </c>
      <c r="B132" s="258" t="s">
        <v>913</v>
      </c>
      <c r="C132" s="618">
        <f>'d1'!C132-'d1-П'!C132</f>
        <v>0</v>
      </c>
      <c r="D132" s="618">
        <f>'d1'!D132-'d1-П'!D132</f>
        <v>0</v>
      </c>
      <c r="E132" s="618">
        <f>'d1'!E132-'d1-П'!E132</f>
        <v>0</v>
      </c>
      <c r="F132" s="618">
        <f>'d1'!F132-'d1-П'!F132</f>
        <v>0</v>
      </c>
      <c r="G132" s="96"/>
    </row>
    <row r="133" spans="1:10" s="303" customFormat="1" ht="27" thickTop="1" thickBot="1" x14ac:dyDescent="0.3">
      <c r="A133" s="639">
        <v>41050000</v>
      </c>
      <c r="B133" s="649" t="s">
        <v>457</v>
      </c>
      <c r="C133" s="618">
        <f>'d1'!C133-'d1-П'!C133</f>
        <v>6187341</v>
      </c>
      <c r="D133" s="618">
        <f>'d1'!D133-'d1-П'!D133</f>
        <v>6187341</v>
      </c>
      <c r="E133" s="618">
        <f>'d1'!E133-'d1-П'!E133</f>
        <v>0</v>
      </c>
      <c r="F133" s="618">
        <f>'d1'!F133-'d1-П'!F133</f>
        <v>0</v>
      </c>
      <c r="G133" s="96"/>
      <c r="H133" s="95"/>
      <c r="I133" s="95"/>
      <c r="J133" s="95"/>
    </row>
    <row r="134" spans="1:10" s="303" customFormat="1" ht="90.75" hidden="1" thickTop="1" thickBot="1" x14ac:dyDescent="0.3">
      <c r="A134" s="257">
        <v>41050100</v>
      </c>
      <c r="B134" s="258" t="s">
        <v>1457</v>
      </c>
      <c r="C134" s="255"/>
      <c r="D134" s="259"/>
      <c r="E134" s="259"/>
      <c r="F134" s="259"/>
      <c r="G134" s="96"/>
      <c r="H134" s="95"/>
      <c r="I134" s="95"/>
      <c r="J134" s="95"/>
    </row>
    <row r="135" spans="1:10" s="303" customFormat="1" ht="320.25" hidden="1" thickTop="1" thickBot="1" x14ac:dyDescent="0.3">
      <c r="A135" s="257">
        <v>41050200</v>
      </c>
      <c r="B135" s="258" t="s">
        <v>1436</v>
      </c>
      <c r="C135" s="255"/>
      <c r="D135" s="259"/>
      <c r="E135" s="259"/>
      <c r="F135" s="259"/>
      <c r="G135" s="96"/>
      <c r="H135" s="95"/>
      <c r="I135" s="95"/>
      <c r="J135" s="95"/>
    </row>
    <row r="136" spans="1:10" ht="307.5" hidden="1" thickTop="1" thickBot="1" x14ac:dyDescent="0.3">
      <c r="A136" s="257">
        <v>41050400</v>
      </c>
      <c r="B136" s="258" t="s">
        <v>1228</v>
      </c>
      <c r="C136" s="255"/>
      <c r="D136" s="259"/>
      <c r="E136" s="259"/>
      <c r="F136" s="259"/>
      <c r="G136" s="96"/>
    </row>
    <row r="137" spans="1:10" ht="218.25" hidden="1" thickTop="1" thickBot="1" x14ac:dyDescent="0.3">
      <c r="A137" s="257">
        <v>41050500</v>
      </c>
      <c r="B137" s="258" t="s">
        <v>967</v>
      </c>
      <c r="C137" s="255"/>
      <c r="D137" s="259"/>
      <c r="E137" s="259"/>
      <c r="F137" s="259"/>
      <c r="G137" s="96"/>
    </row>
    <row r="138" spans="1:10" ht="307.5" hidden="1" thickTop="1" thickBot="1" x14ac:dyDescent="0.3">
      <c r="A138" s="257">
        <v>41050600</v>
      </c>
      <c r="B138" s="258" t="s">
        <v>1229</v>
      </c>
      <c r="C138" s="255"/>
      <c r="D138" s="259"/>
      <c r="E138" s="259"/>
      <c r="F138" s="259"/>
      <c r="G138" s="96"/>
    </row>
    <row r="139" spans="1:10" ht="116.25" hidden="1" thickTop="1" thickBot="1" x14ac:dyDescent="0.3">
      <c r="A139" s="257">
        <v>41050900</v>
      </c>
      <c r="B139" s="258" t="s">
        <v>968</v>
      </c>
      <c r="C139" s="255"/>
      <c r="D139" s="259"/>
      <c r="E139" s="259"/>
      <c r="F139" s="259"/>
      <c r="G139" s="96"/>
    </row>
    <row r="140" spans="1:10" s="303" customFormat="1" ht="39.75" thickTop="1" thickBot="1" x14ac:dyDescent="0.3">
      <c r="A140" s="616">
        <v>41051000</v>
      </c>
      <c r="B140" s="617" t="s">
        <v>458</v>
      </c>
      <c r="C140" s="618">
        <f>'d1'!C140-'d1-П'!C140</f>
        <v>5962100</v>
      </c>
      <c r="D140" s="618">
        <f>'d1'!D140-'d1-П'!D140</f>
        <v>5962100</v>
      </c>
      <c r="E140" s="618">
        <f>'d1'!E140-'d1-П'!E140</f>
        <v>0</v>
      </c>
      <c r="F140" s="618">
        <f>'d1'!F140-'d1-П'!F140</f>
        <v>0</v>
      </c>
      <c r="G140" s="96"/>
      <c r="H140" s="95"/>
      <c r="I140" s="95"/>
      <c r="J140" s="95"/>
    </row>
    <row r="141" spans="1:10" ht="39.75" hidden="1" thickTop="1" thickBot="1" x14ac:dyDescent="0.3">
      <c r="A141" s="257">
        <v>41051100</v>
      </c>
      <c r="B141" s="258" t="s">
        <v>1312</v>
      </c>
      <c r="C141" s="618">
        <f>'d1'!C141-'d1-П'!C141</f>
        <v>0</v>
      </c>
      <c r="D141" s="618">
        <f>'d1'!D141-'d1-П'!D141</f>
        <v>0</v>
      </c>
      <c r="E141" s="618">
        <f>'d1'!E141-'d1-П'!E141</f>
        <v>0</v>
      </c>
      <c r="F141" s="618">
        <f>'d1'!F141-'d1-П'!F141</f>
        <v>0</v>
      </c>
      <c r="G141" s="96"/>
    </row>
    <row r="142" spans="1:10" s="303" customFormat="1" ht="52.5" hidden="1" thickTop="1" thickBot="1" x14ac:dyDescent="0.3">
      <c r="A142" s="257">
        <v>41051200</v>
      </c>
      <c r="B142" s="258" t="s">
        <v>1145</v>
      </c>
      <c r="C142" s="618">
        <f>'d1'!C142-'d1-П'!C142</f>
        <v>0</v>
      </c>
      <c r="D142" s="618">
        <f>'d1'!D142-'d1-П'!D142</f>
        <v>0</v>
      </c>
      <c r="E142" s="618">
        <f>'d1'!E142-'d1-П'!E142</f>
        <v>0</v>
      </c>
      <c r="F142" s="618">
        <f>'d1'!F142-'d1-П'!F142</f>
        <v>0</v>
      </c>
      <c r="G142" s="96"/>
      <c r="H142" s="95"/>
      <c r="I142" s="95"/>
      <c r="J142" s="95"/>
    </row>
    <row r="143" spans="1:10" ht="65.25" hidden="1" thickTop="1" thickBot="1" x14ac:dyDescent="0.3">
      <c r="A143" s="257">
        <v>41051400</v>
      </c>
      <c r="B143" s="258" t="s">
        <v>1336</v>
      </c>
      <c r="C143" s="618">
        <f>'d1'!C143-'d1-П'!C143</f>
        <v>0</v>
      </c>
      <c r="D143" s="618">
        <f>'d1'!D143-'d1-П'!D143</f>
        <v>0</v>
      </c>
      <c r="E143" s="618">
        <f>'d1'!E143-'d1-П'!E143</f>
        <v>0</v>
      </c>
      <c r="F143" s="618">
        <f>'d1'!F143-'d1-П'!F143</f>
        <v>0</v>
      </c>
      <c r="G143" s="96"/>
    </row>
    <row r="144" spans="1:10" ht="65.25" hidden="1" thickTop="1" thickBot="1" x14ac:dyDescent="0.3">
      <c r="A144" s="257">
        <v>41051700</v>
      </c>
      <c r="B144" s="258" t="s">
        <v>888</v>
      </c>
      <c r="C144" s="618">
        <f>'d1'!C144-'d1-П'!C144</f>
        <v>0</v>
      </c>
      <c r="D144" s="618">
        <f>'d1'!D144-'d1-П'!D144</f>
        <v>0</v>
      </c>
      <c r="E144" s="618">
        <f>'d1'!E144-'d1-П'!E144</f>
        <v>0</v>
      </c>
      <c r="F144" s="618">
        <f>'d1'!F144-'d1-П'!F144</f>
        <v>0</v>
      </c>
      <c r="G144" s="96"/>
    </row>
    <row r="145" spans="1:10" ht="90.75" hidden="1" thickTop="1" thickBot="1" x14ac:dyDescent="0.3">
      <c r="A145" s="262">
        <v>41056600</v>
      </c>
      <c r="B145" s="263" t="s">
        <v>951</v>
      </c>
      <c r="C145" s="618">
        <f>'d1'!C145-'d1-П'!C145</f>
        <v>0</v>
      </c>
      <c r="D145" s="618">
        <f>'d1'!D145-'d1-П'!D145</f>
        <v>0</v>
      </c>
      <c r="E145" s="618">
        <f>'d1'!E145-'d1-П'!E145</f>
        <v>0</v>
      </c>
      <c r="F145" s="618">
        <f>'d1'!F145-'d1-П'!F145</f>
        <v>0</v>
      </c>
      <c r="G145" s="96"/>
    </row>
    <row r="146" spans="1:10" ht="52.5" hidden="1" thickTop="1" thickBot="1" x14ac:dyDescent="0.25">
      <c r="A146" s="262">
        <v>41055000</v>
      </c>
      <c r="B146" s="263" t="s">
        <v>969</v>
      </c>
      <c r="C146" s="618">
        <f>'d1'!C146-'d1-П'!C146</f>
        <v>0</v>
      </c>
      <c r="D146" s="618">
        <f>'d1'!D146-'d1-П'!D146</f>
        <v>0</v>
      </c>
      <c r="E146" s="618">
        <f>'d1'!E146-'d1-П'!E146</f>
        <v>0</v>
      </c>
      <c r="F146" s="618">
        <f>'d1'!F146-'d1-П'!F146</f>
        <v>0</v>
      </c>
      <c r="G146" s="97"/>
    </row>
    <row r="147" spans="1:10" ht="27" hidden="1" thickTop="1" thickBot="1" x14ac:dyDescent="0.25">
      <c r="A147" s="262">
        <v>41053600</v>
      </c>
      <c r="B147" s="263" t="s">
        <v>890</v>
      </c>
      <c r="C147" s="618">
        <f>'d1'!C147-'d1-П'!C147</f>
        <v>0</v>
      </c>
      <c r="D147" s="618">
        <f>'d1'!D147-'d1-П'!D147</f>
        <v>0</v>
      </c>
      <c r="E147" s="618">
        <f>'d1'!E147-'d1-П'!E147</f>
        <v>0</v>
      </c>
      <c r="F147" s="618">
        <f>'d1'!F147-'d1-П'!F147</f>
        <v>0</v>
      </c>
      <c r="G147" s="97"/>
    </row>
    <row r="148" spans="1:10" ht="205.5" hidden="1" thickTop="1" thickBot="1" x14ac:dyDescent="0.25">
      <c r="A148" s="262">
        <v>41054200</v>
      </c>
      <c r="B148" s="263" t="s">
        <v>970</v>
      </c>
      <c r="C148" s="618">
        <f>'d1'!C148-'d1-П'!C148</f>
        <v>0</v>
      </c>
      <c r="D148" s="618">
        <f>'d1'!D148-'d1-П'!D148</f>
        <v>0</v>
      </c>
      <c r="E148" s="618">
        <f>'d1'!E148-'d1-П'!E148</f>
        <v>0</v>
      </c>
      <c r="F148" s="618">
        <f>'d1'!F148-'d1-П'!F148</f>
        <v>0</v>
      </c>
      <c r="G148" s="97"/>
    </row>
    <row r="149" spans="1:10" s="303" customFormat="1" ht="27" thickTop="1" thickBot="1" x14ac:dyDescent="0.25">
      <c r="A149" s="642">
        <v>41053900</v>
      </c>
      <c r="B149" s="645" t="s">
        <v>858</v>
      </c>
      <c r="C149" s="618">
        <f>'d1'!C149-'d1-П'!C149</f>
        <v>171670</v>
      </c>
      <c r="D149" s="618">
        <f>'d1'!D149-'d1-П'!D149</f>
        <v>171670</v>
      </c>
      <c r="E149" s="618">
        <f>'d1'!E149-'d1-П'!E149</f>
        <v>0</v>
      </c>
      <c r="F149" s="618">
        <f>'d1'!F149-'d1-П'!F149</f>
        <v>0</v>
      </c>
      <c r="G149" s="97"/>
      <c r="H149" s="95"/>
      <c r="I149" s="95"/>
      <c r="J149" s="95"/>
    </row>
    <row r="150" spans="1:10" ht="15.75" hidden="1" thickTop="1" thickBot="1" x14ac:dyDescent="0.25">
      <c r="A150" s="642"/>
      <c r="B150" s="646" t="s">
        <v>891</v>
      </c>
      <c r="C150" s="618">
        <f>'d1'!C150-'d1-П'!C150</f>
        <v>0</v>
      </c>
      <c r="D150" s="618">
        <f>'d1'!D150-'d1-П'!D150</f>
        <v>0</v>
      </c>
      <c r="E150" s="618">
        <f>'d1'!E150-'d1-П'!E150</f>
        <v>0</v>
      </c>
      <c r="F150" s="618">
        <f>'d1'!F150-'d1-П'!F150</f>
        <v>0</v>
      </c>
      <c r="G150" s="97"/>
    </row>
    <row r="151" spans="1:10" ht="50.25" customHeight="1" thickTop="1" thickBot="1" x14ac:dyDescent="0.25">
      <c r="A151" s="642"/>
      <c r="B151" s="646" t="s">
        <v>859</v>
      </c>
      <c r="C151" s="618">
        <f>'d1'!C151-'d1-П'!C151</f>
        <v>0</v>
      </c>
      <c r="D151" s="618">
        <f>'d1'!D151-'d1-П'!D151</f>
        <v>0</v>
      </c>
      <c r="E151" s="618">
        <f>'d1'!E151-'d1-П'!E151</f>
        <v>0</v>
      </c>
      <c r="F151" s="618">
        <f>'d1'!F151-'d1-П'!F151</f>
        <v>0</v>
      </c>
      <c r="G151" s="97"/>
    </row>
    <row r="152" spans="1:10" ht="62.25" customHeight="1" thickTop="1" thickBot="1" x14ac:dyDescent="0.25">
      <c r="A152" s="642"/>
      <c r="B152" s="646" t="s">
        <v>860</v>
      </c>
      <c r="C152" s="618">
        <f>'d1'!C152-'d1-П'!C152</f>
        <v>0</v>
      </c>
      <c r="D152" s="618">
        <f>'d1'!D152-'d1-П'!D152</f>
        <v>0</v>
      </c>
      <c r="E152" s="618">
        <f>'d1'!E152-'d1-П'!E152</f>
        <v>0</v>
      </c>
      <c r="F152" s="618">
        <f>'d1'!F152-'d1-П'!F152</f>
        <v>0</v>
      </c>
      <c r="G152" s="97"/>
    </row>
    <row r="153" spans="1:10" ht="38.25" customHeight="1" thickTop="1" thickBot="1" x14ac:dyDescent="0.25">
      <c r="A153" s="642"/>
      <c r="B153" s="646" t="s">
        <v>861</v>
      </c>
      <c r="C153" s="618">
        <f>'d1'!C153-'d1-П'!C153</f>
        <v>-974985</v>
      </c>
      <c r="D153" s="618">
        <f>'d1'!D153-'d1-П'!D153</f>
        <v>-974985</v>
      </c>
      <c r="E153" s="618">
        <f>'d1'!E153-'d1-П'!E153</f>
        <v>0</v>
      </c>
      <c r="F153" s="618">
        <f>'d1'!F153-'d1-П'!F153</f>
        <v>0</v>
      </c>
      <c r="G153" s="97"/>
    </row>
    <row r="154" spans="1:10" ht="39.75" hidden="1" thickTop="1" thickBot="1" x14ac:dyDescent="0.25">
      <c r="A154" s="262"/>
      <c r="B154" s="266" t="s">
        <v>1005</v>
      </c>
      <c r="C154" s="618">
        <f>'d1'!C154-'d1-П'!C154</f>
        <v>1146655</v>
      </c>
      <c r="D154" s="618">
        <f>'d1'!D154-'d1-П'!D154</f>
        <v>1146655</v>
      </c>
      <c r="E154" s="618">
        <f>'d1'!E154-'d1-П'!E154</f>
        <v>0</v>
      </c>
      <c r="F154" s="618">
        <f>'d1'!F154-'d1-П'!F154</f>
        <v>0</v>
      </c>
      <c r="G154" s="97"/>
    </row>
    <row r="155" spans="1:10" ht="27" hidden="1" thickTop="1" thickBot="1" x14ac:dyDescent="0.25">
      <c r="A155" s="262"/>
      <c r="B155" s="266" t="s">
        <v>1006</v>
      </c>
      <c r="C155" s="618">
        <f>'d1'!C155-'d1-П'!C155</f>
        <v>0</v>
      </c>
      <c r="D155" s="618">
        <f>'d1'!D155-'d1-П'!D155</f>
        <v>0</v>
      </c>
      <c r="E155" s="618">
        <f>'d1'!E155-'d1-П'!E155</f>
        <v>0</v>
      </c>
      <c r="F155" s="618">
        <f>'d1'!F155-'d1-П'!F155</f>
        <v>0</v>
      </c>
      <c r="G155" s="97"/>
    </row>
    <row r="156" spans="1:10" ht="65.25" hidden="1" thickTop="1" thickBot="1" x14ac:dyDescent="0.25">
      <c r="A156" s="257">
        <v>41057700</v>
      </c>
      <c r="B156" s="258" t="s">
        <v>1191</v>
      </c>
      <c r="C156" s="618">
        <f>'d1'!C156-'d1-П'!C156</f>
        <v>0</v>
      </c>
      <c r="D156" s="618">
        <f>'d1'!D156-'d1-П'!D156</f>
        <v>0</v>
      </c>
      <c r="E156" s="618">
        <f>'d1'!E156-'d1-П'!E156</f>
        <v>0</v>
      </c>
      <c r="F156" s="618">
        <f>'d1'!F156-'d1-П'!F156</f>
        <v>0</v>
      </c>
      <c r="G156" s="97"/>
    </row>
    <row r="157" spans="1:10" ht="52.5" hidden="1" thickTop="1" thickBot="1" x14ac:dyDescent="0.25">
      <c r="A157" s="257">
        <v>41059000</v>
      </c>
      <c r="B157" s="258" t="s">
        <v>1214</v>
      </c>
      <c r="C157" s="618">
        <f>'d1'!C157-'d1-П'!C157</f>
        <v>0</v>
      </c>
      <c r="D157" s="618">
        <f>'d1'!D157-'d1-П'!D157</f>
        <v>0</v>
      </c>
      <c r="E157" s="618">
        <f>'d1'!E157-'d1-П'!E157</f>
        <v>0</v>
      </c>
      <c r="F157" s="618">
        <f>'d1'!F157-'d1-П'!F157</f>
        <v>0</v>
      </c>
      <c r="G157" s="97"/>
    </row>
    <row r="158" spans="1:10" ht="106.5" customHeight="1" thickTop="1" thickBot="1" x14ac:dyDescent="0.25">
      <c r="A158" s="616">
        <v>41059300</v>
      </c>
      <c r="B158" s="617" t="s">
        <v>1415</v>
      </c>
      <c r="C158" s="618">
        <f>'d1'!C158-'d1-П'!C158</f>
        <v>-7504512</v>
      </c>
      <c r="D158" s="618">
        <f>'d1'!D158-'d1-П'!D158</f>
        <v>-7504512</v>
      </c>
      <c r="E158" s="618">
        <f>'d1'!E158-'d1-П'!E158</f>
        <v>0</v>
      </c>
      <c r="F158" s="618">
        <f>'d1'!F158-'d1-П'!F158</f>
        <v>0</v>
      </c>
      <c r="G158" s="97"/>
    </row>
    <row r="159" spans="1:10" ht="78" hidden="1" thickTop="1" thickBot="1" x14ac:dyDescent="0.25">
      <c r="A159" s="257">
        <v>41059700</v>
      </c>
      <c r="B159" s="258" t="s">
        <v>1398</v>
      </c>
      <c r="C159" s="255">
        <f>SUM(D159,E159)</f>
        <v>0</v>
      </c>
      <c r="D159" s="259"/>
      <c r="E159" s="259"/>
      <c r="F159" s="259"/>
      <c r="G159" s="97"/>
    </row>
    <row r="160" spans="1:10" ht="38.25" customHeight="1" thickTop="1" thickBot="1" x14ac:dyDescent="0.3">
      <c r="A160" s="637"/>
      <c r="B160" s="638" t="s">
        <v>962</v>
      </c>
      <c r="C160" s="636">
        <f>SUM(D160,E160)</f>
        <v>221487341</v>
      </c>
      <c r="D160" s="636">
        <f>SUM(D113,D114)</f>
        <v>221487341</v>
      </c>
      <c r="E160" s="636">
        <f>SUM(E113,E114)</f>
        <v>0</v>
      </c>
      <c r="F160" s="636">
        <f>SUM(F113,F114)</f>
        <v>0</v>
      </c>
      <c r="G160" s="650" t="b">
        <f>C160=C153+C152+C151+C142+C140+C117+C112+C109+C108+C105+C104+C100+C99+C98+C97+C94+C93+C92+C91+C89+C88+C87+C85+C81+C80+C79+C76+C75+C74+C73+C72+C69+C65+C64+C63+C60+C59+C58+C56+C55+C53+C51+C50+C49+C48+C47+C46+C45+C44+C43+C42+C39+C38+C36+C34+C31+C29+C28+C25+C23+C22+C21+C20+C18+C125+C159+C131+C127+C158+C130+C156+C118+C135+C134+C83+C116+C121</f>
        <v>0</v>
      </c>
      <c r="H160" s="650" t="b">
        <f>D160=D153+D152+D151+D142+D140+D117+D112+D109+D108+D105+D104+D100+D99+D98+D97+D94+D93+D92+D91+D89+D88+D87+D85+D81+D80+D79+D76+D75+D74+D73+D72+D69+D65+D64+D63+D60+D59+D58+D56+D55+D53+D51+D50+D49+D48+D47+D46+D45+D44+D43+D42+D39+D38+D36+D34+D31+D29+D28+D25+D23+D22+D21+D20+D18+D125+D159+D131+D127+D158+D130+D156+D118+D135+D134+D83+D116+D121</f>
        <v>0</v>
      </c>
      <c r="I160" s="650" t="b">
        <f>E160=E153+E152+E151+E142+E140+E117+E112+E109+E108+E105+E104+E100+E99+E98+E97+E94+E93+E92+E91+E89+E88+E87+E85+E81+E80+E79+E76+E75+E74+E73+E72+E69+E65+E64+E63+E60+E59+E58+E56+E55+E53+E51+E50+E49+E48+E47+E46+E45+E44+E43+E42+E39+E38+E36+E34+E31+E29+E28+E25+E23+E22+E21+E20+E18+E125+E159+E131+E127+E158+E130+E156+E118+E135+E134+E83+E116+E121</f>
        <v>1</v>
      </c>
      <c r="J160" s="650" t="b">
        <f>F160=F153+F152+F151+F142+F140+F117+F112+F109+F108+F105+F104+F100+F99+F98+F97+F94+F93+F92+F91+F89+F88+F87+F85+F81+F80+F79+F76+F75+F74+F73+F72+F69+F65+F64+F63+F60+F59+F58+F56+F55+F53+F51+F50+F49+F48+F47+F46+F45+F44+F43+F42+F39+F38+F36+F34+F31+F29+F28+F25+F23+F22+F21+F20+F18+F125+F159+F131+F127+F158+F130+F156+F118+F135+F134+F83+F116+F121</f>
        <v>1</v>
      </c>
    </row>
    <row r="161" spans="1:7" ht="16.5" thickTop="1" x14ac:dyDescent="0.25">
      <c r="B161" s="103"/>
      <c r="G161" s="650" t="b">
        <f>(4694722341-'d2'!C41-'d2'!C23)+(1375609268.53-247798323.53)=C160</f>
        <v>0</v>
      </c>
    </row>
    <row r="162" spans="1:7" ht="21" customHeight="1" x14ac:dyDescent="0.2">
      <c r="B162" s="669" t="s">
        <v>1417</v>
      </c>
      <c r="C162" s="13"/>
      <c r="D162" s="13"/>
      <c r="E162" s="670" t="s">
        <v>1418</v>
      </c>
      <c r="F162" s="105"/>
      <c r="G162" s="104"/>
    </row>
    <row r="163" spans="1:7" ht="15.75" hidden="1" x14ac:dyDescent="0.2">
      <c r="B163" s="385" t="s">
        <v>1245</v>
      </c>
      <c r="C163"/>
      <c r="D163"/>
      <c r="E163" s="386" t="s">
        <v>1246</v>
      </c>
      <c r="F163" s="105"/>
      <c r="G163" s="104"/>
    </row>
    <row r="164" spans="1:7" ht="47.25" hidden="1" x14ac:dyDescent="0.2">
      <c r="B164" s="355" t="s">
        <v>1472</v>
      </c>
      <c r="C164" s="13"/>
      <c r="D164" s="13"/>
      <c r="E164" s="267" t="s">
        <v>1471</v>
      </c>
      <c r="F164" s="105"/>
      <c r="G164" s="104"/>
    </row>
    <row r="165" spans="1:7" ht="9" customHeight="1" x14ac:dyDescent="0.25">
      <c r="B165" s="1"/>
      <c r="C165" s="303"/>
      <c r="D165" s="303"/>
      <c r="E165" s="1"/>
    </row>
    <row r="166" spans="1:7" ht="15.75" x14ac:dyDescent="0.25">
      <c r="A166" s="106"/>
      <c r="B166" s="301" t="s">
        <v>501</v>
      </c>
      <c r="C166" s="1"/>
      <c r="D166" s="1"/>
      <c r="E166" s="1" t="s">
        <v>1168</v>
      </c>
      <c r="F166" s="106"/>
    </row>
    <row r="169" spans="1:7" x14ac:dyDescent="0.2">
      <c r="C169" s="104"/>
      <c r="D169" s="104"/>
      <c r="E169" s="104"/>
      <c r="F169" s="104"/>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xr:uid="{550433C1-CD91-4E6F-BE0C-7CAEEA05A7AE}"/>
    <hyperlink ref="B101" location="_ftn1" display="_ftn1" xr:uid="{8622ED69-24EC-4D41-A9D2-0E42F5634B21}"/>
    <hyperlink ref="B88" location="_ftn1" display="_ftn1" xr:uid="{14F99B0A-5A64-489E-97FB-C0882823700D}"/>
    <hyperlink ref="B20" location="_ftn1" display="_ftn1" xr:uid="{641EF439-331A-4871-B087-D870E694A5AB}"/>
    <hyperlink ref="B19" location="_ftn1" display="_ftn1" xr:uid="{2C552943-CCD0-4E3B-82FF-DB274AD5400F}"/>
    <hyperlink ref="B64" location="_ftn1" display="_ftn1" xr:uid="{898B6F41-2A18-4C87-B01D-44C627A7D368}"/>
    <hyperlink ref="B106" location="_ftn1" display="_ftn1" xr:uid="{808FCB62-A4B3-42BA-9C8A-9BBEAFE7D136}"/>
    <hyperlink ref="B107" location="_ftn1" display="_ftn1" xr:uid="{56ED586D-6F1E-4AB1-B85F-645A81A45BE3}"/>
    <hyperlink ref="B72" location="_ftn1" display="_ftn1" xr:uid="{2B5080A2-429F-4E89-A671-6A6776721240}"/>
  </hyperlinks>
  <printOptions horizontalCentered="1"/>
  <pageMargins left="0.35433070866141736" right="0.15748031496062992" top="0.59055118110236227" bottom="0.51181102362204722" header="0.51181102362204722" footer="0.51181102362204722"/>
  <pageSetup paperSize="9" scale="86" fitToHeight="0" orientation="portrait" verticalDpi="300" r:id="rId1"/>
  <headerFooter alignWithMargins="0"/>
  <rowBreaks count="1" manualBreakCount="1">
    <brk id="8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73985-1FF7-4392-8D06-43162914E89E}">
  <sheetPr>
    <tabColor theme="9" tint="0.39997558519241921"/>
  </sheetPr>
  <dimension ref="A1:T490"/>
  <sheetViews>
    <sheetView view="pageBreakPreview" topLeftCell="C1" zoomScale="25" zoomScaleNormal="25" zoomScaleSheetLayoutView="25" zoomScalePageLayoutView="10" workbookViewId="0">
      <pane ySplit="14" topLeftCell="A459" activePane="bottomLeft" state="frozen"/>
      <selection activeCell="A163" sqref="A163:XFD163"/>
      <selection pane="bottomLeft" activeCell="N462" sqref="N462"/>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81" t="s">
        <v>477</v>
      </c>
      <c r="O1" s="782"/>
      <c r="P1" s="782"/>
      <c r="Q1" s="782"/>
    </row>
    <row r="2" spans="1:18" ht="45.75" x14ac:dyDescent="0.2">
      <c r="A2" s="74"/>
      <c r="B2" s="74"/>
      <c r="C2" s="74"/>
      <c r="D2" s="74"/>
      <c r="E2" s="75"/>
      <c r="F2" s="76"/>
      <c r="G2" s="75"/>
      <c r="H2" s="75"/>
      <c r="I2" s="75"/>
      <c r="J2" s="75"/>
      <c r="K2" s="75"/>
      <c r="L2" s="75"/>
      <c r="M2" s="75"/>
      <c r="N2" s="781" t="s">
        <v>1713</v>
      </c>
      <c r="O2" s="783"/>
      <c r="P2" s="783"/>
      <c r="Q2" s="783"/>
    </row>
    <row r="3" spans="1:18" ht="40.700000000000003" customHeight="1" x14ac:dyDescent="0.2">
      <c r="A3" s="74"/>
      <c r="B3" s="74"/>
      <c r="C3" s="74"/>
      <c r="D3" s="74"/>
      <c r="E3" s="75"/>
      <c r="F3" s="76"/>
      <c r="G3" s="75"/>
      <c r="H3" s="75"/>
      <c r="I3" s="75"/>
      <c r="J3" s="75"/>
      <c r="K3" s="75"/>
      <c r="L3" s="75"/>
      <c r="M3" s="75"/>
      <c r="N3" s="75"/>
      <c r="O3" s="781"/>
      <c r="P3" s="784"/>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85" t="s">
        <v>541</v>
      </c>
      <c r="B5" s="785"/>
      <c r="C5" s="785"/>
      <c r="D5" s="785"/>
      <c r="E5" s="785"/>
      <c r="F5" s="785"/>
      <c r="G5" s="785"/>
      <c r="H5" s="785"/>
      <c r="I5" s="785"/>
      <c r="J5" s="785"/>
      <c r="K5" s="785"/>
      <c r="L5" s="785"/>
      <c r="M5" s="785"/>
      <c r="N5" s="785"/>
      <c r="O5" s="785"/>
      <c r="P5" s="785"/>
      <c r="Q5" s="78"/>
    </row>
    <row r="6" spans="1:18" ht="45" x14ac:dyDescent="0.2">
      <c r="A6" s="785" t="s">
        <v>1476</v>
      </c>
      <c r="B6" s="785"/>
      <c r="C6" s="785"/>
      <c r="D6" s="785"/>
      <c r="E6" s="785"/>
      <c r="F6" s="785"/>
      <c r="G6" s="785"/>
      <c r="H6" s="785"/>
      <c r="I6" s="785"/>
      <c r="J6" s="785"/>
      <c r="K6" s="785"/>
      <c r="L6" s="785"/>
      <c r="M6" s="785"/>
      <c r="N6" s="785"/>
      <c r="O6" s="785"/>
      <c r="P6" s="785"/>
      <c r="Q6" s="78"/>
    </row>
    <row r="7" spans="1:18" ht="45" x14ac:dyDescent="0.2">
      <c r="A7" s="75"/>
      <c r="B7" s="75"/>
      <c r="C7" s="75"/>
      <c r="D7" s="75"/>
      <c r="E7" s="75"/>
      <c r="F7" s="75"/>
      <c r="G7" s="75"/>
      <c r="H7" s="75"/>
      <c r="I7" s="75"/>
      <c r="J7" s="75"/>
      <c r="K7" s="75"/>
      <c r="L7" s="75"/>
      <c r="M7" s="75"/>
      <c r="N7" s="75"/>
      <c r="O7" s="75"/>
      <c r="P7" s="75"/>
      <c r="Q7" s="78"/>
    </row>
    <row r="8" spans="1:18" ht="45.75" x14ac:dyDescent="0.65">
      <c r="A8" s="786">
        <v>2256400000</v>
      </c>
      <c r="B8" s="787"/>
      <c r="C8" s="75"/>
      <c r="D8" s="75"/>
      <c r="E8" s="75"/>
      <c r="F8" s="75"/>
      <c r="G8" s="75"/>
      <c r="H8" s="75"/>
      <c r="I8" s="75"/>
      <c r="J8" s="75"/>
      <c r="K8" s="75"/>
      <c r="L8" s="75"/>
      <c r="M8" s="75"/>
      <c r="N8" s="75"/>
      <c r="O8" s="75"/>
      <c r="P8" s="75"/>
      <c r="Q8" s="13"/>
    </row>
    <row r="9" spans="1:18" ht="45.75" x14ac:dyDescent="0.2">
      <c r="A9" s="791" t="s">
        <v>474</v>
      </c>
      <c r="B9" s="792"/>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8" t="s">
        <v>394</v>
      </c>
      <c r="Q10" s="13"/>
    </row>
    <row r="11" spans="1:18" ht="62.45" customHeight="1" thickTop="1" thickBot="1" x14ac:dyDescent="0.25">
      <c r="A11" s="790" t="s">
        <v>475</v>
      </c>
      <c r="B11" s="790" t="s">
        <v>476</v>
      </c>
      <c r="C11" s="790" t="s">
        <v>380</v>
      </c>
      <c r="D11" s="790" t="s">
        <v>549</v>
      </c>
      <c r="E11" s="788" t="s">
        <v>12</v>
      </c>
      <c r="F11" s="788"/>
      <c r="G11" s="788"/>
      <c r="H11" s="788"/>
      <c r="I11" s="788"/>
      <c r="J11" s="788" t="s">
        <v>50</v>
      </c>
      <c r="K11" s="788"/>
      <c r="L11" s="788"/>
      <c r="M11" s="788"/>
      <c r="N11" s="788"/>
      <c r="O11" s="789"/>
      <c r="P11" s="788" t="s">
        <v>11</v>
      </c>
      <c r="Q11" s="18"/>
    </row>
    <row r="12" spans="1:18" ht="96" customHeight="1" thickTop="1" thickBot="1" x14ac:dyDescent="0.25">
      <c r="A12" s="788"/>
      <c r="B12" s="793"/>
      <c r="C12" s="793"/>
      <c r="D12" s="788"/>
      <c r="E12" s="790" t="s">
        <v>374</v>
      </c>
      <c r="F12" s="790" t="s">
        <v>51</v>
      </c>
      <c r="G12" s="790" t="s">
        <v>13</v>
      </c>
      <c r="H12" s="790"/>
      <c r="I12" s="790" t="s">
        <v>53</v>
      </c>
      <c r="J12" s="790" t="s">
        <v>374</v>
      </c>
      <c r="K12" s="790" t="s">
        <v>375</v>
      </c>
      <c r="L12" s="790" t="s">
        <v>51</v>
      </c>
      <c r="M12" s="790" t="s">
        <v>13</v>
      </c>
      <c r="N12" s="790"/>
      <c r="O12" s="790" t="s">
        <v>53</v>
      </c>
      <c r="P12" s="788"/>
      <c r="Q12" s="18"/>
    </row>
    <row r="13" spans="1:18" ht="328.7" customHeight="1" thickTop="1" thickBot="1" x14ac:dyDescent="0.25">
      <c r="A13" s="793"/>
      <c r="B13" s="793"/>
      <c r="C13" s="793"/>
      <c r="D13" s="793"/>
      <c r="E13" s="790"/>
      <c r="F13" s="790"/>
      <c r="G13" s="389" t="s">
        <v>52</v>
      </c>
      <c r="H13" s="389" t="s">
        <v>15</v>
      </c>
      <c r="I13" s="790"/>
      <c r="J13" s="790"/>
      <c r="K13" s="790"/>
      <c r="L13" s="790"/>
      <c r="M13" s="389" t="s">
        <v>52</v>
      </c>
      <c r="N13" s="389" t="s">
        <v>15</v>
      </c>
      <c r="O13" s="790"/>
      <c r="P13" s="788"/>
      <c r="Q13" s="18"/>
    </row>
    <row r="14" spans="1:18" s="22" customFormat="1" ht="47.25" thickTop="1" thickBot="1" x14ac:dyDescent="0.25">
      <c r="A14" s="239" t="s">
        <v>2</v>
      </c>
      <c r="B14" s="239" t="s">
        <v>3</v>
      </c>
      <c r="C14" s="239" t="s">
        <v>14</v>
      </c>
      <c r="D14" s="239" t="s">
        <v>5</v>
      </c>
      <c r="E14" s="239" t="s">
        <v>382</v>
      </c>
      <c r="F14" s="239" t="s">
        <v>383</v>
      </c>
      <c r="G14" s="239" t="s">
        <v>384</v>
      </c>
      <c r="H14" s="239" t="s">
        <v>385</v>
      </c>
      <c r="I14" s="239" t="s">
        <v>386</v>
      </c>
      <c r="J14" s="239" t="s">
        <v>387</v>
      </c>
      <c r="K14" s="239" t="s">
        <v>388</v>
      </c>
      <c r="L14" s="239" t="s">
        <v>389</v>
      </c>
      <c r="M14" s="239" t="s">
        <v>390</v>
      </c>
      <c r="N14" s="239" t="s">
        <v>391</v>
      </c>
      <c r="O14" s="239" t="s">
        <v>392</v>
      </c>
      <c r="P14" s="239" t="s">
        <v>393</v>
      </c>
      <c r="Q14" s="117"/>
      <c r="R14" s="21"/>
    </row>
    <row r="15" spans="1:18" s="22" customFormat="1" ht="165.75" customHeight="1" thickTop="1" thickBot="1" x14ac:dyDescent="0.25">
      <c r="A15" s="514" t="s">
        <v>143</v>
      </c>
      <c r="B15" s="514"/>
      <c r="C15" s="514"/>
      <c r="D15" s="515" t="s">
        <v>145</v>
      </c>
      <c r="E15" s="516">
        <f>E16</f>
        <v>535324835.57000005</v>
      </c>
      <c r="F15" s="517">
        <f t="shared" ref="F15:N15" si="0">F16</f>
        <v>351951676.45000005</v>
      </c>
      <c r="G15" s="517">
        <f t="shared" si="0"/>
        <v>145493793</v>
      </c>
      <c r="H15" s="517">
        <f t="shared" si="0"/>
        <v>7906600</v>
      </c>
      <c r="I15" s="517">
        <f t="shared" si="0"/>
        <v>183373159.12</v>
      </c>
      <c r="J15" s="516">
        <f t="shared" si="0"/>
        <v>10173946.91</v>
      </c>
      <c r="K15" s="517">
        <f t="shared" si="0"/>
        <v>0</v>
      </c>
      <c r="L15" s="517">
        <f t="shared" si="0"/>
        <v>9973946.9100000001</v>
      </c>
      <c r="M15" s="517">
        <f t="shared" si="0"/>
        <v>0</v>
      </c>
      <c r="N15" s="517">
        <f t="shared" si="0"/>
        <v>0</v>
      </c>
      <c r="O15" s="516">
        <f>O16</f>
        <v>200000</v>
      </c>
      <c r="P15" s="517">
        <f t="shared" ref="P15" si="1">P16</f>
        <v>545498782.48000002</v>
      </c>
      <c r="Q15" s="23"/>
      <c r="R15" s="23"/>
    </row>
    <row r="16" spans="1:18" s="22" customFormat="1" ht="156" customHeight="1" thickTop="1" thickBot="1" x14ac:dyDescent="0.25">
      <c r="A16" s="511" t="s">
        <v>144</v>
      </c>
      <c r="B16" s="511"/>
      <c r="C16" s="511"/>
      <c r="D16" s="512" t="s">
        <v>146</v>
      </c>
      <c r="E16" s="513">
        <f>E17+E27+E38+E44+E22</f>
        <v>535324835.57000005</v>
      </c>
      <c r="F16" s="513">
        <f>F17+F27+F38+F44+F22</f>
        <v>351951676.45000005</v>
      </c>
      <c r="G16" s="513">
        <f>G17+G27+G38+G44+G22</f>
        <v>145493793</v>
      </c>
      <c r="H16" s="513">
        <f>H17+H27+H38+H44+H22</f>
        <v>7906600</v>
      </c>
      <c r="I16" s="513">
        <f>I17+I27+I38+I44+I22</f>
        <v>183373159.12</v>
      </c>
      <c r="J16" s="513">
        <f>L16+O16</f>
        <v>10173946.91</v>
      </c>
      <c r="K16" s="513">
        <f>K17+K27+K38+K44+K22</f>
        <v>0</v>
      </c>
      <c r="L16" s="513">
        <f>L17+L27+L38+L44+L22</f>
        <v>9973946.9100000001</v>
      </c>
      <c r="M16" s="513">
        <f>M17+M27+M38+M44+M22</f>
        <v>0</v>
      </c>
      <c r="N16" s="513">
        <f>N17+N27+N38+N44+N22</f>
        <v>0</v>
      </c>
      <c r="O16" s="513">
        <f>O17+O27+O38+O44+O22</f>
        <v>200000</v>
      </c>
      <c r="P16" s="513">
        <f>E16+J16</f>
        <v>545498782.48000002</v>
      </c>
      <c r="Q16" s="597" t="b">
        <f>P16=P18+P21+P26+P29+P32+P34+P36+P37+P40+P41+P43+P46+P48+P24+P47</f>
        <v>1</v>
      </c>
      <c r="R16" s="24"/>
    </row>
    <row r="17" spans="1:18" s="26" customFormat="1" ht="156.75" customHeight="1" thickTop="1" thickBot="1" x14ac:dyDescent="0.25">
      <c r="A17" s="239" t="s">
        <v>651</v>
      </c>
      <c r="B17" s="239" t="s">
        <v>652</v>
      </c>
      <c r="C17" s="239"/>
      <c r="D17" s="239" t="s">
        <v>653</v>
      </c>
      <c r="E17" s="501">
        <f>SUM(E18:E21)</f>
        <v>228172122.09</v>
      </c>
      <c r="F17" s="501">
        <f>SUM(F18:F21)</f>
        <v>226232122.09</v>
      </c>
      <c r="G17" s="501">
        <f t="shared" ref="G17:P17" si="2">SUM(G18:G21)</f>
        <v>136793750</v>
      </c>
      <c r="H17" s="501">
        <f t="shared" si="2"/>
        <v>7415000</v>
      </c>
      <c r="I17" s="501">
        <f t="shared" si="2"/>
        <v>1940000</v>
      </c>
      <c r="J17" s="501">
        <f t="shared" si="2"/>
        <v>0</v>
      </c>
      <c r="K17" s="501">
        <f t="shared" si="2"/>
        <v>0</v>
      </c>
      <c r="L17" s="501">
        <f t="shared" si="2"/>
        <v>0</v>
      </c>
      <c r="M17" s="501">
        <f t="shared" si="2"/>
        <v>0</v>
      </c>
      <c r="N17" s="501">
        <f t="shared" si="2"/>
        <v>0</v>
      </c>
      <c r="O17" s="501">
        <f t="shared" si="2"/>
        <v>0</v>
      </c>
      <c r="P17" s="501">
        <f t="shared" si="2"/>
        <v>228172122.09</v>
      </c>
      <c r="Q17" s="29"/>
      <c r="R17" s="25"/>
    </row>
    <row r="18" spans="1:18" ht="251.25" customHeight="1" thickTop="1" thickBot="1" x14ac:dyDescent="0.25">
      <c r="A18" s="469" t="s">
        <v>227</v>
      </c>
      <c r="B18" s="469" t="s">
        <v>228</v>
      </c>
      <c r="C18" s="469" t="s">
        <v>229</v>
      </c>
      <c r="D18" s="469" t="s">
        <v>226</v>
      </c>
      <c r="E18" s="471">
        <f>F18+I18</f>
        <v>186581263</v>
      </c>
      <c r="F18" s="470">
        <f>(175763763)+10777500-1900000</f>
        <v>184641263</v>
      </c>
      <c r="G18" s="470">
        <f>(128593750)+8200000</f>
        <v>136793750</v>
      </c>
      <c r="H18" s="470">
        <f>3000000+130000+3800000+400000+85000</f>
        <v>7415000</v>
      </c>
      <c r="I18" s="470">
        <f>(1000000)+940000</f>
        <v>1940000</v>
      </c>
      <c r="J18" s="485">
        <f t="shared" ref="J18:J34" si="3">L18+O18</f>
        <v>0</v>
      </c>
      <c r="K18" s="470"/>
      <c r="L18" s="494"/>
      <c r="M18" s="579"/>
      <c r="N18" s="579"/>
      <c r="O18" s="488">
        <f t="shared" ref="O18:O34" si="4">K18</f>
        <v>0</v>
      </c>
      <c r="P18" s="485">
        <f>+J18+E18</f>
        <v>186581263</v>
      </c>
      <c r="Q18" s="124"/>
      <c r="R18" s="27"/>
    </row>
    <row r="19" spans="1:18" ht="93" hidden="1" thickTop="1" thickBot="1" x14ac:dyDescent="0.25">
      <c r="A19" s="119" t="s">
        <v>560</v>
      </c>
      <c r="B19" s="119" t="s">
        <v>231</v>
      </c>
      <c r="C19" s="119" t="s">
        <v>229</v>
      </c>
      <c r="D19" s="119" t="s">
        <v>230</v>
      </c>
      <c r="E19" s="118"/>
      <c r="F19" s="120"/>
      <c r="G19" s="120"/>
      <c r="H19" s="120"/>
      <c r="I19" s="120"/>
      <c r="J19" s="118">
        <f t="shared" si="3"/>
        <v>0</v>
      </c>
      <c r="K19" s="120"/>
      <c r="L19" s="121"/>
      <c r="M19" s="122"/>
      <c r="N19" s="122"/>
      <c r="O19" s="123">
        <f t="shared" si="4"/>
        <v>0</v>
      </c>
      <c r="P19" s="118">
        <f>+J19+E19</f>
        <v>0</v>
      </c>
      <c r="Q19" s="124"/>
      <c r="R19" s="27"/>
    </row>
    <row r="20" spans="1:18" ht="93" hidden="1" thickTop="1" thickBot="1" x14ac:dyDescent="0.25">
      <c r="A20" s="119" t="s">
        <v>597</v>
      </c>
      <c r="B20" s="119" t="s">
        <v>352</v>
      </c>
      <c r="C20" s="119" t="s">
        <v>598</v>
      </c>
      <c r="D20" s="119" t="s">
        <v>599</v>
      </c>
      <c r="E20" s="118"/>
      <c r="F20" s="120">
        <v>0</v>
      </c>
      <c r="G20" s="120"/>
      <c r="H20" s="120"/>
      <c r="I20" s="120"/>
      <c r="J20" s="118">
        <f t="shared" si="3"/>
        <v>0</v>
      </c>
      <c r="K20" s="120"/>
      <c r="L20" s="121"/>
      <c r="M20" s="122"/>
      <c r="N20" s="122"/>
      <c r="O20" s="123">
        <f t="shared" si="4"/>
        <v>0</v>
      </c>
      <c r="P20" s="118">
        <f>+J20+E20</f>
        <v>0</v>
      </c>
      <c r="Q20" s="124"/>
      <c r="R20" s="28"/>
    </row>
    <row r="21" spans="1:18" ht="135.75" customHeight="1" thickTop="1" thickBot="1" x14ac:dyDescent="0.25">
      <c r="A21" s="94" t="s">
        <v>241</v>
      </c>
      <c r="B21" s="94" t="s">
        <v>42</v>
      </c>
      <c r="C21" s="94" t="s">
        <v>41</v>
      </c>
      <c r="D21" s="94" t="s">
        <v>242</v>
      </c>
      <c r="E21" s="471">
        <f>F21+I21</f>
        <v>41590859.090000004</v>
      </c>
      <c r="F21" s="504">
        <f>(44564256)-2973396.91</f>
        <v>41590859.090000004</v>
      </c>
      <c r="G21" s="504"/>
      <c r="H21" s="504"/>
      <c r="I21" s="504"/>
      <c r="J21" s="501">
        <f t="shared" si="3"/>
        <v>0</v>
      </c>
      <c r="K21" s="504"/>
      <c r="L21" s="504"/>
      <c r="M21" s="504"/>
      <c r="N21" s="504"/>
      <c r="O21" s="502">
        <f t="shared" si="4"/>
        <v>0</v>
      </c>
      <c r="P21" s="501">
        <f>E21+J21</f>
        <v>41590859.090000004</v>
      </c>
      <c r="Q21" s="124"/>
      <c r="R21" s="28"/>
    </row>
    <row r="22" spans="1:18" ht="125.25" customHeight="1" thickTop="1" thickBot="1" x14ac:dyDescent="0.25">
      <c r="A22" s="239" t="s">
        <v>1327</v>
      </c>
      <c r="B22" s="239" t="s">
        <v>678</v>
      </c>
      <c r="C22" s="239"/>
      <c r="D22" s="239" t="s">
        <v>679</v>
      </c>
      <c r="E22" s="501">
        <f t="shared" ref="E22:P22" si="5">E25+E23</f>
        <v>11746758</v>
      </c>
      <c r="F22" s="501">
        <f t="shared" si="5"/>
        <v>11746758</v>
      </c>
      <c r="G22" s="501">
        <f t="shared" si="5"/>
        <v>8700043</v>
      </c>
      <c r="H22" s="501">
        <f t="shared" si="5"/>
        <v>491600</v>
      </c>
      <c r="I22" s="501">
        <f t="shared" si="5"/>
        <v>0</v>
      </c>
      <c r="J22" s="501">
        <f t="shared" si="5"/>
        <v>0</v>
      </c>
      <c r="K22" s="501">
        <f t="shared" si="5"/>
        <v>0</v>
      </c>
      <c r="L22" s="501">
        <f t="shared" si="5"/>
        <v>0</v>
      </c>
      <c r="M22" s="501">
        <f t="shared" si="5"/>
        <v>0</v>
      </c>
      <c r="N22" s="501">
        <f t="shared" si="5"/>
        <v>0</v>
      </c>
      <c r="O22" s="501">
        <f t="shared" si="5"/>
        <v>0</v>
      </c>
      <c r="P22" s="501">
        <f t="shared" si="5"/>
        <v>11746758</v>
      </c>
      <c r="Q22" s="124"/>
      <c r="R22" s="28"/>
    </row>
    <row r="23" spans="1:18" ht="93.75" customHeight="1" thickTop="1" thickBot="1" x14ac:dyDescent="0.25">
      <c r="A23" s="518" t="s">
        <v>1414</v>
      </c>
      <c r="B23" s="518" t="s">
        <v>702</v>
      </c>
      <c r="C23" s="518"/>
      <c r="D23" s="518" t="s">
        <v>703</v>
      </c>
      <c r="E23" s="519">
        <f>E24</f>
        <v>6580512</v>
      </c>
      <c r="F23" s="519">
        <f t="shared" ref="F23:P25" si="6">F24</f>
        <v>6580512</v>
      </c>
      <c r="G23" s="519">
        <f t="shared" si="6"/>
        <v>5393870</v>
      </c>
      <c r="H23" s="519">
        <f t="shared" si="6"/>
        <v>0</v>
      </c>
      <c r="I23" s="519">
        <f t="shared" si="6"/>
        <v>0</v>
      </c>
      <c r="J23" s="519">
        <f t="shared" si="6"/>
        <v>0</v>
      </c>
      <c r="K23" s="519">
        <f t="shared" si="6"/>
        <v>0</v>
      </c>
      <c r="L23" s="519">
        <f t="shared" si="6"/>
        <v>0</v>
      </c>
      <c r="M23" s="519">
        <f t="shared" si="6"/>
        <v>0</v>
      </c>
      <c r="N23" s="519">
        <f t="shared" si="6"/>
        <v>0</v>
      </c>
      <c r="O23" s="519">
        <f t="shared" si="6"/>
        <v>0</v>
      </c>
      <c r="P23" s="519">
        <f t="shared" si="6"/>
        <v>6580512</v>
      </c>
      <c r="Q23" s="124"/>
      <c r="R23" s="28"/>
    </row>
    <row r="24" spans="1:18" ht="210.75" customHeight="1" thickTop="1" thickBot="1" x14ac:dyDescent="0.25">
      <c r="A24" s="94" t="s">
        <v>1411</v>
      </c>
      <c r="B24" s="94" t="s">
        <v>1412</v>
      </c>
      <c r="C24" s="94" t="s">
        <v>200</v>
      </c>
      <c r="D24" s="507" t="s">
        <v>1413</v>
      </c>
      <c r="E24" s="521">
        <f>F24+I24</f>
        <v>6580512</v>
      </c>
      <c r="F24" s="504">
        <v>6580512</v>
      </c>
      <c r="G24" s="520">
        <v>5393870</v>
      </c>
      <c r="H24" s="520"/>
      <c r="I24" s="504"/>
      <c r="J24" s="501">
        <f t="shared" ref="J24:J26" si="7">L24+O24</f>
        <v>0</v>
      </c>
      <c r="K24" s="504"/>
      <c r="L24" s="504"/>
      <c r="M24" s="504"/>
      <c r="N24" s="504"/>
      <c r="O24" s="502"/>
      <c r="P24" s="501">
        <f t="shared" ref="P24:P26" si="8">E24+J24</f>
        <v>6580512</v>
      </c>
      <c r="Q24" s="124"/>
      <c r="R24" s="28"/>
    </row>
    <row r="25" spans="1:18" ht="110.25" customHeight="1" thickTop="1" thickBot="1" x14ac:dyDescent="0.25">
      <c r="A25" s="518" t="s">
        <v>1328</v>
      </c>
      <c r="B25" s="518" t="s">
        <v>705</v>
      </c>
      <c r="C25" s="518"/>
      <c r="D25" s="518" t="s">
        <v>1520</v>
      </c>
      <c r="E25" s="519">
        <f>E26</f>
        <v>5166246</v>
      </c>
      <c r="F25" s="519">
        <f t="shared" si="6"/>
        <v>5166246</v>
      </c>
      <c r="G25" s="519">
        <f t="shared" si="6"/>
        <v>3306173</v>
      </c>
      <c r="H25" s="519">
        <f t="shared" si="6"/>
        <v>491600</v>
      </c>
      <c r="I25" s="519">
        <f t="shared" si="6"/>
        <v>0</v>
      </c>
      <c r="J25" s="519">
        <f t="shared" si="6"/>
        <v>0</v>
      </c>
      <c r="K25" s="519">
        <f t="shared" si="6"/>
        <v>0</v>
      </c>
      <c r="L25" s="519">
        <f t="shared" si="6"/>
        <v>0</v>
      </c>
      <c r="M25" s="519">
        <f t="shared" si="6"/>
        <v>0</v>
      </c>
      <c r="N25" s="519">
        <f t="shared" si="6"/>
        <v>0</v>
      </c>
      <c r="O25" s="519">
        <f t="shared" si="6"/>
        <v>0</v>
      </c>
      <c r="P25" s="519">
        <f t="shared" si="6"/>
        <v>5166246</v>
      </c>
      <c r="Q25" s="124"/>
      <c r="R25" s="28"/>
    </row>
    <row r="26" spans="1:18" ht="171.75" customHeight="1" thickTop="1" thickBot="1" x14ac:dyDescent="0.25">
      <c r="A26" s="94" t="s">
        <v>1329</v>
      </c>
      <c r="B26" s="94" t="s">
        <v>322</v>
      </c>
      <c r="C26" s="94" t="s">
        <v>186</v>
      </c>
      <c r="D26" s="507" t="s">
        <v>1392</v>
      </c>
      <c r="E26" s="471">
        <f>F26+I26</f>
        <v>5166246</v>
      </c>
      <c r="F26" s="504">
        <f>(5071246)+95000</f>
        <v>5166246</v>
      </c>
      <c r="G26" s="520">
        <v>3306173</v>
      </c>
      <c r="H26" s="520">
        <v>491600</v>
      </c>
      <c r="I26" s="504"/>
      <c r="J26" s="501">
        <f t="shared" si="7"/>
        <v>0</v>
      </c>
      <c r="K26" s="504"/>
      <c r="L26" s="504"/>
      <c r="M26" s="504"/>
      <c r="N26" s="504"/>
      <c r="O26" s="502">
        <f>(K26)</f>
        <v>0</v>
      </c>
      <c r="P26" s="501">
        <f t="shared" si="8"/>
        <v>5166246</v>
      </c>
      <c r="Q26" s="124"/>
      <c r="R26" s="28"/>
    </row>
    <row r="27" spans="1:18" s="26" customFormat="1" ht="113.25" customHeight="1" thickTop="1" thickBot="1" x14ac:dyDescent="0.3">
      <c r="A27" s="239" t="s">
        <v>712</v>
      </c>
      <c r="B27" s="239" t="s">
        <v>713</v>
      </c>
      <c r="C27" s="239"/>
      <c r="D27" s="239" t="s">
        <v>714</v>
      </c>
      <c r="E27" s="501">
        <f t="shared" ref="E27:P27" si="9">SUM(E28:E37)-E28-E31-E35</f>
        <v>16633570</v>
      </c>
      <c r="F27" s="501">
        <f t="shared" si="9"/>
        <v>12633570</v>
      </c>
      <c r="G27" s="501">
        <f t="shared" si="9"/>
        <v>0</v>
      </c>
      <c r="H27" s="501">
        <f t="shared" si="9"/>
        <v>0</v>
      </c>
      <c r="I27" s="501">
        <f t="shared" si="9"/>
        <v>4000000</v>
      </c>
      <c r="J27" s="501">
        <f t="shared" si="9"/>
        <v>10173946.91</v>
      </c>
      <c r="K27" s="501">
        <f t="shared" si="9"/>
        <v>0</v>
      </c>
      <c r="L27" s="501">
        <f t="shared" si="9"/>
        <v>9973946.9100000001</v>
      </c>
      <c r="M27" s="501">
        <f t="shared" si="9"/>
        <v>0</v>
      </c>
      <c r="N27" s="501">
        <f t="shared" si="9"/>
        <v>0</v>
      </c>
      <c r="O27" s="501">
        <f t="shared" si="9"/>
        <v>200000</v>
      </c>
      <c r="P27" s="501">
        <f t="shared" si="9"/>
        <v>26807516.909999993</v>
      </c>
      <c r="Q27" s="126"/>
      <c r="R27" s="29"/>
    </row>
    <row r="28" spans="1:18" s="31" customFormat="1" ht="125.25" customHeight="1" thickTop="1" thickBot="1" x14ac:dyDescent="0.25">
      <c r="A28" s="508" t="s">
        <v>654</v>
      </c>
      <c r="B28" s="508" t="s">
        <v>655</v>
      </c>
      <c r="C28" s="508"/>
      <c r="D28" s="508" t="s">
        <v>656</v>
      </c>
      <c r="E28" s="524">
        <f t="shared" ref="E28:P28" si="10">SUM(E29:E30)</f>
        <v>11460060</v>
      </c>
      <c r="F28" s="524">
        <f t="shared" si="10"/>
        <v>7460060</v>
      </c>
      <c r="G28" s="524">
        <f t="shared" si="10"/>
        <v>0</v>
      </c>
      <c r="H28" s="524">
        <f t="shared" si="10"/>
        <v>0</v>
      </c>
      <c r="I28" s="524">
        <f t="shared" si="10"/>
        <v>4000000</v>
      </c>
      <c r="J28" s="524">
        <f t="shared" si="10"/>
        <v>0</v>
      </c>
      <c r="K28" s="524">
        <f t="shared" si="10"/>
        <v>0</v>
      </c>
      <c r="L28" s="524">
        <f t="shared" si="10"/>
        <v>0</v>
      </c>
      <c r="M28" s="524">
        <f t="shared" si="10"/>
        <v>0</v>
      </c>
      <c r="N28" s="524">
        <f t="shared" si="10"/>
        <v>0</v>
      </c>
      <c r="O28" s="524">
        <f t="shared" si="10"/>
        <v>0</v>
      </c>
      <c r="P28" s="524">
        <f t="shared" si="10"/>
        <v>11460060</v>
      </c>
      <c r="Q28" s="129"/>
      <c r="R28" s="30"/>
    </row>
    <row r="29" spans="1:18" ht="132" customHeight="1" thickTop="1" thickBot="1" x14ac:dyDescent="0.25">
      <c r="A29" s="94" t="s">
        <v>233</v>
      </c>
      <c r="B29" s="94" t="s">
        <v>234</v>
      </c>
      <c r="C29" s="94" t="s">
        <v>235</v>
      </c>
      <c r="D29" s="94" t="s">
        <v>232</v>
      </c>
      <c r="E29" s="521">
        <f>F29+I29</f>
        <v>11460060</v>
      </c>
      <c r="F29" s="504">
        <v>7460060</v>
      </c>
      <c r="G29" s="504"/>
      <c r="H29" s="504"/>
      <c r="I29" s="504">
        <v>4000000</v>
      </c>
      <c r="J29" s="501">
        <f t="shared" si="3"/>
        <v>0</v>
      </c>
      <c r="K29" s="504"/>
      <c r="L29" s="504"/>
      <c r="M29" s="504"/>
      <c r="N29" s="504"/>
      <c r="O29" s="502">
        <f t="shared" si="4"/>
        <v>0</v>
      </c>
      <c r="P29" s="501">
        <f>+J29+E29</f>
        <v>11460060</v>
      </c>
      <c r="Q29" s="124"/>
      <c r="R29" s="27"/>
    </row>
    <row r="30" spans="1:18" ht="93" hidden="1" thickTop="1" thickBot="1" x14ac:dyDescent="0.25">
      <c r="A30" s="39" t="s">
        <v>915</v>
      </c>
      <c r="B30" s="39" t="s">
        <v>916</v>
      </c>
      <c r="C30" s="39" t="s">
        <v>235</v>
      </c>
      <c r="D30" s="39" t="s">
        <v>917</v>
      </c>
      <c r="E30" s="118">
        <f t="shared" ref="E30" si="11">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08" t="s">
        <v>658</v>
      </c>
      <c r="B31" s="508" t="s">
        <v>659</v>
      </c>
      <c r="C31" s="508"/>
      <c r="D31" s="508" t="s">
        <v>657</v>
      </c>
      <c r="E31" s="524">
        <f>SUM(E34)+E35+E33+E32</f>
        <v>5173510</v>
      </c>
      <c r="F31" s="524">
        <f t="shared" ref="F31:P31" si="12">SUM(F34)+F35+F33+F32</f>
        <v>5173510</v>
      </c>
      <c r="G31" s="524">
        <f t="shared" si="12"/>
        <v>0</v>
      </c>
      <c r="H31" s="524">
        <f t="shared" si="12"/>
        <v>0</v>
      </c>
      <c r="I31" s="524">
        <f t="shared" si="12"/>
        <v>0</v>
      </c>
      <c r="J31" s="524">
        <f t="shared" si="12"/>
        <v>10173946.91</v>
      </c>
      <c r="K31" s="524">
        <f t="shared" si="12"/>
        <v>0</v>
      </c>
      <c r="L31" s="524">
        <f t="shared" si="12"/>
        <v>9973946.9100000001</v>
      </c>
      <c r="M31" s="524">
        <f t="shared" si="12"/>
        <v>0</v>
      </c>
      <c r="N31" s="524">
        <f t="shared" si="12"/>
        <v>0</v>
      </c>
      <c r="O31" s="524">
        <f t="shared" si="12"/>
        <v>200000</v>
      </c>
      <c r="P31" s="524">
        <f t="shared" si="12"/>
        <v>15347456.91</v>
      </c>
      <c r="Q31" s="130"/>
      <c r="R31" s="32"/>
    </row>
    <row r="32" spans="1:18" ht="113.25" customHeight="1" thickTop="1" thickBot="1" x14ac:dyDescent="0.25">
      <c r="A32" s="94" t="s">
        <v>1461</v>
      </c>
      <c r="B32" s="94" t="s">
        <v>248</v>
      </c>
      <c r="C32" s="94" t="s">
        <v>208</v>
      </c>
      <c r="D32" s="94" t="s">
        <v>247</v>
      </c>
      <c r="E32" s="521">
        <f>F32+I32</f>
        <v>1087440</v>
      </c>
      <c r="F32" s="504">
        <v>1087440</v>
      </c>
      <c r="G32" s="125"/>
      <c r="H32" s="125"/>
      <c r="I32" s="125"/>
      <c r="J32" s="501">
        <f t="shared" ref="J32" si="13">L32+O32</f>
        <v>0</v>
      </c>
      <c r="K32" s="125"/>
      <c r="L32" s="125"/>
      <c r="M32" s="125"/>
      <c r="N32" s="125"/>
      <c r="O32" s="502">
        <f>K32</f>
        <v>0</v>
      </c>
      <c r="P32" s="501">
        <f t="shared" ref="P32" si="14">E32+J32</f>
        <v>1087440</v>
      </c>
      <c r="Q32" s="130"/>
      <c r="R32" s="32"/>
    </row>
    <row r="33" spans="1:18" ht="48" hidden="1" thickTop="1" thickBot="1" x14ac:dyDescent="0.25">
      <c r="A33" s="119" t="s">
        <v>1215</v>
      </c>
      <c r="B33" s="119" t="s">
        <v>207</v>
      </c>
      <c r="C33" s="119" t="s">
        <v>208</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293</v>
      </c>
      <c r="B34" s="94" t="s">
        <v>294</v>
      </c>
      <c r="C34" s="94" t="s">
        <v>165</v>
      </c>
      <c r="D34" s="94" t="s">
        <v>431</v>
      </c>
      <c r="E34" s="521">
        <f>F34+I34</f>
        <v>532970</v>
      </c>
      <c r="F34" s="504">
        <v>532970</v>
      </c>
      <c r="G34" s="125"/>
      <c r="H34" s="125"/>
      <c r="I34" s="125"/>
      <c r="J34" s="501">
        <f t="shared" si="3"/>
        <v>0</v>
      </c>
      <c r="K34" s="125"/>
      <c r="L34" s="125"/>
      <c r="M34" s="125"/>
      <c r="N34" s="125"/>
      <c r="O34" s="502">
        <f t="shared" si="4"/>
        <v>0</v>
      </c>
      <c r="P34" s="501">
        <f>+J34+E34</f>
        <v>532970</v>
      </c>
      <c r="Q34" s="124"/>
      <c r="R34" s="28"/>
    </row>
    <row r="35" spans="1:18" ht="126" customHeight="1" thickTop="1" thickBot="1" x14ac:dyDescent="0.25">
      <c r="A35" s="518" t="s">
        <v>661</v>
      </c>
      <c r="B35" s="518" t="s">
        <v>662</v>
      </c>
      <c r="C35" s="518"/>
      <c r="D35" s="582" t="s">
        <v>660</v>
      </c>
      <c r="E35" s="519">
        <f t="shared" ref="E35:O35" si="15">SUM(E36:E37)</f>
        <v>3553100</v>
      </c>
      <c r="F35" s="519">
        <f t="shared" si="15"/>
        <v>3553100</v>
      </c>
      <c r="G35" s="519">
        <f t="shared" si="15"/>
        <v>0</v>
      </c>
      <c r="H35" s="519">
        <f t="shared" si="15"/>
        <v>0</v>
      </c>
      <c r="I35" s="519">
        <f t="shared" si="15"/>
        <v>0</v>
      </c>
      <c r="J35" s="519">
        <f t="shared" si="15"/>
        <v>10173946.91</v>
      </c>
      <c r="K35" s="519">
        <f t="shared" si="15"/>
        <v>0</v>
      </c>
      <c r="L35" s="519">
        <f t="shared" si="15"/>
        <v>9973946.9100000001</v>
      </c>
      <c r="M35" s="519">
        <f t="shared" si="15"/>
        <v>0</v>
      </c>
      <c r="N35" s="519">
        <f t="shared" si="15"/>
        <v>0</v>
      </c>
      <c r="O35" s="519">
        <f t="shared" si="15"/>
        <v>200000</v>
      </c>
      <c r="P35" s="519">
        <f>E35+J35</f>
        <v>13727046.91</v>
      </c>
      <c r="Q35" s="130"/>
      <c r="R35" s="33"/>
    </row>
    <row r="36" spans="1:18" s="31" customFormat="1" ht="360" customHeight="1" thickTop="1" thickBot="1" x14ac:dyDescent="0.25">
      <c r="A36" s="94" t="s">
        <v>330</v>
      </c>
      <c r="B36" s="94" t="s">
        <v>329</v>
      </c>
      <c r="C36" s="94" t="s">
        <v>165</v>
      </c>
      <c r="D36" s="581" t="s">
        <v>1456</v>
      </c>
      <c r="E36" s="118"/>
      <c r="F36" s="207"/>
      <c r="G36" s="207"/>
      <c r="H36" s="207"/>
      <c r="I36" s="207"/>
      <c r="J36" s="584">
        <f>L36+O36</f>
        <v>10173946.91</v>
      </c>
      <c r="K36" s="207"/>
      <c r="L36" s="525">
        <f>(7105000-200000)+3068946.91</f>
        <v>9973946.9100000001</v>
      </c>
      <c r="M36" s="207"/>
      <c r="N36" s="207"/>
      <c r="O36" s="583">
        <v>200000</v>
      </c>
      <c r="P36" s="585">
        <f>E36+J36</f>
        <v>10173946.91</v>
      </c>
      <c r="Q36" s="133"/>
      <c r="R36" s="34"/>
    </row>
    <row r="37" spans="1:18" s="31" customFormat="1" ht="120" customHeight="1" thickTop="1" thickBot="1" x14ac:dyDescent="0.25">
      <c r="A37" s="94" t="s">
        <v>870</v>
      </c>
      <c r="B37" s="94" t="s">
        <v>251</v>
      </c>
      <c r="C37" s="94" t="s">
        <v>165</v>
      </c>
      <c r="D37" s="94" t="s">
        <v>249</v>
      </c>
      <c r="E37" s="471">
        <f>F37+I37</f>
        <v>3553100</v>
      </c>
      <c r="F37" s="504">
        <v>3553100</v>
      </c>
      <c r="G37" s="504"/>
      <c r="H37" s="504"/>
      <c r="I37" s="504"/>
      <c r="J37" s="501">
        <f>L37+O37</f>
        <v>0</v>
      </c>
      <c r="K37" s="504"/>
      <c r="L37" s="504"/>
      <c r="M37" s="504"/>
      <c r="N37" s="504"/>
      <c r="O37" s="502"/>
      <c r="P37" s="501">
        <f>E37+J37</f>
        <v>3553100</v>
      </c>
      <c r="Q37" s="34"/>
      <c r="R37" s="34"/>
    </row>
    <row r="38" spans="1:18" s="31" customFormat="1" ht="99.75" customHeight="1" thickTop="1" thickBot="1" x14ac:dyDescent="0.25">
      <c r="A38" s="239" t="s">
        <v>663</v>
      </c>
      <c r="B38" s="239" t="s">
        <v>664</v>
      </c>
      <c r="C38" s="239"/>
      <c r="D38" s="239" t="s">
        <v>665</v>
      </c>
      <c r="E38" s="501">
        <f t="shared" ref="E38:P38" si="16">E42+E39</f>
        <v>95611141</v>
      </c>
      <c r="F38" s="501">
        <f t="shared" si="16"/>
        <v>40531141</v>
      </c>
      <c r="G38" s="501">
        <f t="shared" si="16"/>
        <v>0</v>
      </c>
      <c r="H38" s="501">
        <f t="shared" si="16"/>
        <v>0</v>
      </c>
      <c r="I38" s="501">
        <f t="shared" si="16"/>
        <v>55080000</v>
      </c>
      <c r="J38" s="501">
        <f t="shared" si="16"/>
        <v>0</v>
      </c>
      <c r="K38" s="501">
        <f t="shared" si="16"/>
        <v>0</v>
      </c>
      <c r="L38" s="501">
        <f t="shared" si="16"/>
        <v>0</v>
      </c>
      <c r="M38" s="501">
        <f t="shared" si="16"/>
        <v>0</v>
      </c>
      <c r="N38" s="501">
        <f t="shared" si="16"/>
        <v>0</v>
      </c>
      <c r="O38" s="501">
        <f t="shared" si="16"/>
        <v>0</v>
      </c>
      <c r="P38" s="501">
        <f t="shared" si="16"/>
        <v>95611141</v>
      </c>
      <c r="Q38" s="34"/>
      <c r="R38" s="34"/>
    </row>
    <row r="39" spans="1:18" s="31" customFormat="1" ht="107.25" customHeight="1" thickTop="1" thickBot="1" x14ac:dyDescent="0.25">
      <c r="A39" s="508" t="s">
        <v>1065</v>
      </c>
      <c r="B39" s="508" t="s">
        <v>1066</v>
      </c>
      <c r="C39" s="508"/>
      <c r="D39" s="508" t="s">
        <v>1064</v>
      </c>
      <c r="E39" s="524">
        <f t="shared" ref="E39:P39" si="17">SUM(E40:E41)</f>
        <v>83342363</v>
      </c>
      <c r="F39" s="524">
        <f t="shared" si="17"/>
        <v>28262363</v>
      </c>
      <c r="G39" s="524">
        <f t="shared" si="17"/>
        <v>0</v>
      </c>
      <c r="H39" s="524">
        <f t="shared" si="17"/>
        <v>0</v>
      </c>
      <c r="I39" s="524">
        <f t="shared" si="17"/>
        <v>55080000</v>
      </c>
      <c r="J39" s="524">
        <f t="shared" si="17"/>
        <v>0</v>
      </c>
      <c r="K39" s="524">
        <f t="shared" si="17"/>
        <v>0</v>
      </c>
      <c r="L39" s="524">
        <f t="shared" si="17"/>
        <v>0</v>
      </c>
      <c r="M39" s="524">
        <f t="shared" si="17"/>
        <v>0</v>
      </c>
      <c r="N39" s="524">
        <f t="shared" si="17"/>
        <v>0</v>
      </c>
      <c r="O39" s="524">
        <f t="shared" si="17"/>
        <v>0</v>
      </c>
      <c r="P39" s="524">
        <f t="shared" si="17"/>
        <v>83342363</v>
      </c>
      <c r="Q39" s="34"/>
      <c r="R39" s="34"/>
    </row>
    <row r="40" spans="1:18" s="31" customFormat="1" ht="104.25" customHeight="1" thickTop="1" thickBot="1" x14ac:dyDescent="0.25">
      <c r="A40" s="94" t="s">
        <v>1092</v>
      </c>
      <c r="B40" s="94" t="s">
        <v>1093</v>
      </c>
      <c r="C40" s="94" t="s">
        <v>1068</v>
      </c>
      <c r="D40" s="94" t="s">
        <v>1094</v>
      </c>
      <c r="E40" s="471">
        <f>F40+I40</f>
        <v>75130000</v>
      </c>
      <c r="F40" s="504">
        <f>(47000000-32000000)+50000+5000000</f>
        <v>20050000</v>
      </c>
      <c r="G40" s="504"/>
      <c r="H40" s="504"/>
      <c r="I40" s="504">
        <f>(32000000)+480000+2000000+20000000+600000</f>
        <v>55080000</v>
      </c>
      <c r="J40" s="501">
        <f>L40+O40</f>
        <v>0</v>
      </c>
      <c r="K40" s="504"/>
      <c r="L40" s="504"/>
      <c r="M40" s="504"/>
      <c r="N40" s="504"/>
      <c r="O40" s="502">
        <f>K40</f>
        <v>0</v>
      </c>
      <c r="P40" s="501">
        <f>E40+J40</f>
        <v>75130000</v>
      </c>
      <c r="Q40" s="34"/>
      <c r="R40" s="34"/>
    </row>
    <row r="41" spans="1:18" s="31" customFormat="1" ht="116.25" customHeight="1" thickTop="1" thickBot="1" x14ac:dyDescent="0.25">
      <c r="A41" s="94" t="s">
        <v>1069</v>
      </c>
      <c r="B41" s="94" t="s">
        <v>1070</v>
      </c>
      <c r="C41" s="94" t="s">
        <v>1068</v>
      </c>
      <c r="D41" s="94" t="s">
        <v>1067</v>
      </c>
      <c r="E41" s="471">
        <f>F41+I41</f>
        <v>8212363</v>
      </c>
      <c r="F41" s="504">
        <f>(7477363+620000)+115000</f>
        <v>8212363</v>
      </c>
      <c r="G41" s="504"/>
      <c r="H41" s="504"/>
      <c r="I41" s="504"/>
      <c r="J41" s="501">
        <f>L41+O41</f>
        <v>0</v>
      </c>
      <c r="K41" s="504"/>
      <c r="L41" s="504"/>
      <c r="M41" s="504"/>
      <c r="N41" s="504"/>
      <c r="O41" s="502">
        <f>K41</f>
        <v>0</v>
      </c>
      <c r="P41" s="501">
        <f>E41+J41</f>
        <v>8212363</v>
      </c>
      <c r="Q41" s="34"/>
      <c r="R41" s="34"/>
    </row>
    <row r="42" spans="1:18" s="31" customFormat="1" ht="116.25" customHeight="1" thickTop="1" thickBot="1" x14ac:dyDescent="0.25">
      <c r="A42" s="496" t="s">
        <v>666</v>
      </c>
      <c r="B42" s="496" t="s">
        <v>667</v>
      </c>
      <c r="C42" s="496"/>
      <c r="D42" s="496" t="s">
        <v>1569</v>
      </c>
      <c r="E42" s="495">
        <f>SUM(E43)</f>
        <v>12268778</v>
      </c>
      <c r="F42" s="495">
        <f t="shared" ref="F42:P42" si="18">SUM(F43)</f>
        <v>12268778</v>
      </c>
      <c r="G42" s="495">
        <f t="shared" si="18"/>
        <v>0</v>
      </c>
      <c r="H42" s="495">
        <f t="shared" si="18"/>
        <v>0</v>
      </c>
      <c r="I42" s="495">
        <f t="shared" si="18"/>
        <v>0</v>
      </c>
      <c r="J42" s="495">
        <f t="shared" si="18"/>
        <v>0</v>
      </c>
      <c r="K42" s="495">
        <f t="shared" si="18"/>
        <v>0</v>
      </c>
      <c r="L42" s="495">
        <f t="shared" si="18"/>
        <v>0</v>
      </c>
      <c r="M42" s="495">
        <f t="shared" si="18"/>
        <v>0</v>
      </c>
      <c r="N42" s="495">
        <f t="shared" si="18"/>
        <v>0</v>
      </c>
      <c r="O42" s="495">
        <f t="shared" si="18"/>
        <v>0</v>
      </c>
      <c r="P42" s="495">
        <f t="shared" si="18"/>
        <v>12268778</v>
      </c>
      <c r="Q42" s="34"/>
    </row>
    <row r="43" spans="1:18" ht="123" customHeight="1" thickTop="1" thickBot="1" x14ac:dyDescent="0.25">
      <c r="A43" s="469" t="s">
        <v>236</v>
      </c>
      <c r="B43" s="469" t="s">
        <v>237</v>
      </c>
      <c r="C43" s="469" t="s">
        <v>238</v>
      </c>
      <c r="D43" s="469" t="s">
        <v>1365</v>
      </c>
      <c r="E43" s="471">
        <f>F43+I43</f>
        <v>12268778</v>
      </c>
      <c r="F43" s="487">
        <v>12268778</v>
      </c>
      <c r="G43" s="487"/>
      <c r="H43" s="487"/>
      <c r="I43" s="487"/>
      <c r="J43" s="485">
        <f>L43+O43</f>
        <v>0</v>
      </c>
      <c r="K43" s="487"/>
      <c r="L43" s="487"/>
      <c r="M43" s="487"/>
      <c r="N43" s="487"/>
      <c r="O43" s="488">
        <f>K43</f>
        <v>0</v>
      </c>
      <c r="P43" s="485">
        <f>E43+J43</f>
        <v>12268778</v>
      </c>
      <c r="Q43" s="18"/>
    </row>
    <row r="44" spans="1:18" ht="119.25" customHeight="1" thickTop="1" thickBot="1" x14ac:dyDescent="0.25">
      <c r="A44" s="239" t="s">
        <v>668</v>
      </c>
      <c r="B44" s="239" t="s">
        <v>669</v>
      </c>
      <c r="C44" s="239"/>
      <c r="D44" s="239" t="s">
        <v>670</v>
      </c>
      <c r="E44" s="501">
        <f>E45+E48</f>
        <v>183161244.48000002</v>
      </c>
      <c r="F44" s="501">
        <f t="shared" ref="F44:P44" si="19">F45+F48</f>
        <v>60808085.359999999</v>
      </c>
      <c r="G44" s="501">
        <f t="shared" si="19"/>
        <v>0</v>
      </c>
      <c r="H44" s="501">
        <f t="shared" si="19"/>
        <v>0</v>
      </c>
      <c r="I44" s="501">
        <f t="shared" si="19"/>
        <v>122353159.12</v>
      </c>
      <c r="J44" s="501">
        <f t="shared" si="19"/>
        <v>0</v>
      </c>
      <c r="K44" s="501">
        <f t="shared" si="19"/>
        <v>0</v>
      </c>
      <c r="L44" s="501">
        <f t="shared" si="19"/>
        <v>0</v>
      </c>
      <c r="M44" s="501">
        <f t="shared" si="19"/>
        <v>0</v>
      </c>
      <c r="N44" s="501">
        <f t="shared" si="19"/>
        <v>0</v>
      </c>
      <c r="O44" s="501">
        <f t="shared" si="19"/>
        <v>0</v>
      </c>
      <c r="P44" s="501">
        <f t="shared" si="19"/>
        <v>183161244.48000002</v>
      </c>
      <c r="Q44" s="18"/>
    </row>
    <row r="45" spans="1:18" s="31" customFormat="1" ht="163.5" customHeight="1" thickTop="1" thickBot="1" x14ac:dyDescent="0.25">
      <c r="A45" s="508" t="s">
        <v>671</v>
      </c>
      <c r="B45" s="508" t="s">
        <v>672</v>
      </c>
      <c r="C45" s="508"/>
      <c r="D45" s="508" t="s">
        <v>673</v>
      </c>
      <c r="E45" s="524">
        <f>SUM(E46:E47)</f>
        <v>8159800</v>
      </c>
      <c r="F45" s="524">
        <f t="shared" ref="F45:P45" si="20">SUM(F46:F47)</f>
        <v>8159800</v>
      </c>
      <c r="G45" s="524">
        <f t="shared" si="20"/>
        <v>0</v>
      </c>
      <c r="H45" s="524">
        <f t="shared" si="20"/>
        <v>0</v>
      </c>
      <c r="I45" s="524">
        <f t="shared" si="20"/>
        <v>0</v>
      </c>
      <c r="J45" s="524">
        <f t="shared" si="20"/>
        <v>0</v>
      </c>
      <c r="K45" s="524">
        <f t="shared" si="20"/>
        <v>0</v>
      </c>
      <c r="L45" s="524">
        <f t="shared" si="20"/>
        <v>0</v>
      </c>
      <c r="M45" s="524">
        <f t="shared" si="20"/>
        <v>0</v>
      </c>
      <c r="N45" s="524">
        <f t="shared" si="20"/>
        <v>0</v>
      </c>
      <c r="O45" s="524">
        <f t="shared" si="20"/>
        <v>0</v>
      </c>
      <c r="P45" s="524">
        <f t="shared" si="20"/>
        <v>8159800</v>
      </c>
      <c r="Q45" s="34"/>
      <c r="R45" s="34"/>
    </row>
    <row r="46" spans="1:18" ht="213.75" customHeight="1" thickTop="1" thickBot="1" x14ac:dyDescent="0.25">
      <c r="A46" s="94" t="s">
        <v>239</v>
      </c>
      <c r="B46" s="94" t="s">
        <v>240</v>
      </c>
      <c r="C46" s="94" t="s">
        <v>42</v>
      </c>
      <c r="D46" s="94" t="s">
        <v>432</v>
      </c>
      <c r="E46" s="471">
        <f>F46+I46</f>
        <v>1159800</v>
      </c>
      <c r="F46" s="504">
        <v>1159800</v>
      </c>
      <c r="G46" s="125"/>
      <c r="H46" s="125"/>
      <c r="I46" s="125"/>
      <c r="J46" s="501">
        <f>L46+O46</f>
        <v>0</v>
      </c>
      <c r="K46" s="504"/>
      <c r="L46" s="504"/>
      <c r="M46" s="504"/>
      <c r="N46" s="504"/>
      <c r="O46" s="502">
        <f>K46</f>
        <v>0</v>
      </c>
      <c r="P46" s="501">
        <f>E46+J46</f>
        <v>1159800</v>
      </c>
      <c r="Q46" s="18"/>
    </row>
    <row r="47" spans="1:18" ht="171.75" customHeight="1" thickTop="1" thickBot="1" x14ac:dyDescent="0.25">
      <c r="A47" s="94" t="s">
        <v>551</v>
      </c>
      <c r="B47" s="94" t="s">
        <v>353</v>
      </c>
      <c r="C47" s="94" t="s">
        <v>42</v>
      </c>
      <c r="D47" s="94" t="s">
        <v>354</v>
      </c>
      <c r="E47" s="521">
        <f>F47+I47</f>
        <v>7000000</v>
      </c>
      <c r="F47" s="504">
        <v>7000000</v>
      </c>
      <c r="G47" s="504"/>
      <c r="H47" s="504"/>
      <c r="I47" s="504"/>
      <c r="J47" s="501">
        <f>L47+O47</f>
        <v>0</v>
      </c>
      <c r="K47" s="504">
        <f>(1000000)-1000000</f>
        <v>0</v>
      </c>
      <c r="L47" s="504"/>
      <c r="M47" s="504"/>
      <c r="N47" s="504"/>
      <c r="O47" s="502">
        <f>K47</f>
        <v>0</v>
      </c>
      <c r="P47" s="501">
        <f>E47+J47</f>
        <v>7000000</v>
      </c>
      <c r="Q47" s="18"/>
    </row>
    <row r="48" spans="1:18" ht="161.25" customHeight="1" thickTop="1" thickBot="1" x14ac:dyDescent="0.25">
      <c r="A48" s="94" t="s">
        <v>496</v>
      </c>
      <c r="B48" s="94" t="s">
        <v>497</v>
      </c>
      <c r="C48" s="94" t="s">
        <v>42</v>
      </c>
      <c r="D48" s="94" t="s">
        <v>498</v>
      </c>
      <c r="E48" s="471">
        <f>F48+I48</f>
        <v>175001444.48000002</v>
      </c>
      <c r="F48" s="504">
        <f>(23947078.28+39338916-108000)-11529708.92+1000000</f>
        <v>52648285.359999999</v>
      </c>
      <c r="G48" s="504"/>
      <c r="H48" s="504"/>
      <c r="I48" s="504">
        <f>(59714005.72+108000)+62105153.4+126000+1900000-1600000</f>
        <v>122353159.12</v>
      </c>
      <c r="J48" s="501">
        <f>L48+O48</f>
        <v>0</v>
      </c>
      <c r="K48" s="504"/>
      <c r="L48" s="504"/>
      <c r="M48" s="504"/>
      <c r="N48" s="504"/>
      <c r="O48" s="502">
        <f>K48</f>
        <v>0</v>
      </c>
      <c r="P48" s="501">
        <f>E48+J48</f>
        <v>175001444.48000002</v>
      </c>
      <c r="Q48" s="18"/>
      <c r="R48" s="24"/>
    </row>
    <row r="49" spans="1:20" ht="165.75" customHeight="1" thickTop="1" thickBot="1" x14ac:dyDescent="0.25">
      <c r="A49" s="514" t="s">
        <v>147</v>
      </c>
      <c r="B49" s="514"/>
      <c r="C49" s="514"/>
      <c r="D49" s="515" t="s">
        <v>0</v>
      </c>
      <c r="E49" s="516">
        <f>E50</f>
        <v>2658860322.8799996</v>
      </c>
      <c r="F49" s="517">
        <f t="shared" ref="F49" si="21">F50</f>
        <v>2644564403.8099999</v>
      </c>
      <c r="G49" s="517">
        <f>G50</f>
        <v>1755160277</v>
      </c>
      <c r="H49" s="517">
        <f>H50</f>
        <v>206052876.80000001</v>
      </c>
      <c r="I49" s="517">
        <f t="shared" ref="I49" si="22">I50</f>
        <v>14295919.07</v>
      </c>
      <c r="J49" s="516">
        <f>J50</f>
        <v>277108980</v>
      </c>
      <c r="K49" s="517">
        <f>K50</f>
        <v>19516760</v>
      </c>
      <c r="L49" s="517">
        <f>L50</f>
        <v>251797570</v>
      </c>
      <c r="M49" s="517">
        <f t="shared" ref="M49" si="23">M50</f>
        <v>80103220</v>
      </c>
      <c r="N49" s="517">
        <f>N50</f>
        <v>20220010</v>
      </c>
      <c r="O49" s="516">
        <f>O50</f>
        <v>25311410</v>
      </c>
      <c r="P49" s="517">
        <f t="shared" ref="P49" si="24">P50</f>
        <v>2935969302.8799996</v>
      </c>
      <c r="Q49" s="517">
        <f>O50-K50</f>
        <v>5794650</v>
      </c>
    </row>
    <row r="50" spans="1:20" ht="159.75" customHeight="1" thickTop="1" thickBot="1" x14ac:dyDescent="0.25">
      <c r="A50" s="511" t="s">
        <v>148</v>
      </c>
      <c r="B50" s="511"/>
      <c r="C50" s="511"/>
      <c r="D50" s="512" t="s">
        <v>1</v>
      </c>
      <c r="E50" s="513">
        <f>E51+E100+E114+E104+E109</f>
        <v>2658860322.8799996</v>
      </c>
      <c r="F50" s="513">
        <f>F51+F100+F114+F104+F109</f>
        <v>2644564403.8099999</v>
      </c>
      <c r="G50" s="513">
        <f>G51+G100+G114+G104+G109</f>
        <v>1755160277</v>
      </c>
      <c r="H50" s="513">
        <f>H51+H100+H114+H104+H109</f>
        <v>206052876.80000001</v>
      </c>
      <c r="I50" s="513">
        <f>I51+I100+I114+I104+I109</f>
        <v>14295919.07</v>
      </c>
      <c r="J50" s="513">
        <f>L50+O50</f>
        <v>277108980</v>
      </c>
      <c r="K50" s="513">
        <f>K51+K100+K114+K104+K109</f>
        <v>19516760</v>
      </c>
      <c r="L50" s="513">
        <f>L51+L100+L114+L104+L109</f>
        <v>251797570</v>
      </c>
      <c r="M50" s="513">
        <f>M51+M100+M114+M104+M109</f>
        <v>80103220</v>
      </c>
      <c r="N50" s="513">
        <f>N51+N100+N114+N104+N109</f>
        <v>20220010</v>
      </c>
      <c r="O50" s="513">
        <f>O51+O100+O114+O104+O109</f>
        <v>25311410</v>
      </c>
      <c r="P50" s="513">
        <f>E50+J50</f>
        <v>2935969302.8799996</v>
      </c>
      <c r="Q50" s="597" t="b">
        <f>P50=P52+P54+P55+P56+P62+P64+P67+P68+P70+P72+P95+P101+P103+P108+P58+P59+P65+P71+P76+P77+P78+P99+P98+P89</f>
        <v>1</v>
      </c>
      <c r="R50" s="24"/>
    </row>
    <row r="51" spans="1:20" ht="105.75" customHeight="1" thickTop="1" thickBot="1" x14ac:dyDescent="0.25">
      <c r="A51" s="239" t="s">
        <v>674</v>
      </c>
      <c r="B51" s="239" t="s">
        <v>675</v>
      </c>
      <c r="C51" s="239"/>
      <c r="D51" s="239" t="s">
        <v>676</v>
      </c>
      <c r="E51" s="501">
        <f t="shared" ref="E51:P51" si="25">E52+E53+E57+E62+E63+E66+E69+E72+E73+E78+E60+E79+E80+E83+E86+E92+E96+E95+E98+E99</f>
        <v>2653195322.8799996</v>
      </c>
      <c r="F51" s="501">
        <f t="shared" si="25"/>
        <v>2643849403.8099999</v>
      </c>
      <c r="G51" s="501">
        <f t="shared" si="25"/>
        <v>1755160277</v>
      </c>
      <c r="H51" s="501">
        <f t="shared" si="25"/>
        <v>206052876.80000001</v>
      </c>
      <c r="I51" s="501">
        <f t="shared" si="25"/>
        <v>9345919.0700000003</v>
      </c>
      <c r="J51" s="501">
        <f t="shared" si="25"/>
        <v>277108980</v>
      </c>
      <c r="K51" s="501">
        <f t="shared" si="25"/>
        <v>19516760</v>
      </c>
      <c r="L51" s="501">
        <f t="shared" si="25"/>
        <v>251797570</v>
      </c>
      <c r="M51" s="501">
        <f t="shared" si="25"/>
        <v>80103220</v>
      </c>
      <c r="N51" s="501">
        <f t="shared" si="25"/>
        <v>20220010</v>
      </c>
      <c r="O51" s="501">
        <f t="shared" si="25"/>
        <v>25311410</v>
      </c>
      <c r="P51" s="501">
        <f t="shared" si="25"/>
        <v>2930304302.8799996</v>
      </c>
      <c r="Q51" s="28"/>
      <c r="R51" s="24"/>
    </row>
    <row r="52" spans="1:20" ht="90.75" customHeight="1" thickTop="1" thickBot="1" x14ac:dyDescent="0.6">
      <c r="A52" s="94" t="s">
        <v>193</v>
      </c>
      <c r="B52" s="94" t="s">
        <v>194</v>
      </c>
      <c r="C52" s="94" t="s">
        <v>196</v>
      </c>
      <c r="D52" s="94" t="s">
        <v>197</v>
      </c>
      <c r="E52" s="471">
        <f>F52+I52</f>
        <v>841277975.54999995</v>
      </c>
      <c r="F52" s="504">
        <f>(610226465+6909960+104820+69187285+6091282+37526812+2937831+29629730+1448941+986605.04+1643561+158180+650+99930+184825+32040+104500)+71672400+174107+500000+52700+50000+22000+155321+306990+8354+41969+39515.51+110000+162000</f>
        <v>840568773.54999995</v>
      </c>
      <c r="G52" s="504">
        <f>(500185627)+58750000</f>
        <v>558935627</v>
      </c>
      <c r="H52" s="504">
        <f>37526812+2937831+29629730+1448941+986605.04+1643561</f>
        <v>74173480.040000007</v>
      </c>
      <c r="I52" s="504">
        <f>(500000)+31302+27900+150000</f>
        <v>709202</v>
      </c>
      <c r="J52" s="501">
        <f t="shared" ref="J52:J79" si="26">L52+O52</f>
        <v>115891490</v>
      </c>
      <c r="K52" s="125"/>
      <c r="L52" s="504">
        <f>(112473500)+870300+171080+176560+77790+85610+14640+16940</f>
        <v>113886420</v>
      </c>
      <c r="M52" s="504">
        <f>(26498520)+870300</f>
        <v>27368820</v>
      </c>
      <c r="N52" s="504">
        <f>(4269610)+85610+14640+16940</f>
        <v>4386800</v>
      </c>
      <c r="O52" s="502">
        <f>(K52+1930070)+75000</f>
        <v>2005070</v>
      </c>
      <c r="P52" s="501">
        <f t="shared" ref="P52:P65" si="27">E52+J52</f>
        <v>957169465.54999995</v>
      </c>
      <c r="Q52" s="134"/>
      <c r="R52" s="24"/>
    </row>
    <row r="53" spans="1:20" ht="93.75" customHeight="1" thickTop="1" thickBot="1" x14ac:dyDescent="0.6">
      <c r="A53" s="518" t="s">
        <v>198</v>
      </c>
      <c r="B53" s="518" t="s">
        <v>195</v>
      </c>
      <c r="C53" s="518"/>
      <c r="D53" s="518" t="s">
        <v>615</v>
      </c>
      <c r="E53" s="519">
        <f>E54+E55+E56</f>
        <v>636578548.6099999</v>
      </c>
      <c r="F53" s="519">
        <f>F54+F55+F56</f>
        <v>628838967.69999993</v>
      </c>
      <c r="G53" s="519">
        <f t="shared" ref="G53:O53" si="28">G54+G55+G56</f>
        <v>346572442</v>
      </c>
      <c r="H53" s="519">
        <f t="shared" si="28"/>
        <v>102568086.8</v>
      </c>
      <c r="I53" s="519">
        <f t="shared" si="28"/>
        <v>7739580.9100000001</v>
      </c>
      <c r="J53" s="519">
        <f t="shared" si="28"/>
        <v>110684930</v>
      </c>
      <c r="K53" s="519">
        <f t="shared" si="28"/>
        <v>0</v>
      </c>
      <c r="L53" s="519">
        <f t="shared" si="28"/>
        <v>108069050</v>
      </c>
      <c r="M53" s="519">
        <f t="shared" si="28"/>
        <v>44372460</v>
      </c>
      <c r="N53" s="519">
        <f t="shared" si="28"/>
        <v>5337400</v>
      </c>
      <c r="O53" s="519">
        <f t="shared" si="28"/>
        <v>2615880</v>
      </c>
      <c r="P53" s="519">
        <f>E53+J53</f>
        <v>747263478.6099999</v>
      </c>
      <c r="Q53" s="134"/>
      <c r="R53" s="35"/>
    </row>
    <row r="54" spans="1:20" ht="155.25" customHeight="1" thickTop="1" thickBot="1" x14ac:dyDescent="0.6">
      <c r="A54" s="94" t="s">
        <v>613</v>
      </c>
      <c r="B54" s="94" t="s">
        <v>614</v>
      </c>
      <c r="C54" s="94" t="s">
        <v>199</v>
      </c>
      <c r="D54" s="94" t="s">
        <v>1137</v>
      </c>
      <c r="E54" s="471">
        <f>F54+I54</f>
        <v>572282447.81999993</v>
      </c>
      <c r="F54" s="504">
        <f>(361766525+17535780+1200000+600000+300000+225592+57957200+8669689+588000+52322520+2686149+33035285+4967507+3161798.72+323420+31840+1061020+1540+1098000+337242+688628.67+100000+99000)+12440500-90950+90950-493680+522307+500000+499750+500000+220000+27203+9000+60000+633057.47+183896.1+199846+195974.15+47026.8+101750+162000</f>
        <v>564565366.90999997</v>
      </c>
      <c r="G54" s="504">
        <f>(296529770)+10203250</f>
        <v>306733020</v>
      </c>
      <c r="H54" s="504">
        <f>52322520+2686149+33035285+4967507+3161798.72</f>
        <v>96173259.719999999</v>
      </c>
      <c r="I54" s="504">
        <f>(1200000+300000+500000+240000+952641.5+857000+997500+500000+500000+500000)+300000-500000+50000+32580+42000+99000+1146359.41</f>
        <v>7717080.9100000001</v>
      </c>
      <c r="J54" s="501">
        <f t="shared" si="26"/>
        <v>110512230</v>
      </c>
      <c r="K54" s="125"/>
      <c r="L54" s="504">
        <f>(104126550)+2874480+626090+45640+5000+40150+30540+116780+4500+26620</f>
        <v>107896350</v>
      </c>
      <c r="M54" s="504">
        <f>(41497980)+2874480</f>
        <v>44372460</v>
      </c>
      <c r="N54" s="504">
        <f>(5064830)+40150+30540+116780+4500</f>
        <v>5256800</v>
      </c>
      <c r="O54" s="502">
        <f>(K54+2533580)+82300</f>
        <v>2615880</v>
      </c>
      <c r="P54" s="501">
        <f t="shared" si="27"/>
        <v>682794677.81999993</v>
      </c>
      <c r="Q54" s="134"/>
      <c r="R54" s="24"/>
      <c r="T54" s="36"/>
    </row>
    <row r="55" spans="1:20" ht="252.75" customHeight="1" thickTop="1" thickBot="1" x14ac:dyDescent="0.25">
      <c r="A55" s="94" t="s">
        <v>621</v>
      </c>
      <c r="B55" s="94" t="s">
        <v>622</v>
      </c>
      <c r="C55" s="94" t="s">
        <v>202</v>
      </c>
      <c r="D55" s="94" t="s">
        <v>1369</v>
      </c>
      <c r="E55" s="471">
        <f>F55+I55</f>
        <v>40137371.359999999</v>
      </c>
      <c r="F55" s="504">
        <f>(29763768+391568+10300+2239400+338118+1661682+34167+406440+7254.12+14690+26992+46892.24+11000)+5100000+62850+2750+4500</f>
        <v>40122371.359999999</v>
      </c>
      <c r="G55" s="504">
        <f>(24396531)+4180000</f>
        <v>28576531</v>
      </c>
      <c r="H55" s="504">
        <f>1661682+34167+406440+7254.12</f>
        <v>2109543.12</v>
      </c>
      <c r="I55" s="504">
        <f>15000</f>
        <v>15000</v>
      </c>
      <c r="J55" s="501">
        <f t="shared" si="26"/>
        <v>172700</v>
      </c>
      <c r="K55" s="125"/>
      <c r="L55" s="504">
        <v>172700</v>
      </c>
      <c r="M55" s="504"/>
      <c r="N55" s="504">
        <v>80600</v>
      </c>
      <c r="O55" s="502">
        <f>K55+0</f>
        <v>0</v>
      </c>
      <c r="P55" s="501">
        <f t="shared" si="27"/>
        <v>40310071.359999999</v>
      </c>
      <c r="Q55" s="18"/>
      <c r="R55" s="25"/>
    </row>
    <row r="56" spans="1:20" ht="93" thickTop="1" thickBot="1" x14ac:dyDescent="0.25">
      <c r="A56" s="94" t="s">
        <v>932</v>
      </c>
      <c r="B56" s="94" t="s">
        <v>933</v>
      </c>
      <c r="C56" s="94" t="s">
        <v>202</v>
      </c>
      <c r="D56" s="94" t="s">
        <v>1578</v>
      </c>
      <c r="E56" s="471">
        <f>F56+I56</f>
        <v>24158729.43</v>
      </c>
      <c r="F56" s="504">
        <f>13740729+528134+15150+4100000+243108+301480+2673411+171490+1428880+11502.96+6230+2960+89369.47+500000+300000+5500+26035+2750+4500</f>
        <v>24151229.43</v>
      </c>
      <c r="G56" s="504">
        <f>11262891</f>
        <v>11262891</v>
      </c>
      <c r="H56" s="504">
        <f>2673411+171490+1428880+11502.96</f>
        <v>4285283.96</v>
      </c>
      <c r="I56" s="504">
        <f>7500</f>
        <v>7500</v>
      </c>
      <c r="J56" s="501">
        <f t="shared" si="26"/>
        <v>0</v>
      </c>
      <c r="K56" s="125"/>
      <c r="L56" s="125"/>
      <c r="M56" s="125"/>
      <c r="N56" s="125"/>
      <c r="O56" s="502">
        <f>K56</f>
        <v>0</v>
      </c>
      <c r="P56" s="501">
        <f t="shared" si="27"/>
        <v>24158729.43</v>
      </c>
      <c r="Q56" s="18"/>
      <c r="R56" s="25"/>
    </row>
    <row r="57" spans="1:20" ht="113.25" customHeight="1" thickTop="1" thickBot="1" x14ac:dyDescent="0.25">
      <c r="A57" s="518" t="s">
        <v>482</v>
      </c>
      <c r="B57" s="518" t="s">
        <v>200</v>
      </c>
      <c r="C57" s="518"/>
      <c r="D57" s="518" t="s">
        <v>627</v>
      </c>
      <c r="E57" s="519">
        <f>SUM(E58:E59)</f>
        <v>712102968</v>
      </c>
      <c r="F57" s="519">
        <f>SUM(F58:F59)</f>
        <v>712102968</v>
      </c>
      <c r="G57" s="519">
        <f>SUM(G58:G59)</f>
        <v>583772289</v>
      </c>
      <c r="H57" s="519">
        <f>SUM(H58:H59)</f>
        <v>0</v>
      </c>
      <c r="I57" s="519">
        <f>SUM(I58:I59)</f>
        <v>0</v>
      </c>
      <c r="J57" s="519">
        <f t="shared" ref="J57:P57" si="29">SUM(J58:J59)</f>
        <v>0</v>
      </c>
      <c r="K57" s="519">
        <f t="shared" si="29"/>
        <v>0</v>
      </c>
      <c r="L57" s="519">
        <f t="shared" si="29"/>
        <v>0</v>
      </c>
      <c r="M57" s="519">
        <f t="shared" si="29"/>
        <v>0</v>
      </c>
      <c r="N57" s="519">
        <f t="shared" si="29"/>
        <v>0</v>
      </c>
      <c r="O57" s="519">
        <f t="shared" si="29"/>
        <v>0</v>
      </c>
      <c r="P57" s="519">
        <f t="shared" si="29"/>
        <v>712102968</v>
      </c>
      <c r="Q57" s="18"/>
      <c r="R57" s="35"/>
    </row>
    <row r="58" spans="1:20" ht="138.75" customHeight="1" thickTop="1" thickBot="1" x14ac:dyDescent="0.25">
      <c r="A58" s="94" t="s">
        <v>628</v>
      </c>
      <c r="B58" s="94" t="s">
        <v>629</v>
      </c>
      <c r="C58" s="94" t="s">
        <v>199</v>
      </c>
      <c r="D58" s="94" t="s">
        <v>1138</v>
      </c>
      <c r="E58" s="471">
        <f t="shared" ref="E58:E59" si="30">F58+I58</f>
        <v>701826084</v>
      </c>
      <c r="F58" s="504">
        <v>701826084</v>
      </c>
      <c r="G58" s="504">
        <v>575278998</v>
      </c>
      <c r="H58" s="504"/>
      <c r="I58" s="504"/>
      <c r="J58" s="501">
        <f t="shared" ref="J58:J59" si="31">L58+O58</f>
        <v>0</v>
      </c>
      <c r="K58" s="504"/>
      <c r="L58" s="504"/>
      <c r="M58" s="504"/>
      <c r="N58" s="504"/>
      <c r="O58" s="502">
        <f>K58</f>
        <v>0</v>
      </c>
      <c r="P58" s="501">
        <f t="shared" ref="P58:P61" si="32">E58+J58</f>
        <v>701826084</v>
      </c>
      <c r="Q58" s="18"/>
      <c r="R58" s="24"/>
    </row>
    <row r="59" spans="1:20" ht="135.75" customHeight="1" thickTop="1" thickBot="1" x14ac:dyDescent="0.25">
      <c r="A59" s="94" t="s">
        <v>1031</v>
      </c>
      <c r="B59" s="689" t="s">
        <v>1032</v>
      </c>
      <c r="C59" s="94" t="s">
        <v>202</v>
      </c>
      <c r="D59" s="94" t="s">
        <v>1139</v>
      </c>
      <c r="E59" s="521">
        <f t="shared" si="30"/>
        <v>10276884</v>
      </c>
      <c r="F59" s="688">
        <v>10276884</v>
      </c>
      <c r="G59" s="688">
        <v>8493291</v>
      </c>
      <c r="H59" s="688"/>
      <c r="I59" s="688"/>
      <c r="J59" s="501">
        <f t="shared" si="31"/>
        <v>0</v>
      </c>
      <c r="K59" s="688"/>
      <c r="L59" s="688"/>
      <c r="M59" s="688"/>
      <c r="N59" s="688"/>
      <c r="O59" s="583"/>
      <c r="P59" s="501">
        <f t="shared" si="32"/>
        <v>10276884</v>
      </c>
      <c r="Q59" s="18"/>
      <c r="R59" s="24"/>
    </row>
    <row r="60" spans="1:20" ht="184.5" hidden="1" thickTop="1" thickBot="1" x14ac:dyDescent="0.25">
      <c r="A60" s="320" t="s">
        <v>881</v>
      </c>
      <c r="B60" s="320" t="s">
        <v>48</v>
      </c>
      <c r="C60" s="320"/>
      <c r="D60" s="347" t="s">
        <v>1370</v>
      </c>
      <c r="E60" s="321">
        <f t="shared" ref="E60:O60" si="33">E61</f>
        <v>0</v>
      </c>
      <c r="F60" s="321">
        <f>F61</f>
        <v>0</v>
      </c>
      <c r="G60" s="321">
        <f t="shared" si="33"/>
        <v>0</v>
      </c>
      <c r="H60" s="321">
        <f t="shared" si="33"/>
        <v>0</v>
      </c>
      <c r="I60" s="321">
        <f t="shared" si="33"/>
        <v>0</v>
      </c>
      <c r="J60" s="321">
        <f t="shared" si="33"/>
        <v>0</v>
      </c>
      <c r="K60" s="321">
        <f t="shared" si="33"/>
        <v>0</v>
      </c>
      <c r="L60" s="321">
        <f t="shared" si="33"/>
        <v>0</v>
      </c>
      <c r="M60" s="321">
        <f t="shared" si="33"/>
        <v>0</v>
      </c>
      <c r="N60" s="321">
        <f t="shared" si="33"/>
        <v>0</v>
      </c>
      <c r="O60" s="321">
        <f t="shared" si="33"/>
        <v>0</v>
      </c>
      <c r="P60" s="321">
        <f>E60+J60</f>
        <v>0</v>
      </c>
      <c r="Q60" s="18"/>
      <c r="R60" s="28"/>
    </row>
    <row r="61" spans="1:20" ht="230.25" hidden="1" thickTop="1" thickBot="1" x14ac:dyDescent="0.25">
      <c r="A61" s="119" t="s">
        <v>882</v>
      </c>
      <c r="B61" s="119" t="s">
        <v>883</v>
      </c>
      <c r="C61" s="119" t="s">
        <v>199</v>
      </c>
      <c r="D61" s="119" t="s">
        <v>1371</v>
      </c>
      <c r="E61" s="118">
        <f t="shared" ref="E61" si="34">F61</f>
        <v>0</v>
      </c>
      <c r="F61" s="125"/>
      <c r="G61" s="125"/>
      <c r="H61" s="125"/>
      <c r="I61" s="125"/>
      <c r="J61" s="118">
        <f t="shared" ref="J61" si="35">L61+O61</f>
        <v>0</v>
      </c>
      <c r="K61" s="125"/>
      <c r="L61" s="125"/>
      <c r="M61" s="125"/>
      <c r="N61" s="125"/>
      <c r="O61" s="123">
        <f>K61</f>
        <v>0</v>
      </c>
      <c r="P61" s="118">
        <f t="shared" si="32"/>
        <v>0</v>
      </c>
      <c r="Q61" s="18"/>
      <c r="R61" s="24"/>
    </row>
    <row r="62" spans="1:20" ht="122.25" customHeight="1" thickTop="1" thickBot="1" x14ac:dyDescent="0.25">
      <c r="A62" s="94" t="s">
        <v>630</v>
      </c>
      <c r="B62" s="94" t="s">
        <v>201</v>
      </c>
      <c r="C62" s="94" t="s">
        <v>176</v>
      </c>
      <c r="D62" s="94" t="s">
        <v>483</v>
      </c>
      <c r="E62" s="471">
        <f>F62+I62</f>
        <v>47585548.960000001</v>
      </c>
      <c r="F62" s="504">
        <f>(37971643+733006+19100+919917+192590+2199284+93029+1142570+85055+14974.96+11040+137620+70)+4051800+6600+2750+4500</f>
        <v>47585548.960000001</v>
      </c>
      <c r="G62" s="504">
        <f>(31124297)+3350000</f>
        <v>34474297</v>
      </c>
      <c r="H62" s="504">
        <f>2199284+93029+1142570+85055+14974.96</f>
        <v>3534912.96</v>
      </c>
      <c r="I62" s="125"/>
      <c r="J62" s="501">
        <f t="shared" si="26"/>
        <v>1708990</v>
      </c>
      <c r="K62" s="125"/>
      <c r="L62" s="504">
        <f>(1247710)+33800+7480</f>
        <v>1288990</v>
      </c>
      <c r="M62" s="504">
        <f>(94500)+33800</f>
        <v>128300</v>
      </c>
      <c r="N62" s="504">
        <v>273600</v>
      </c>
      <c r="O62" s="502">
        <f>(K62+420000)</f>
        <v>420000</v>
      </c>
      <c r="P62" s="501">
        <f t="shared" si="27"/>
        <v>49294538.960000001</v>
      </c>
      <c r="Q62" s="18"/>
      <c r="R62" s="24"/>
    </row>
    <row r="63" spans="1:20" ht="141.75" customHeight="1" thickTop="1" thickBot="1" x14ac:dyDescent="0.25">
      <c r="A63" s="518" t="s">
        <v>203</v>
      </c>
      <c r="B63" s="518" t="s">
        <v>186</v>
      </c>
      <c r="C63" s="518"/>
      <c r="D63" s="518" t="s">
        <v>1699</v>
      </c>
      <c r="E63" s="519">
        <f>E64+E65</f>
        <v>227577530.16</v>
      </c>
      <c r="F63" s="519">
        <f t="shared" ref="F63:O63" si="36">F64+F65</f>
        <v>227300394</v>
      </c>
      <c r="G63" s="519">
        <f t="shared" si="36"/>
        <v>134068959</v>
      </c>
      <c r="H63" s="519">
        <f t="shared" si="36"/>
        <v>23490500</v>
      </c>
      <c r="I63" s="519">
        <f t="shared" si="36"/>
        <v>277136.16000000003</v>
      </c>
      <c r="J63" s="519">
        <f t="shared" si="36"/>
        <v>28979330</v>
      </c>
      <c r="K63" s="519">
        <f t="shared" si="36"/>
        <v>0</v>
      </c>
      <c r="L63" s="519">
        <f t="shared" si="36"/>
        <v>28325630</v>
      </c>
      <c r="M63" s="519">
        <f t="shared" si="36"/>
        <v>8233640</v>
      </c>
      <c r="N63" s="519">
        <f t="shared" si="36"/>
        <v>10222210</v>
      </c>
      <c r="O63" s="519">
        <f t="shared" si="36"/>
        <v>653700</v>
      </c>
      <c r="P63" s="519">
        <f t="shared" si="27"/>
        <v>256556860.16</v>
      </c>
      <c r="Q63" s="18"/>
      <c r="R63" s="33"/>
    </row>
    <row r="64" spans="1:20" ht="184.5" customHeight="1" thickTop="1" thickBot="1" x14ac:dyDescent="0.25">
      <c r="A64" s="94" t="s">
        <v>631</v>
      </c>
      <c r="B64" s="94" t="s">
        <v>632</v>
      </c>
      <c r="C64" s="94" t="s">
        <v>204</v>
      </c>
      <c r="D64" s="94" t="s">
        <v>1700</v>
      </c>
      <c r="E64" s="471">
        <f>F64+I64</f>
        <v>201719198.16</v>
      </c>
      <c r="F64" s="504">
        <f>(127681654+676400+30250+4317330+857080+15520950+1166000+6600000+32150+171400+19800+33500000+1620648)+8974900+200000+30000+16500+27000</f>
        <v>201442062</v>
      </c>
      <c r="G64" s="504">
        <f>(105513635)+7360000</f>
        <v>112873635</v>
      </c>
      <c r="H64" s="504">
        <f>15520950+1166000+6600000+32150+171400</f>
        <v>23490500</v>
      </c>
      <c r="I64" s="504">
        <f>90000+187136.16</f>
        <v>277136.16000000003</v>
      </c>
      <c r="J64" s="501">
        <f>L64+O64</f>
        <v>28979330</v>
      </c>
      <c r="K64" s="125"/>
      <c r="L64" s="504">
        <f>(28199010)+103790+22830</f>
        <v>28325630</v>
      </c>
      <c r="M64" s="504">
        <f>(8129850)+103790</f>
        <v>8233640</v>
      </c>
      <c r="N64" s="504">
        <v>10222210</v>
      </c>
      <c r="O64" s="502">
        <f>K64+653700</f>
        <v>653700</v>
      </c>
      <c r="P64" s="501">
        <f t="shared" si="27"/>
        <v>230698528.16</v>
      </c>
      <c r="Q64" s="18"/>
      <c r="R64" s="24"/>
    </row>
    <row r="65" spans="1:18" ht="155.25" customHeight="1" thickTop="1" thickBot="1" x14ac:dyDescent="0.25">
      <c r="A65" s="94" t="s">
        <v>635</v>
      </c>
      <c r="B65" s="94" t="s">
        <v>634</v>
      </c>
      <c r="C65" s="94" t="s">
        <v>204</v>
      </c>
      <c r="D65" s="94" t="s">
        <v>1701</v>
      </c>
      <c r="E65" s="471">
        <f>F65+I65</f>
        <v>25858332</v>
      </c>
      <c r="F65" s="504">
        <v>25858332</v>
      </c>
      <c r="G65" s="504">
        <v>21195324</v>
      </c>
      <c r="H65" s="504"/>
      <c r="I65" s="504"/>
      <c r="J65" s="501">
        <f>L65+O65</f>
        <v>0</v>
      </c>
      <c r="K65" s="504"/>
      <c r="L65" s="504"/>
      <c r="M65" s="504"/>
      <c r="N65" s="504"/>
      <c r="O65" s="502"/>
      <c r="P65" s="501">
        <f t="shared" si="27"/>
        <v>25858332</v>
      </c>
      <c r="Q65" s="18"/>
      <c r="R65" s="28"/>
    </row>
    <row r="66" spans="1:18" ht="106.5" customHeight="1" thickTop="1" thickBot="1" x14ac:dyDescent="0.25">
      <c r="A66" s="518" t="s">
        <v>637</v>
      </c>
      <c r="B66" s="518" t="s">
        <v>636</v>
      </c>
      <c r="C66" s="518"/>
      <c r="D66" s="518" t="s">
        <v>638</v>
      </c>
      <c r="E66" s="519">
        <f>E67+E68</f>
        <v>34216421.600000001</v>
      </c>
      <c r="F66" s="519">
        <f t="shared" ref="F66:O66" si="37">F67+F68</f>
        <v>33596421.600000001</v>
      </c>
      <c r="G66" s="519">
        <f t="shared" si="37"/>
        <v>20789015</v>
      </c>
      <c r="H66" s="519">
        <f t="shared" si="37"/>
        <v>1821549</v>
      </c>
      <c r="I66" s="519">
        <f t="shared" si="37"/>
        <v>620000</v>
      </c>
      <c r="J66" s="519">
        <f t="shared" si="37"/>
        <v>327480</v>
      </c>
      <c r="K66" s="519">
        <f t="shared" si="37"/>
        <v>0</v>
      </c>
      <c r="L66" s="519">
        <f t="shared" si="37"/>
        <v>227480</v>
      </c>
      <c r="M66" s="519">
        <f t="shared" si="37"/>
        <v>0</v>
      </c>
      <c r="N66" s="519">
        <f t="shared" si="37"/>
        <v>0</v>
      </c>
      <c r="O66" s="519">
        <f t="shared" si="37"/>
        <v>100000</v>
      </c>
      <c r="P66" s="519">
        <f>E66+J66</f>
        <v>34543901.600000001</v>
      </c>
      <c r="Q66" s="18"/>
      <c r="R66" s="33"/>
    </row>
    <row r="67" spans="1:18" ht="106.5" customHeight="1" thickTop="1" thickBot="1" x14ac:dyDescent="0.25">
      <c r="A67" s="94" t="s">
        <v>639</v>
      </c>
      <c r="B67" s="94" t="s">
        <v>640</v>
      </c>
      <c r="C67" s="94" t="s">
        <v>205</v>
      </c>
      <c r="D67" s="94" t="s">
        <v>484</v>
      </c>
      <c r="E67" s="471">
        <f>F67+I67</f>
        <v>31079011.600000001</v>
      </c>
      <c r="F67" s="504">
        <f>(24177100+1235510+2250+2294000+1308293+26596+465523+21137+9760+50000)+1000000+416842.6+50000+22000</f>
        <v>31079011.600000001</v>
      </c>
      <c r="G67" s="504">
        <f>(19969015)+820000</f>
        <v>20789015</v>
      </c>
      <c r="H67" s="504">
        <f>1308293+26596+465523+21137</f>
        <v>1821549</v>
      </c>
      <c r="I67" s="125"/>
      <c r="J67" s="501">
        <f>L67+O67</f>
        <v>327480</v>
      </c>
      <c r="K67" s="125"/>
      <c r="L67" s="504">
        <v>227480</v>
      </c>
      <c r="M67" s="125"/>
      <c r="N67" s="125"/>
      <c r="O67" s="502">
        <f>K67+100000</f>
        <v>100000</v>
      </c>
      <c r="P67" s="501">
        <f>E67+J67</f>
        <v>31406491.600000001</v>
      </c>
      <c r="Q67" s="18"/>
      <c r="R67" s="28"/>
    </row>
    <row r="68" spans="1:18" ht="96.75" customHeight="1" thickTop="1" thickBot="1" x14ac:dyDescent="0.25">
      <c r="A68" s="94" t="s">
        <v>641</v>
      </c>
      <c r="B68" s="94" t="s">
        <v>642</v>
      </c>
      <c r="C68" s="94" t="s">
        <v>205</v>
      </c>
      <c r="D68" s="94" t="s">
        <v>328</v>
      </c>
      <c r="E68" s="471">
        <f>F68+I68</f>
        <v>3137410</v>
      </c>
      <c r="F68" s="504">
        <f>(559320+1870590)+87500</f>
        <v>2517410</v>
      </c>
      <c r="G68" s="125"/>
      <c r="H68" s="125"/>
      <c r="I68" s="504">
        <v>620000</v>
      </c>
      <c r="J68" s="501">
        <f>L68+O68</f>
        <v>0</v>
      </c>
      <c r="K68" s="504"/>
      <c r="L68" s="504"/>
      <c r="M68" s="504"/>
      <c r="N68" s="504"/>
      <c r="O68" s="502">
        <f>K68</f>
        <v>0</v>
      </c>
      <c r="P68" s="501">
        <f>E68+J68</f>
        <v>3137410</v>
      </c>
      <c r="Q68" s="18"/>
      <c r="R68" s="28"/>
    </row>
    <row r="69" spans="1:18" ht="96.75" customHeight="1" thickTop="1" thickBot="1" x14ac:dyDescent="0.25">
      <c r="A69" s="518" t="s">
        <v>643</v>
      </c>
      <c r="B69" s="518" t="s">
        <v>644</v>
      </c>
      <c r="C69" s="518"/>
      <c r="D69" s="518" t="s">
        <v>418</v>
      </c>
      <c r="E69" s="519">
        <f>E70+E71</f>
        <v>5628910</v>
      </c>
      <c r="F69" s="519">
        <f>F70+F71</f>
        <v>5628910</v>
      </c>
      <c r="G69" s="519">
        <f t="shared" ref="G69:O69" si="38">G70+G71</f>
        <v>3728200</v>
      </c>
      <c r="H69" s="519">
        <f t="shared" si="38"/>
        <v>375201</v>
      </c>
      <c r="I69" s="519">
        <f t="shared" si="38"/>
        <v>0</v>
      </c>
      <c r="J69" s="519">
        <f t="shared" si="38"/>
        <v>0</v>
      </c>
      <c r="K69" s="519">
        <f t="shared" si="38"/>
        <v>0</v>
      </c>
      <c r="L69" s="519">
        <f t="shared" si="38"/>
        <v>0</v>
      </c>
      <c r="M69" s="519">
        <f t="shared" si="38"/>
        <v>0</v>
      </c>
      <c r="N69" s="519">
        <f t="shared" si="38"/>
        <v>0</v>
      </c>
      <c r="O69" s="519">
        <f t="shared" si="38"/>
        <v>0</v>
      </c>
      <c r="P69" s="519">
        <f>E69+J69</f>
        <v>5628910</v>
      </c>
      <c r="Q69" s="18"/>
      <c r="R69" s="33"/>
    </row>
    <row r="70" spans="1:18" ht="129" customHeight="1" thickTop="1" thickBot="1" x14ac:dyDescent="0.25">
      <c r="A70" s="94" t="s">
        <v>645</v>
      </c>
      <c r="B70" s="94" t="s">
        <v>646</v>
      </c>
      <c r="C70" s="94" t="s">
        <v>205</v>
      </c>
      <c r="D70" s="94" t="s">
        <v>647</v>
      </c>
      <c r="E70" s="471">
        <f>F70+I70</f>
        <v>2064210</v>
      </c>
      <c r="F70" s="504">
        <f>(983686+227527+12000+107286+8600+312035+8126+50840+4200+5540)+337120+2750+4500</f>
        <v>2064210</v>
      </c>
      <c r="G70" s="504">
        <f>806300</f>
        <v>806300</v>
      </c>
      <c r="H70" s="504">
        <f>312035+8126+50840+4200</f>
        <v>375201</v>
      </c>
      <c r="I70" s="125"/>
      <c r="J70" s="501">
        <f>L70+O70</f>
        <v>0</v>
      </c>
      <c r="K70" s="504"/>
      <c r="L70" s="504"/>
      <c r="M70" s="504"/>
      <c r="N70" s="504"/>
      <c r="O70" s="502">
        <f>K70</f>
        <v>0</v>
      </c>
      <c r="P70" s="501">
        <f>E70+J70</f>
        <v>2064210</v>
      </c>
      <c r="Q70" s="18"/>
      <c r="R70" s="24"/>
    </row>
    <row r="71" spans="1:18" ht="171" customHeight="1" thickTop="1" thickBot="1" x14ac:dyDescent="0.25">
      <c r="A71" s="94" t="s">
        <v>648</v>
      </c>
      <c r="B71" s="94" t="s">
        <v>649</v>
      </c>
      <c r="C71" s="94" t="s">
        <v>205</v>
      </c>
      <c r="D71" s="94" t="s">
        <v>650</v>
      </c>
      <c r="E71" s="521">
        <f>F71+I71</f>
        <v>3564700</v>
      </c>
      <c r="F71" s="504">
        <v>3564700</v>
      </c>
      <c r="G71" s="504">
        <v>2921900</v>
      </c>
      <c r="H71" s="504"/>
      <c r="I71" s="504"/>
      <c r="J71" s="501">
        <f t="shared" ref="J71:J72" si="39">L71+O71</f>
        <v>0</v>
      </c>
      <c r="K71" s="504"/>
      <c r="L71" s="504"/>
      <c r="M71" s="504"/>
      <c r="N71" s="504"/>
      <c r="O71" s="502">
        <f t="shared" ref="O71:O72" si="40">K71</f>
        <v>0</v>
      </c>
      <c r="P71" s="501">
        <f t="shared" ref="P71:P79" si="41">E71+J71</f>
        <v>3564700</v>
      </c>
      <c r="Q71" s="18"/>
      <c r="R71" s="28"/>
    </row>
    <row r="72" spans="1:18" ht="93" thickTop="1" thickBot="1" x14ac:dyDescent="0.25">
      <c r="A72" s="94" t="s">
        <v>618</v>
      </c>
      <c r="B72" s="94" t="s">
        <v>619</v>
      </c>
      <c r="C72" s="94" t="s">
        <v>205</v>
      </c>
      <c r="D72" s="94" t="s">
        <v>620</v>
      </c>
      <c r="E72" s="471">
        <f>F72+I72</f>
        <v>4352120</v>
      </c>
      <c r="F72" s="504">
        <f>(3210983+142000+182500+20000+41354+3673+43400+720+2840)+697400+2750+4500</f>
        <v>4352120</v>
      </c>
      <c r="G72" s="504">
        <f>(2631953)+572000</f>
        <v>3203953</v>
      </c>
      <c r="H72" s="504">
        <f>41354+3673+43400+720</f>
        <v>89147</v>
      </c>
      <c r="I72" s="125"/>
      <c r="J72" s="501">
        <f t="shared" si="39"/>
        <v>0</v>
      </c>
      <c r="K72" s="504"/>
      <c r="L72" s="504"/>
      <c r="M72" s="504"/>
      <c r="N72" s="504"/>
      <c r="O72" s="502">
        <f t="shared" si="40"/>
        <v>0</v>
      </c>
      <c r="P72" s="501">
        <f t="shared" si="41"/>
        <v>4352120</v>
      </c>
      <c r="Q72" s="18"/>
      <c r="R72" s="24"/>
    </row>
    <row r="73" spans="1:18" s="31" customFormat="1" ht="158.25" customHeight="1" thickTop="1" thickBot="1" x14ac:dyDescent="0.25">
      <c r="A73" s="518" t="s">
        <v>623</v>
      </c>
      <c r="B73" s="518" t="s">
        <v>624</v>
      </c>
      <c r="C73" s="518"/>
      <c r="D73" s="518" t="s">
        <v>1337</v>
      </c>
      <c r="E73" s="519">
        <f t="shared" ref="E73:E102" si="42">F73</f>
        <v>0</v>
      </c>
      <c r="F73" s="519">
        <f>SUM(F74:F77)</f>
        <v>0</v>
      </c>
      <c r="G73" s="519">
        <f>SUM(G74:G77)</f>
        <v>0</v>
      </c>
      <c r="H73" s="519">
        <f>SUM(H74:H77)</f>
        <v>0</v>
      </c>
      <c r="I73" s="519">
        <f>SUM(I74:I77)</f>
        <v>0</v>
      </c>
      <c r="J73" s="519">
        <f t="shared" si="26"/>
        <v>7637000</v>
      </c>
      <c r="K73" s="519">
        <f>SUM(K74:K77)</f>
        <v>7637000</v>
      </c>
      <c r="L73" s="519">
        <f>SUM(L74:L77)</f>
        <v>0</v>
      </c>
      <c r="M73" s="519">
        <f>SUM(M74:M77)</f>
        <v>0</v>
      </c>
      <c r="N73" s="519">
        <f>SUM(N74:N77)</f>
        <v>0</v>
      </c>
      <c r="O73" s="519">
        <f>SUM(O74:O77)</f>
        <v>7637000</v>
      </c>
      <c r="P73" s="519">
        <f t="shared" si="41"/>
        <v>7637000</v>
      </c>
      <c r="Q73" s="34"/>
      <c r="R73" s="35"/>
    </row>
    <row r="74" spans="1:18" s="31" customFormat="1" ht="138.75" hidden="1" thickTop="1" thickBot="1" x14ac:dyDescent="0.25">
      <c r="A74" s="119" t="s">
        <v>625</v>
      </c>
      <c r="B74" s="119" t="s">
        <v>626</v>
      </c>
      <c r="C74" s="119" t="s">
        <v>205</v>
      </c>
      <c r="D74" s="119" t="s">
        <v>1338</v>
      </c>
      <c r="E74" s="118">
        <f t="shared" si="42"/>
        <v>0</v>
      </c>
      <c r="F74" s="125"/>
      <c r="G74" s="125"/>
      <c r="H74" s="125"/>
      <c r="I74" s="125"/>
      <c r="J74" s="118">
        <f t="shared" si="26"/>
        <v>0</v>
      </c>
      <c r="K74" s="125">
        <v>0</v>
      </c>
      <c r="L74" s="125"/>
      <c r="M74" s="125"/>
      <c r="N74" s="125"/>
      <c r="O74" s="123">
        <f t="shared" ref="O74:O79" si="43">K74</f>
        <v>0</v>
      </c>
      <c r="P74" s="118">
        <f t="shared" si="41"/>
        <v>0</v>
      </c>
      <c r="Q74" s="34"/>
      <c r="R74" s="24"/>
    </row>
    <row r="75" spans="1:18" s="31" customFormat="1" ht="138.75" hidden="1" thickTop="1" thickBot="1" x14ac:dyDescent="0.25">
      <c r="A75" s="119" t="s">
        <v>918</v>
      </c>
      <c r="B75" s="119" t="s">
        <v>919</v>
      </c>
      <c r="C75" s="119" t="s">
        <v>205</v>
      </c>
      <c r="D75" s="119" t="s">
        <v>1339</v>
      </c>
      <c r="E75" s="118">
        <f t="shared" si="42"/>
        <v>0</v>
      </c>
      <c r="F75" s="125"/>
      <c r="G75" s="125"/>
      <c r="H75" s="125"/>
      <c r="I75" s="125"/>
      <c r="J75" s="118">
        <f t="shared" si="26"/>
        <v>0</v>
      </c>
      <c r="K75" s="125">
        <v>0</v>
      </c>
      <c r="L75" s="125"/>
      <c r="M75" s="125"/>
      <c r="N75" s="125"/>
      <c r="O75" s="123">
        <f t="shared" si="43"/>
        <v>0</v>
      </c>
      <c r="P75" s="118">
        <f t="shared" si="41"/>
        <v>0</v>
      </c>
      <c r="Q75" s="34"/>
      <c r="R75" s="24"/>
    </row>
    <row r="76" spans="1:18" s="31" customFormat="1" ht="240" customHeight="1" thickTop="1" thickBot="1" x14ac:dyDescent="0.25">
      <c r="A76" s="94" t="s">
        <v>1404</v>
      </c>
      <c r="B76" s="94" t="s">
        <v>1406</v>
      </c>
      <c r="C76" s="94" t="s">
        <v>205</v>
      </c>
      <c r="D76" s="94" t="s">
        <v>1408</v>
      </c>
      <c r="E76" s="521">
        <f t="shared" ref="E76:E77" si="44">F76+I76</f>
        <v>0</v>
      </c>
      <c r="F76" s="504"/>
      <c r="G76" s="504"/>
      <c r="H76" s="504"/>
      <c r="I76" s="504"/>
      <c r="J76" s="501">
        <f t="shared" si="26"/>
        <v>2291100</v>
      </c>
      <c r="K76" s="504">
        <v>2291100</v>
      </c>
      <c r="L76" s="504"/>
      <c r="M76" s="504"/>
      <c r="N76" s="504"/>
      <c r="O76" s="502">
        <f t="shared" si="43"/>
        <v>2291100</v>
      </c>
      <c r="P76" s="501">
        <f t="shared" si="41"/>
        <v>2291100</v>
      </c>
      <c r="Q76" s="34"/>
      <c r="R76" s="24"/>
    </row>
    <row r="77" spans="1:18" s="31" customFormat="1" ht="184.5" thickTop="1" thickBot="1" x14ac:dyDescent="0.25">
      <c r="A77" s="94" t="s">
        <v>1405</v>
      </c>
      <c r="B77" s="94" t="s">
        <v>1407</v>
      </c>
      <c r="C77" s="94" t="s">
        <v>205</v>
      </c>
      <c r="D77" s="94" t="s">
        <v>1409</v>
      </c>
      <c r="E77" s="521">
        <f t="shared" si="44"/>
        <v>0</v>
      </c>
      <c r="F77" s="504"/>
      <c r="G77" s="504"/>
      <c r="H77" s="504"/>
      <c r="I77" s="504"/>
      <c r="J77" s="501">
        <f t="shared" si="26"/>
        <v>5345900</v>
      </c>
      <c r="K77" s="504">
        <f>(0)+5345900</f>
        <v>5345900</v>
      </c>
      <c r="L77" s="504"/>
      <c r="M77" s="504"/>
      <c r="N77" s="504"/>
      <c r="O77" s="502">
        <f t="shared" si="43"/>
        <v>5345900</v>
      </c>
      <c r="P77" s="501">
        <f t="shared" si="41"/>
        <v>5345900</v>
      </c>
      <c r="Q77" s="34"/>
      <c r="R77" s="24"/>
    </row>
    <row r="78" spans="1:18" s="31" customFormat="1" ht="269.25" customHeight="1" thickTop="1" thickBot="1" x14ac:dyDescent="0.25">
      <c r="A78" s="94" t="s">
        <v>616</v>
      </c>
      <c r="B78" s="94" t="s">
        <v>617</v>
      </c>
      <c r="C78" s="94" t="s">
        <v>205</v>
      </c>
      <c r="D78" s="94" t="s">
        <v>1400</v>
      </c>
      <c r="E78" s="471">
        <f>F78+I78</f>
        <v>5194600</v>
      </c>
      <c r="F78" s="504">
        <v>5194600</v>
      </c>
      <c r="G78" s="504">
        <v>4257870</v>
      </c>
      <c r="H78" s="504"/>
      <c r="I78" s="504"/>
      <c r="J78" s="501">
        <f t="shared" si="26"/>
        <v>0</v>
      </c>
      <c r="K78" s="504"/>
      <c r="L78" s="504"/>
      <c r="M78" s="504"/>
      <c r="N78" s="504"/>
      <c r="O78" s="502">
        <f t="shared" si="43"/>
        <v>0</v>
      </c>
      <c r="P78" s="501">
        <f t="shared" si="41"/>
        <v>5194600</v>
      </c>
      <c r="Q78" s="34"/>
      <c r="R78" s="24"/>
    </row>
    <row r="79" spans="1:18" s="31" customFormat="1" ht="138.75" hidden="1" thickTop="1" thickBot="1" x14ac:dyDescent="0.25">
      <c r="A79" s="119" t="s">
        <v>885</v>
      </c>
      <c r="B79" s="119" t="s">
        <v>886</v>
      </c>
      <c r="C79" s="119" t="s">
        <v>205</v>
      </c>
      <c r="D79" s="119" t="s">
        <v>1249</v>
      </c>
      <c r="E79" s="118">
        <f t="shared" ref="E79" si="45">F79</f>
        <v>0</v>
      </c>
      <c r="F79" s="125"/>
      <c r="G79" s="125"/>
      <c r="H79" s="125"/>
      <c r="I79" s="125"/>
      <c r="J79" s="118">
        <f t="shared" si="26"/>
        <v>0</v>
      </c>
      <c r="K79" s="125"/>
      <c r="L79" s="125"/>
      <c r="M79" s="125"/>
      <c r="N79" s="125"/>
      <c r="O79" s="123">
        <f t="shared" si="43"/>
        <v>0</v>
      </c>
      <c r="P79" s="118">
        <f t="shared" si="41"/>
        <v>0</v>
      </c>
      <c r="Q79" s="34"/>
      <c r="R79" s="24"/>
    </row>
    <row r="80" spans="1:18" s="31" customFormat="1" ht="93" hidden="1" thickTop="1" thickBot="1" x14ac:dyDescent="0.25">
      <c r="A80" s="131" t="s">
        <v>934</v>
      </c>
      <c r="B80" s="131" t="s">
        <v>936</v>
      </c>
      <c r="C80" s="131"/>
      <c r="D80" s="131" t="s">
        <v>1242</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935</v>
      </c>
      <c r="B81" s="119" t="s">
        <v>937</v>
      </c>
      <c r="C81" s="119" t="s">
        <v>205</v>
      </c>
      <c r="D81" s="119" t="s">
        <v>1124</v>
      </c>
      <c r="E81" s="118">
        <f>F81</f>
        <v>0</v>
      </c>
      <c r="F81" s="125"/>
      <c r="G81" s="125"/>
      <c r="H81" s="125"/>
      <c r="I81" s="125"/>
      <c r="J81" s="118">
        <f t="shared" ref="J81:J82" si="46">L81+O81</f>
        <v>0</v>
      </c>
      <c r="K81" s="125">
        <v>0</v>
      </c>
      <c r="L81" s="125"/>
      <c r="M81" s="125"/>
      <c r="N81" s="125"/>
      <c r="O81" s="123">
        <f t="shared" ref="O81:O82" si="47">K81</f>
        <v>0</v>
      </c>
      <c r="P81" s="118">
        <f>E81+J81</f>
        <v>0</v>
      </c>
      <c r="Q81" s="34"/>
      <c r="R81" s="24"/>
    </row>
    <row r="82" spans="1:18" s="31" customFormat="1" ht="138.75" hidden="1" thickTop="1" thickBot="1" x14ac:dyDescent="0.25">
      <c r="A82" s="119" t="s">
        <v>971</v>
      </c>
      <c r="B82" s="119" t="s">
        <v>972</v>
      </c>
      <c r="C82" s="119" t="s">
        <v>205</v>
      </c>
      <c r="D82" s="119" t="s">
        <v>1315</v>
      </c>
      <c r="E82" s="118">
        <f>F82</f>
        <v>0</v>
      </c>
      <c r="F82" s="125">
        <f>(553900)-553900</f>
        <v>0</v>
      </c>
      <c r="G82" s="125"/>
      <c r="H82" s="125"/>
      <c r="I82" s="125"/>
      <c r="J82" s="118">
        <f t="shared" si="46"/>
        <v>0</v>
      </c>
      <c r="K82" s="125">
        <v>0</v>
      </c>
      <c r="L82" s="125"/>
      <c r="M82" s="125"/>
      <c r="N82" s="125"/>
      <c r="O82" s="123">
        <f t="shared" si="47"/>
        <v>0</v>
      </c>
      <c r="P82" s="118">
        <f>E82+J82</f>
        <v>0</v>
      </c>
      <c r="Q82" s="34"/>
      <c r="R82" s="24"/>
    </row>
    <row r="83" spans="1:18" s="31" customFormat="1" ht="184.5" hidden="1" thickTop="1" thickBot="1" x14ac:dyDescent="0.25">
      <c r="A83" s="131" t="s">
        <v>1203</v>
      </c>
      <c r="B83" s="131" t="s">
        <v>1204</v>
      </c>
      <c r="C83" s="131"/>
      <c r="D83" s="131" t="s">
        <v>1386</v>
      </c>
      <c r="E83" s="132">
        <f>SUM(E84:E85)</f>
        <v>0</v>
      </c>
      <c r="F83" s="132">
        <f t="shared" ref="F83:P83" si="48">SUM(F84:F85)</f>
        <v>0</v>
      </c>
      <c r="G83" s="132">
        <f t="shared" si="48"/>
        <v>0</v>
      </c>
      <c r="H83" s="132">
        <f t="shared" si="48"/>
        <v>0</v>
      </c>
      <c r="I83" s="132">
        <f t="shared" si="48"/>
        <v>0</v>
      </c>
      <c r="J83" s="132">
        <f t="shared" si="48"/>
        <v>0</v>
      </c>
      <c r="K83" s="132">
        <f t="shared" si="48"/>
        <v>0</v>
      </c>
      <c r="L83" s="132">
        <f t="shared" si="48"/>
        <v>0</v>
      </c>
      <c r="M83" s="132">
        <f t="shared" si="48"/>
        <v>0</v>
      </c>
      <c r="N83" s="132">
        <f t="shared" si="48"/>
        <v>0</v>
      </c>
      <c r="O83" s="132">
        <f t="shared" si="48"/>
        <v>0</v>
      </c>
      <c r="P83" s="132">
        <f t="shared" si="48"/>
        <v>0</v>
      </c>
      <c r="Q83" s="34"/>
      <c r="R83" s="24"/>
    </row>
    <row r="84" spans="1:18" s="31" customFormat="1" ht="276" hidden="1" thickTop="1" thickBot="1" x14ac:dyDescent="0.25">
      <c r="A84" s="119" t="s">
        <v>1205</v>
      </c>
      <c r="B84" s="119" t="s">
        <v>1206</v>
      </c>
      <c r="C84" s="119" t="s">
        <v>205</v>
      </c>
      <c r="D84" s="119" t="s">
        <v>1387</v>
      </c>
      <c r="E84" s="118"/>
      <c r="F84" s="125"/>
      <c r="G84" s="125"/>
      <c r="H84" s="125"/>
      <c r="I84" s="125"/>
      <c r="J84" s="118">
        <f t="shared" ref="J84:J85" si="49">L84+O84</f>
        <v>0</v>
      </c>
      <c r="K84" s="125">
        <v>0</v>
      </c>
      <c r="L84" s="125"/>
      <c r="M84" s="125"/>
      <c r="N84" s="125"/>
      <c r="O84" s="123">
        <f t="shared" ref="O84:O85" si="50">K84</f>
        <v>0</v>
      </c>
      <c r="P84" s="118">
        <f>E84+J84</f>
        <v>0</v>
      </c>
      <c r="Q84" s="34"/>
      <c r="R84" s="24"/>
    </row>
    <row r="85" spans="1:18" s="31" customFormat="1" ht="138.75" hidden="1" thickTop="1" thickBot="1" x14ac:dyDescent="0.25">
      <c r="A85" s="119" t="s">
        <v>1207</v>
      </c>
      <c r="B85" s="119" t="s">
        <v>1208</v>
      </c>
      <c r="C85" s="119" t="s">
        <v>205</v>
      </c>
      <c r="D85" s="119" t="s">
        <v>1209</v>
      </c>
      <c r="E85" s="118">
        <f>F85</f>
        <v>0</v>
      </c>
      <c r="F85" s="125"/>
      <c r="G85" s="125"/>
      <c r="H85" s="125"/>
      <c r="I85" s="125"/>
      <c r="J85" s="118">
        <f t="shared" si="49"/>
        <v>0</v>
      </c>
      <c r="K85" s="125"/>
      <c r="L85" s="125"/>
      <c r="M85" s="125"/>
      <c r="N85" s="125"/>
      <c r="O85" s="123">
        <f t="shared" si="50"/>
        <v>0</v>
      </c>
      <c r="P85" s="118">
        <f>E85+J85</f>
        <v>0</v>
      </c>
      <c r="Q85" s="34"/>
      <c r="R85" s="24"/>
    </row>
    <row r="86" spans="1:18" s="31" customFormat="1" ht="138.75" thickTop="1" thickBot="1" x14ac:dyDescent="0.25">
      <c r="A86" s="518" t="s">
        <v>1256</v>
      </c>
      <c r="B86" s="518" t="s">
        <v>1255</v>
      </c>
      <c r="C86" s="518"/>
      <c r="D86" s="518" t="s">
        <v>1257</v>
      </c>
      <c r="E86" s="519">
        <f>SUM(E87:E91)</f>
        <v>0</v>
      </c>
      <c r="F86" s="519">
        <f t="shared" ref="F86:P86" si="51">SUM(F87:F91)</f>
        <v>0</v>
      </c>
      <c r="G86" s="519">
        <f t="shared" si="51"/>
        <v>0</v>
      </c>
      <c r="H86" s="519">
        <f t="shared" si="51"/>
        <v>0</v>
      </c>
      <c r="I86" s="519">
        <f t="shared" si="51"/>
        <v>0</v>
      </c>
      <c r="J86" s="519">
        <f t="shared" si="51"/>
        <v>2500000</v>
      </c>
      <c r="K86" s="519">
        <f t="shared" si="51"/>
        <v>2500000</v>
      </c>
      <c r="L86" s="519">
        <f t="shared" si="51"/>
        <v>0</v>
      </c>
      <c r="M86" s="519">
        <f t="shared" si="51"/>
        <v>0</v>
      </c>
      <c r="N86" s="519">
        <f t="shared" si="51"/>
        <v>0</v>
      </c>
      <c r="O86" s="519">
        <f t="shared" si="51"/>
        <v>2500000</v>
      </c>
      <c r="P86" s="519">
        <f t="shared" si="51"/>
        <v>2500000</v>
      </c>
      <c r="Q86" s="34"/>
      <c r="R86" s="24"/>
    </row>
    <row r="87" spans="1:18" s="31" customFormat="1" ht="93" hidden="1" thickTop="1" thickBot="1" x14ac:dyDescent="0.25">
      <c r="A87" s="119" t="s">
        <v>1258</v>
      </c>
      <c r="B87" s="119" t="s">
        <v>1259</v>
      </c>
      <c r="C87" s="119" t="s">
        <v>205</v>
      </c>
      <c r="D87" s="119" t="s">
        <v>1263</v>
      </c>
      <c r="E87" s="335">
        <f t="shared" ref="E87:E88" si="52">F87</f>
        <v>0</v>
      </c>
      <c r="F87" s="336">
        <v>0</v>
      </c>
      <c r="G87" s="336"/>
      <c r="H87" s="336"/>
      <c r="I87" s="336"/>
      <c r="J87" s="335">
        <f t="shared" ref="J87:J91" si="53">L87+O87</f>
        <v>0</v>
      </c>
      <c r="K87" s="336"/>
      <c r="L87" s="336"/>
      <c r="M87" s="336"/>
      <c r="N87" s="336"/>
      <c r="O87" s="337">
        <f t="shared" ref="O87" si="54">K87</f>
        <v>0</v>
      </c>
      <c r="P87" s="335">
        <f t="shared" ref="P87:P89" si="55">E87+J87</f>
        <v>0</v>
      </c>
      <c r="Q87" s="34"/>
      <c r="R87" s="24"/>
    </row>
    <row r="88" spans="1:18" s="31" customFormat="1" ht="138.75" hidden="1" thickTop="1" thickBot="1" x14ac:dyDescent="0.25">
      <c r="A88" s="119" t="s">
        <v>1260</v>
      </c>
      <c r="B88" s="119" t="s">
        <v>1261</v>
      </c>
      <c r="C88" s="119" t="s">
        <v>205</v>
      </c>
      <c r="D88" s="119" t="s">
        <v>1262</v>
      </c>
      <c r="E88" s="335">
        <f t="shared" si="52"/>
        <v>0</v>
      </c>
      <c r="F88" s="336"/>
      <c r="G88" s="336"/>
      <c r="H88" s="336"/>
      <c r="I88" s="336"/>
      <c r="J88" s="335">
        <f t="shared" si="53"/>
        <v>0</v>
      </c>
      <c r="K88" s="336"/>
      <c r="L88" s="336"/>
      <c r="M88" s="336"/>
      <c r="N88" s="336"/>
      <c r="O88" s="337">
        <f>K88</f>
        <v>0</v>
      </c>
      <c r="P88" s="335">
        <f t="shared" si="55"/>
        <v>0</v>
      </c>
      <c r="Q88" s="34"/>
      <c r="R88" s="24"/>
    </row>
    <row r="89" spans="1:18" s="31" customFormat="1" ht="298.5" customHeight="1" thickTop="1" thickBot="1" x14ac:dyDescent="0.25">
      <c r="A89" s="94" t="s">
        <v>1762</v>
      </c>
      <c r="B89" s="94" t="s">
        <v>1763</v>
      </c>
      <c r="C89" s="94" t="s">
        <v>205</v>
      </c>
      <c r="D89" s="94" t="s">
        <v>1764</v>
      </c>
      <c r="E89" s="471"/>
      <c r="F89" s="504"/>
      <c r="G89" s="504"/>
      <c r="H89" s="504"/>
      <c r="I89" s="504"/>
      <c r="J89" s="501">
        <f t="shared" si="53"/>
        <v>2500000</v>
      </c>
      <c r="K89" s="504">
        <v>2500000</v>
      </c>
      <c r="L89" s="504"/>
      <c r="M89" s="504"/>
      <c r="N89" s="504"/>
      <c r="O89" s="502">
        <f t="shared" ref="O89:O90" si="56">K89</f>
        <v>2500000</v>
      </c>
      <c r="P89" s="501">
        <f t="shared" si="55"/>
        <v>2500000</v>
      </c>
      <c r="Q89" s="34"/>
      <c r="R89" s="24"/>
    </row>
    <row r="90" spans="1:18" s="31" customFormat="1" ht="138.75" hidden="1" thickTop="1" thickBot="1" x14ac:dyDescent="0.25">
      <c r="A90" s="119" t="s">
        <v>1447</v>
      </c>
      <c r="B90" s="119" t="s">
        <v>1442</v>
      </c>
      <c r="C90" s="119" t="s">
        <v>205</v>
      </c>
      <c r="D90" s="119" t="s">
        <v>1441</v>
      </c>
      <c r="E90" s="118"/>
      <c r="F90" s="125">
        <v>0</v>
      </c>
      <c r="G90" s="125"/>
      <c r="H90" s="125"/>
      <c r="I90" s="125"/>
      <c r="J90" s="118">
        <f t="shared" si="53"/>
        <v>0</v>
      </c>
      <c r="K90" s="125">
        <v>0</v>
      </c>
      <c r="L90" s="125"/>
      <c r="M90" s="125"/>
      <c r="N90" s="125"/>
      <c r="O90" s="123">
        <f t="shared" si="56"/>
        <v>0</v>
      </c>
      <c r="P90" s="118">
        <f>E90+J90</f>
        <v>0</v>
      </c>
      <c r="Q90" s="34"/>
      <c r="R90" s="24"/>
    </row>
    <row r="91" spans="1:18" s="31" customFormat="1" ht="138.75" hidden="1" thickTop="1" thickBot="1" x14ac:dyDescent="0.25">
      <c r="A91" s="119" t="s">
        <v>1448</v>
      </c>
      <c r="B91" s="119" t="s">
        <v>1444</v>
      </c>
      <c r="C91" s="119" t="s">
        <v>205</v>
      </c>
      <c r="D91" s="119" t="s">
        <v>1443</v>
      </c>
      <c r="E91" s="118"/>
      <c r="F91" s="125"/>
      <c r="G91" s="125"/>
      <c r="H91" s="125"/>
      <c r="I91" s="125"/>
      <c r="J91" s="118">
        <f t="shared" si="53"/>
        <v>0</v>
      </c>
      <c r="K91" s="125"/>
      <c r="L91" s="125">
        <v>0</v>
      </c>
      <c r="M91" s="125"/>
      <c r="N91" s="125"/>
      <c r="O91" s="123">
        <f>K91</f>
        <v>0</v>
      </c>
      <c r="P91" s="118">
        <f>E91+J91</f>
        <v>0</v>
      </c>
      <c r="Q91" s="34"/>
      <c r="R91" s="24"/>
    </row>
    <row r="92" spans="1:18" s="31" customFormat="1" ht="184.5" hidden="1" thickTop="1" thickBot="1" x14ac:dyDescent="0.25">
      <c r="A92" s="131" t="s">
        <v>1302</v>
      </c>
      <c r="B92" s="131" t="s">
        <v>1304</v>
      </c>
      <c r="C92" s="119"/>
      <c r="D92" s="131" t="s">
        <v>1301</v>
      </c>
      <c r="E92" s="132">
        <f>SUM(E93:E94)</f>
        <v>0</v>
      </c>
      <c r="F92" s="132">
        <f t="shared" ref="F92:O92" si="57">SUM(F93:F94)</f>
        <v>0</v>
      </c>
      <c r="G92" s="132">
        <f t="shared" si="57"/>
        <v>0</v>
      </c>
      <c r="H92" s="132">
        <f t="shared" si="57"/>
        <v>0</v>
      </c>
      <c r="I92" s="132">
        <f t="shared" si="57"/>
        <v>0</v>
      </c>
      <c r="J92" s="132">
        <f t="shared" si="57"/>
        <v>0</v>
      </c>
      <c r="K92" s="132">
        <f t="shared" si="57"/>
        <v>0</v>
      </c>
      <c r="L92" s="132">
        <f t="shared" si="57"/>
        <v>0</v>
      </c>
      <c r="M92" s="132">
        <f t="shared" si="57"/>
        <v>0</v>
      </c>
      <c r="N92" s="132">
        <f t="shared" si="57"/>
        <v>0</v>
      </c>
      <c r="O92" s="132">
        <f t="shared" si="57"/>
        <v>0</v>
      </c>
      <c r="P92" s="132">
        <f>SUM(P93:P94)</f>
        <v>0</v>
      </c>
      <c r="Q92" s="34"/>
      <c r="R92" s="24"/>
    </row>
    <row r="93" spans="1:18" s="31" customFormat="1" ht="230.25" hidden="1" thickTop="1" thickBot="1" x14ac:dyDescent="0.25">
      <c r="A93" s="119" t="s">
        <v>1305</v>
      </c>
      <c r="B93" s="119" t="s">
        <v>1303</v>
      </c>
      <c r="C93" s="119" t="s">
        <v>205</v>
      </c>
      <c r="D93" s="119" t="s">
        <v>1306</v>
      </c>
      <c r="E93" s="118"/>
      <c r="F93" s="125"/>
      <c r="G93" s="125"/>
      <c r="H93" s="125"/>
      <c r="I93" s="125"/>
      <c r="J93" s="118">
        <f t="shared" ref="J93:J95" si="58">L93+O93</f>
        <v>0</v>
      </c>
      <c r="K93" s="125">
        <v>0</v>
      </c>
      <c r="L93" s="125"/>
      <c r="M93" s="125"/>
      <c r="N93" s="125"/>
      <c r="O93" s="123">
        <f t="shared" ref="O93" si="59">K93</f>
        <v>0</v>
      </c>
      <c r="P93" s="118">
        <f>E93+J93</f>
        <v>0</v>
      </c>
      <c r="Q93" s="34"/>
      <c r="R93" s="24"/>
    </row>
    <row r="94" spans="1:18" s="31" customFormat="1" ht="184.5" hidden="1" thickTop="1" thickBot="1" x14ac:dyDescent="0.25">
      <c r="A94" s="119" t="s">
        <v>1307</v>
      </c>
      <c r="B94" s="119" t="s">
        <v>1308</v>
      </c>
      <c r="C94" s="119" t="s">
        <v>205</v>
      </c>
      <c r="D94" s="119" t="s">
        <v>1309</v>
      </c>
      <c r="E94" s="118"/>
      <c r="F94" s="125"/>
      <c r="G94" s="125"/>
      <c r="H94" s="125"/>
      <c r="I94" s="125"/>
      <c r="J94" s="118">
        <f t="shared" si="58"/>
        <v>0</v>
      </c>
      <c r="K94" s="125"/>
      <c r="L94" s="125">
        <v>0</v>
      </c>
      <c r="M94" s="125"/>
      <c r="N94" s="125"/>
      <c r="O94" s="123">
        <f>K94+0</f>
        <v>0</v>
      </c>
      <c r="P94" s="118">
        <f>E94+J94</f>
        <v>0</v>
      </c>
      <c r="Q94" s="34"/>
      <c r="R94" s="24"/>
    </row>
    <row r="95" spans="1:18" s="31" customFormat="1" ht="93" thickTop="1" thickBot="1" x14ac:dyDescent="0.25">
      <c r="A95" s="94" t="s">
        <v>1372</v>
      </c>
      <c r="B95" s="94" t="s">
        <v>1359</v>
      </c>
      <c r="C95" s="94" t="s">
        <v>205</v>
      </c>
      <c r="D95" s="94" t="s">
        <v>1538</v>
      </c>
      <c r="E95" s="118"/>
      <c r="F95" s="125"/>
      <c r="G95" s="125"/>
      <c r="H95" s="125"/>
      <c r="I95" s="125"/>
      <c r="J95" s="501">
        <f t="shared" si="58"/>
        <v>9379760</v>
      </c>
      <c r="K95" s="504">
        <f>7000000+2252760+127000</f>
        <v>9379760</v>
      </c>
      <c r="L95" s="504"/>
      <c r="M95" s="504"/>
      <c r="N95" s="504"/>
      <c r="O95" s="502">
        <f t="shared" ref="O95" si="60">K95</f>
        <v>9379760</v>
      </c>
      <c r="P95" s="501">
        <f>E95+J95</f>
        <v>9379760</v>
      </c>
      <c r="Q95" s="34"/>
      <c r="R95" s="24"/>
    </row>
    <row r="96" spans="1:18" s="31" customFormat="1" ht="93" hidden="1" thickTop="1" thickBot="1" x14ac:dyDescent="0.25">
      <c r="A96" s="131" t="s">
        <v>1342</v>
      </c>
      <c r="B96" s="131" t="s">
        <v>1345</v>
      </c>
      <c r="C96" s="119"/>
      <c r="D96" s="131" t="s">
        <v>1346</v>
      </c>
      <c r="E96" s="132">
        <f>E97</f>
        <v>0</v>
      </c>
      <c r="F96" s="132">
        <f t="shared" ref="F96:P96" si="61">F97</f>
        <v>0</v>
      </c>
      <c r="G96" s="132">
        <f t="shared" si="61"/>
        <v>0</v>
      </c>
      <c r="H96" s="132">
        <f t="shared" si="61"/>
        <v>0</v>
      </c>
      <c r="I96" s="132">
        <f t="shared" si="61"/>
        <v>0</v>
      </c>
      <c r="J96" s="132">
        <f t="shared" si="61"/>
        <v>0</v>
      </c>
      <c r="K96" s="132">
        <f t="shared" si="61"/>
        <v>0</v>
      </c>
      <c r="L96" s="132">
        <f t="shared" si="61"/>
        <v>0</v>
      </c>
      <c r="M96" s="132">
        <f t="shared" si="61"/>
        <v>0</v>
      </c>
      <c r="N96" s="132">
        <f t="shared" si="61"/>
        <v>0</v>
      </c>
      <c r="O96" s="132">
        <f t="shared" si="61"/>
        <v>0</v>
      </c>
      <c r="P96" s="132">
        <f t="shared" si="61"/>
        <v>0</v>
      </c>
      <c r="Q96" s="34"/>
      <c r="R96" s="24"/>
    </row>
    <row r="97" spans="1:18" s="31" customFormat="1" ht="138.75" hidden="1" thickTop="1" thickBot="1" x14ac:dyDescent="0.25">
      <c r="A97" s="119" t="s">
        <v>1343</v>
      </c>
      <c r="B97" s="119" t="s">
        <v>1344</v>
      </c>
      <c r="C97" s="119" t="s">
        <v>205</v>
      </c>
      <c r="D97" s="119" t="s">
        <v>1347</v>
      </c>
      <c r="E97" s="118"/>
      <c r="F97" s="125"/>
      <c r="G97" s="125"/>
      <c r="H97" s="125"/>
      <c r="I97" s="125"/>
      <c r="J97" s="118">
        <f t="shared" ref="J97:J99" si="62">L97+O97</f>
        <v>0</v>
      </c>
      <c r="K97" s="125"/>
      <c r="L97" s="125">
        <v>0</v>
      </c>
      <c r="M97" s="125"/>
      <c r="N97" s="125"/>
      <c r="O97" s="123">
        <f t="shared" ref="O97:O98" si="63">K97</f>
        <v>0</v>
      </c>
      <c r="P97" s="118">
        <f>E97+J97</f>
        <v>0</v>
      </c>
      <c r="Q97" s="34"/>
      <c r="R97" s="24"/>
    </row>
    <row r="98" spans="1:18" s="31" customFormat="1" ht="148.5" customHeight="1" thickTop="1" thickBot="1" x14ac:dyDescent="0.25">
      <c r="A98" s="94" t="s">
        <v>1401</v>
      </c>
      <c r="B98" s="94" t="s">
        <v>1402</v>
      </c>
      <c r="C98" s="94" t="s">
        <v>205</v>
      </c>
      <c r="D98" s="94" t="s">
        <v>1403</v>
      </c>
      <c r="E98" s="521">
        <f>F98+I98</f>
        <v>79736300</v>
      </c>
      <c r="F98" s="504">
        <v>79736300</v>
      </c>
      <c r="G98" s="504">
        <v>65357625</v>
      </c>
      <c r="H98" s="504"/>
      <c r="I98" s="504"/>
      <c r="J98" s="501">
        <f t="shared" si="62"/>
        <v>0</v>
      </c>
      <c r="K98" s="504"/>
      <c r="L98" s="504"/>
      <c r="M98" s="504"/>
      <c r="N98" s="504"/>
      <c r="O98" s="502">
        <f t="shared" si="63"/>
        <v>0</v>
      </c>
      <c r="P98" s="501">
        <f>E98+J98</f>
        <v>79736300</v>
      </c>
      <c r="Q98" s="34"/>
      <c r="R98" s="24"/>
    </row>
    <row r="99" spans="1:18" s="31" customFormat="1" ht="148.5" customHeight="1" thickTop="1" thickBot="1" x14ac:dyDescent="0.25">
      <c r="A99" s="94" t="s">
        <v>1703</v>
      </c>
      <c r="B99" s="94" t="s">
        <v>1704</v>
      </c>
      <c r="C99" s="94" t="s">
        <v>205</v>
      </c>
      <c r="D99" s="94" t="s">
        <v>1705</v>
      </c>
      <c r="E99" s="521">
        <f>F99+I99</f>
        <v>58944400</v>
      </c>
      <c r="F99" s="504">
        <v>58944400</v>
      </c>
      <c r="G99" s="504"/>
      <c r="H99" s="504"/>
      <c r="I99" s="504"/>
      <c r="J99" s="501">
        <f t="shared" si="62"/>
        <v>0</v>
      </c>
      <c r="K99" s="504"/>
      <c r="L99" s="504"/>
      <c r="M99" s="504"/>
      <c r="N99" s="504"/>
      <c r="O99" s="502"/>
      <c r="P99" s="501">
        <f>E99+J99</f>
        <v>58944400</v>
      </c>
      <c r="Q99" s="34"/>
      <c r="R99" s="24"/>
    </row>
    <row r="100" spans="1:18" s="31" customFormat="1" ht="99.75" customHeight="1" thickTop="1" thickBot="1" x14ac:dyDescent="0.25">
      <c r="A100" s="239" t="s">
        <v>677</v>
      </c>
      <c r="B100" s="239" t="s">
        <v>678</v>
      </c>
      <c r="C100" s="239"/>
      <c r="D100" s="239" t="s">
        <v>679</v>
      </c>
      <c r="E100" s="501">
        <f>SUM(E101:E103)</f>
        <v>1665000</v>
      </c>
      <c r="F100" s="501">
        <f t="shared" ref="F100:P100" si="64">SUM(F101:F103)</f>
        <v>715000</v>
      </c>
      <c r="G100" s="501">
        <f t="shared" si="64"/>
        <v>0</v>
      </c>
      <c r="H100" s="501">
        <f t="shared" si="64"/>
        <v>0</v>
      </c>
      <c r="I100" s="501">
        <f t="shared" si="64"/>
        <v>950000</v>
      </c>
      <c r="J100" s="501">
        <f t="shared" si="64"/>
        <v>0</v>
      </c>
      <c r="K100" s="501">
        <f t="shared" si="64"/>
        <v>0</v>
      </c>
      <c r="L100" s="501">
        <f t="shared" si="64"/>
        <v>0</v>
      </c>
      <c r="M100" s="501">
        <f t="shared" si="64"/>
        <v>0</v>
      </c>
      <c r="N100" s="501">
        <f t="shared" si="64"/>
        <v>0</v>
      </c>
      <c r="O100" s="501">
        <f t="shared" si="64"/>
        <v>0</v>
      </c>
      <c r="P100" s="501">
        <f t="shared" si="64"/>
        <v>1665000</v>
      </c>
      <c r="Q100" s="34"/>
      <c r="R100" s="24"/>
    </row>
    <row r="101" spans="1:18" s="31" customFormat="1" ht="210.75" customHeight="1" thickTop="1" thickBot="1" x14ac:dyDescent="0.25">
      <c r="A101" s="94" t="s">
        <v>420</v>
      </c>
      <c r="B101" s="94" t="s">
        <v>421</v>
      </c>
      <c r="C101" s="94" t="s">
        <v>180</v>
      </c>
      <c r="D101" s="94" t="s">
        <v>419</v>
      </c>
      <c r="E101" s="471">
        <f>F101+I101</f>
        <v>715000</v>
      </c>
      <c r="F101" s="504">
        <v>715000</v>
      </c>
      <c r="G101" s="125"/>
      <c r="H101" s="125"/>
      <c r="I101" s="125"/>
      <c r="J101" s="501">
        <f>L101+O101</f>
        <v>0</v>
      </c>
      <c r="K101" s="504"/>
      <c r="L101" s="504"/>
      <c r="M101" s="504"/>
      <c r="N101" s="504"/>
      <c r="O101" s="502">
        <f>K101</f>
        <v>0</v>
      </c>
      <c r="P101" s="501">
        <f>E101+J101</f>
        <v>715000</v>
      </c>
      <c r="Q101" s="34"/>
      <c r="R101" s="37"/>
    </row>
    <row r="102" spans="1:18" s="31" customFormat="1" ht="93" hidden="1" thickTop="1" thickBot="1" x14ac:dyDescent="0.25">
      <c r="A102" s="119" t="s">
        <v>1111</v>
      </c>
      <c r="B102" s="119" t="s">
        <v>1080</v>
      </c>
      <c r="C102" s="119" t="s">
        <v>201</v>
      </c>
      <c r="D102" s="277" t="s">
        <v>1081</v>
      </c>
      <c r="E102" s="118">
        <f t="shared" si="42"/>
        <v>0</v>
      </c>
      <c r="F102" s="125"/>
      <c r="G102" s="125"/>
      <c r="H102" s="125"/>
      <c r="I102" s="125"/>
      <c r="J102" s="118">
        <f>L102+O102</f>
        <v>0</v>
      </c>
      <c r="K102" s="125"/>
      <c r="L102" s="125"/>
      <c r="M102" s="125"/>
      <c r="N102" s="125"/>
      <c r="O102" s="123">
        <f>K102</f>
        <v>0</v>
      </c>
      <c r="P102" s="118">
        <f>E102+J102</f>
        <v>0</v>
      </c>
      <c r="Q102" s="34"/>
      <c r="R102" s="37"/>
    </row>
    <row r="103" spans="1:18" s="31" customFormat="1" ht="96.75" customHeight="1" thickTop="1" thickBot="1" x14ac:dyDescent="0.25">
      <c r="A103" s="94" t="s">
        <v>1582</v>
      </c>
      <c r="B103" s="94" t="s">
        <v>323</v>
      </c>
      <c r="C103" s="94" t="s">
        <v>186</v>
      </c>
      <c r="D103" s="507" t="s">
        <v>1702</v>
      </c>
      <c r="E103" s="521">
        <f>F103+I103</f>
        <v>950000</v>
      </c>
      <c r="F103" s="504"/>
      <c r="G103" s="504"/>
      <c r="H103" s="504"/>
      <c r="I103" s="504">
        <v>950000</v>
      </c>
      <c r="J103" s="501">
        <f t="shared" ref="J103" si="65">L103+O103</f>
        <v>0</v>
      </c>
      <c r="K103" s="504"/>
      <c r="L103" s="504"/>
      <c r="M103" s="504"/>
      <c r="N103" s="504"/>
      <c r="O103" s="502">
        <f t="shared" ref="O103" si="66">K103</f>
        <v>0</v>
      </c>
      <c r="P103" s="501">
        <f>E103+J103</f>
        <v>950000</v>
      </c>
      <c r="Q103" s="34"/>
      <c r="R103" s="37"/>
    </row>
    <row r="104" spans="1:18" s="31" customFormat="1" ht="86.25" customHeight="1" thickTop="1" thickBot="1" x14ac:dyDescent="0.25">
      <c r="A104" s="239" t="s">
        <v>1008</v>
      </c>
      <c r="B104" s="239" t="s">
        <v>713</v>
      </c>
      <c r="C104" s="239"/>
      <c r="D104" s="239" t="s">
        <v>1007</v>
      </c>
      <c r="E104" s="501">
        <f>E107+E105</f>
        <v>4000000</v>
      </c>
      <c r="F104" s="501">
        <f t="shared" ref="F104:P104" si="67">F107+F105</f>
        <v>0</v>
      </c>
      <c r="G104" s="501">
        <f t="shared" si="67"/>
        <v>0</v>
      </c>
      <c r="H104" s="501">
        <f t="shared" si="67"/>
        <v>0</v>
      </c>
      <c r="I104" s="501">
        <f t="shared" si="67"/>
        <v>4000000</v>
      </c>
      <c r="J104" s="501">
        <f t="shared" si="67"/>
        <v>0</v>
      </c>
      <c r="K104" s="501">
        <f t="shared" si="67"/>
        <v>0</v>
      </c>
      <c r="L104" s="501">
        <f t="shared" si="67"/>
        <v>0</v>
      </c>
      <c r="M104" s="501">
        <f t="shared" si="67"/>
        <v>0</v>
      </c>
      <c r="N104" s="501">
        <f t="shared" si="67"/>
        <v>0</v>
      </c>
      <c r="O104" s="501">
        <f t="shared" si="67"/>
        <v>0</v>
      </c>
      <c r="P104" s="501">
        <f t="shared" si="67"/>
        <v>4000000</v>
      </c>
      <c r="Q104" s="34"/>
      <c r="R104" s="24"/>
    </row>
    <row r="105" spans="1:18" s="31" customFormat="1" ht="47.25" hidden="1" thickTop="1" thickBot="1" x14ac:dyDescent="0.25">
      <c r="A105" s="127" t="s">
        <v>1421</v>
      </c>
      <c r="B105" s="348" t="s">
        <v>765</v>
      </c>
      <c r="C105" s="348"/>
      <c r="D105" s="348" t="s">
        <v>1394</v>
      </c>
      <c r="E105" s="128">
        <f>E106</f>
        <v>0</v>
      </c>
      <c r="F105" s="128">
        <f t="shared" ref="F105:P107" si="68">F106</f>
        <v>0</v>
      </c>
      <c r="G105" s="128">
        <f t="shared" si="68"/>
        <v>0</v>
      </c>
      <c r="H105" s="128">
        <f t="shared" si="68"/>
        <v>0</v>
      </c>
      <c r="I105" s="128">
        <f t="shared" si="68"/>
        <v>0</v>
      </c>
      <c r="J105" s="128">
        <f t="shared" si="68"/>
        <v>0</v>
      </c>
      <c r="K105" s="128">
        <f t="shared" si="68"/>
        <v>0</v>
      </c>
      <c r="L105" s="128">
        <f t="shared" si="68"/>
        <v>0</v>
      </c>
      <c r="M105" s="128">
        <f t="shared" si="68"/>
        <v>0</v>
      </c>
      <c r="N105" s="128">
        <f t="shared" si="68"/>
        <v>0</v>
      </c>
      <c r="O105" s="128">
        <f t="shared" si="68"/>
        <v>0</v>
      </c>
      <c r="P105" s="128">
        <f t="shared" si="68"/>
        <v>0</v>
      </c>
      <c r="Q105" s="34"/>
      <c r="R105" s="24"/>
    </row>
    <row r="106" spans="1:18" s="31" customFormat="1" ht="54" hidden="1" thickTop="1" thickBot="1" x14ac:dyDescent="0.25">
      <c r="A106" s="119" t="s">
        <v>1422</v>
      </c>
      <c r="B106" s="349" t="s">
        <v>308</v>
      </c>
      <c r="C106" s="349" t="s">
        <v>298</v>
      </c>
      <c r="D106" s="349" t="s">
        <v>1279</v>
      </c>
      <c r="E106" s="118">
        <f t="shared" ref="E106" si="69">F106</f>
        <v>0</v>
      </c>
      <c r="F106" s="125"/>
      <c r="G106" s="125"/>
      <c r="H106" s="125"/>
      <c r="I106" s="125"/>
      <c r="J106" s="118">
        <f t="shared" ref="J106" si="70">L106+O106</f>
        <v>0</v>
      </c>
      <c r="K106" s="125">
        <f>1600000-1600000</f>
        <v>0</v>
      </c>
      <c r="L106" s="125"/>
      <c r="M106" s="125"/>
      <c r="N106" s="125"/>
      <c r="O106" s="123">
        <f t="shared" ref="O106" si="71">K106</f>
        <v>0</v>
      </c>
      <c r="P106" s="118">
        <f>E106+J106</f>
        <v>0</v>
      </c>
      <c r="Q106" s="34"/>
      <c r="R106" s="24"/>
    </row>
    <row r="107" spans="1:18" s="31" customFormat="1" ht="99.75" customHeight="1" thickTop="1" thickBot="1" x14ac:dyDescent="0.25">
      <c r="A107" s="508" t="s">
        <v>1009</v>
      </c>
      <c r="B107" s="508" t="s">
        <v>659</v>
      </c>
      <c r="C107" s="508"/>
      <c r="D107" s="508" t="s">
        <v>657</v>
      </c>
      <c r="E107" s="524">
        <f>E108</f>
        <v>4000000</v>
      </c>
      <c r="F107" s="524">
        <f t="shared" si="68"/>
        <v>0</v>
      </c>
      <c r="G107" s="524">
        <f t="shared" si="68"/>
        <v>0</v>
      </c>
      <c r="H107" s="524">
        <f t="shared" si="68"/>
        <v>0</v>
      </c>
      <c r="I107" s="524">
        <f t="shared" si="68"/>
        <v>4000000</v>
      </c>
      <c r="J107" s="524">
        <f t="shared" si="68"/>
        <v>0</v>
      </c>
      <c r="K107" s="524">
        <f t="shared" si="68"/>
        <v>0</v>
      </c>
      <c r="L107" s="524">
        <f t="shared" si="68"/>
        <v>0</v>
      </c>
      <c r="M107" s="524">
        <f t="shared" si="68"/>
        <v>0</v>
      </c>
      <c r="N107" s="524">
        <f t="shared" si="68"/>
        <v>0</v>
      </c>
      <c r="O107" s="524">
        <f t="shared" si="68"/>
        <v>0</v>
      </c>
      <c r="P107" s="524">
        <f t="shared" si="68"/>
        <v>4000000</v>
      </c>
      <c r="Q107" s="28"/>
      <c r="R107" s="24"/>
    </row>
    <row r="108" spans="1:18" s="31" customFormat="1" ht="90.75" customHeight="1" thickTop="1" thickBot="1" x14ac:dyDescent="0.25">
      <c r="A108" s="94" t="s">
        <v>1010</v>
      </c>
      <c r="B108" s="94" t="s">
        <v>207</v>
      </c>
      <c r="C108" s="94" t="s">
        <v>208</v>
      </c>
      <c r="D108" s="94" t="s">
        <v>40</v>
      </c>
      <c r="E108" s="521">
        <f>F108+I108</f>
        <v>4000000</v>
      </c>
      <c r="F108" s="504"/>
      <c r="G108" s="504"/>
      <c r="H108" s="504"/>
      <c r="I108" s="504">
        <f>(2000000+1000000)+1000000</f>
        <v>4000000</v>
      </c>
      <c r="J108" s="501">
        <f t="shared" ref="J108" si="72">L108+O108</f>
        <v>0</v>
      </c>
      <c r="K108" s="504"/>
      <c r="L108" s="504"/>
      <c r="M108" s="504"/>
      <c r="N108" s="504"/>
      <c r="O108" s="502">
        <f t="shared" ref="O108" si="73">K108</f>
        <v>0</v>
      </c>
      <c r="P108" s="501">
        <f>E108+J108</f>
        <v>4000000</v>
      </c>
      <c r="Q108" s="28"/>
      <c r="R108" s="24"/>
    </row>
    <row r="109" spans="1:18" s="31" customFormat="1" ht="47.25" hidden="1" thickTop="1" thickBot="1" x14ac:dyDescent="0.25">
      <c r="A109" s="116" t="s">
        <v>1103</v>
      </c>
      <c r="B109" s="116" t="s">
        <v>664</v>
      </c>
      <c r="C109" s="116"/>
      <c r="D109" s="116" t="s">
        <v>665</v>
      </c>
      <c r="E109" s="118">
        <f>E112+E110</f>
        <v>0</v>
      </c>
      <c r="F109" s="118">
        <f t="shared" ref="F109:P109" si="74">F112+F110</f>
        <v>0</v>
      </c>
      <c r="G109" s="118">
        <f t="shared" si="74"/>
        <v>0</v>
      </c>
      <c r="H109" s="118">
        <f t="shared" si="74"/>
        <v>0</v>
      </c>
      <c r="I109" s="118">
        <f t="shared" si="74"/>
        <v>0</v>
      </c>
      <c r="J109" s="118">
        <f t="shared" si="74"/>
        <v>0</v>
      </c>
      <c r="K109" s="118">
        <f t="shared" si="74"/>
        <v>0</v>
      </c>
      <c r="L109" s="118">
        <f t="shared" si="74"/>
        <v>0</v>
      </c>
      <c r="M109" s="118">
        <f t="shared" si="74"/>
        <v>0</v>
      </c>
      <c r="N109" s="118">
        <f t="shared" si="74"/>
        <v>0</v>
      </c>
      <c r="O109" s="118">
        <f t="shared" si="74"/>
        <v>0</v>
      </c>
      <c r="P109" s="118">
        <f t="shared" si="74"/>
        <v>0</v>
      </c>
      <c r="Q109" s="28"/>
      <c r="R109" s="24"/>
    </row>
    <row r="110" spans="1:18" s="31" customFormat="1" ht="47.25" hidden="1" thickTop="1" thickBot="1" x14ac:dyDescent="0.25">
      <c r="A110" s="127" t="s">
        <v>1462</v>
      </c>
      <c r="B110" s="127" t="s">
        <v>774</v>
      </c>
      <c r="C110" s="127"/>
      <c r="D110" s="127" t="s">
        <v>1140</v>
      </c>
      <c r="E110" s="128">
        <f>E111</f>
        <v>0</v>
      </c>
      <c r="F110" s="128">
        <f t="shared" ref="F110:P110" si="75">F111</f>
        <v>0</v>
      </c>
      <c r="G110" s="128">
        <f t="shared" si="75"/>
        <v>0</v>
      </c>
      <c r="H110" s="128">
        <f t="shared" si="75"/>
        <v>0</v>
      </c>
      <c r="I110" s="128">
        <f t="shared" si="75"/>
        <v>0</v>
      </c>
      <c r="J110" s="128">
        <f t="shared" si="75"/>
        <v>0</v>
      </c>
      <c r="K110" s="128">
        <f t="shared" si="75"/>
        <v>0</v>
      </c>
      <c r="L110" s="128">
        <f t="shared" si="75"/>
        <v>0</v>
      </c>
      <c r="M110" s="128">
        <f t="shared" si="75"/>
        <v>0</v>
      </c>
      <c r="N110" s="128">
        <f t="shared" si="75"/>
        <v>0</v>
      </c>
      <c r="O110" s="128">
        <f t="shared" si="75"/>
        <v>0</v>
      </c>
      <c r="P110" s="128">
        <f t="shared" si="75"/>
        <v>0</v>
      </c>
      <c r="Q110" s="28"/>
      <c r="R110" s="24"/>
    </row>
    <row r="111" spans="1:18" s="31" customFormat="1" ht="93" hidden="1" thickTop="1" thickBot="1" x14ac:dyDescent="0.25">
      <c r="A111" s="119" t="s">
        <v>1463</v>
      </c>
      <c r="B111" s="119" t="s">
        <v>499</v>
      </c>
      <c r="C111" s="119" t="s">
        <v>245</v>
      </c>
      <c r="D111" s="119" t="s">
        <v>500</v>
      </c>
      <c r="E111" s="118"/>
      <c r="F111" s="125">
        <v>0</v>
      </c>
      <c r="G111" s="125"/>
      <c r="H111" s="125"/>
      <c r="I111" s="125"/>
      <c r="J111" s="118">
        <f t="shared" ref="J111" si="76">L111+O111</f>
        <v>0</v>
      </c>
      <c r="K111" s="125"/>
      <c r="L111" s="125"/>
      <c r="M111" s="125"/>
      <c r="N111" s="125"/>
      <c r="O111" s="123">
        <f t="shared" ref="O111" si="77">K111</f>
        <v>0</v>
      </c>
      <c r="P111" s="118">
        <f>E111+J111</f>
        <v>0</v>
      </c>
      <c r="Q111" s="28"/>
      <c r="R111" s="24"/>
    </row>
    <row r="112" spans="1:18" s="31" customFormat="1" ht="47.25" hidden="1" thickTop="1" thickBot="1" x14ac:dyDescent="0.25">
      <c r="A112" s="127" t="s">
        <v>1104</v>
      </c>
      <c r="B112" s="127" t="s">
        <v>1066</v>
      </c>
      <c r="C112" s="127"/>
      <c r="D112" s="127" t="s">
        <v>1064</v>
      </c>
      <c r="E112" s="128">
        <f t="shared" ref="E112:P112" si="78">E113</f>
        <v>0</v>
      </c>
      <c r="F112" s="128">
        <f t="shared" si="78"/>
        <v>0</v>
      </c>
      <c r="G112" s="128">
        <f t="shared" si="78"/>
        <v>0</v>
      </c>
      <c r="H112" s="128">
        <f t="shared" si="78"/>
        <v>0</v>
      </c>
      <c r="I112" s="128">
        <f t="shared" si="78"/>
        <v>0</v>
      </c>
      <c r="J112" s="128">
        <f t="shared" si="78"/>
        <v>0</v>
      </c>
      <c r="K112" s="128">
        <f t="shared" si="78"/>
        <v>0</v>
      </c>
      <c r="L112" s="128">
        <f t="shared" si="78"/>
        <v>0</v>
      </c>
      <c r="M112" s="128">
        <f t="shared" si="78"/>
        <v>0</v>
      </c>
      <c r="N112" s="128">
        <f t="shared" si="78"/>
        <v>0</v>
      </c>
      <c r="O112" s="128">
        <f t="shared" si="78"/>
        <v>0</v>
      </c>
      <c r="P112" s="128">
        <f t="shared" si="78"/>
        <v>0</v>
      </c>
      <c r="Q112" s="28"/>
      <c r="R112" s="24"/>
    </row>
    <row r="113" spans="1:18" s="31" customFormat="1" ht="48" hidden="1" thickTop="1" thickBot="1" x14ac:dyDescent="0.25">
      <c r="A113" s="119" t="s">
        <v>1105</v>
      </c>
      <c r="B113" s="119" t="s">
        <v>1070</v>
      </c>
      <c r="C113" s="119" t="s">
        <v>1068</v>
      </c>
      <c r="D113" s="119" t="s">
        <v>1067</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952</v>
      </c>
      <c r="B114" s="137" t="s">
        <v>669</v>
      </c>
      <c r="C114" s="137"/>
      <c r="D114" s="137" t="s">
        <v>670</v>
      </c>
      <c r="E114" s="40">
        <f>E115</f>
        <v>0</v>
      </c>
      <c r="F114" s="40">
        <f t="shared" ref="F114:P115" si="79">F115</f>
        <v>0</v>
      </c>
      <c r="G114" s="40">
        <f t="shared" si="79"/>
        <v>0</v>
      </c>
      <c r="H114" s="40">
        <f t="shared" si="79"/>
        <v>0</v>
      </c>
      <c r="I114" s="40">
        <f t="shared" si="79"/>
        <v>0</v>
      </c>
      <c r="J114" s="40">
        <f t="shared" si="79"/>
        <v>0</v>
      </c>
      <c r="K114" s="40">
        <f t="shared" si="79"/>
        <v>0</v>
      </c>
      <c r="L114" s="40">
        <f t="shared" si="79"/>
        <v>0</v>
      </c>
      <c r="M114" s="40">
        <f t="shared" si="79"/>
        <v>0</v>
      </c>
      <c r="N114" s="40">
        <f t="shared" si="79"/>
        <v>0</v>
      </c>
      <c r="O114" s="40">
        <f t="shared" si="79"/>
        <v>0</v>
      </c>
      <c r="P114" s="40">
        <f t="shared" si="79"/>
        <v>0</v>
      </c>
      <c r="Q114" s="34"/>
      <c r="R114" s="24"/>
    </row>
    <row r="115" spans="1:18" s="31" customFormat="1" ht="91.5" hidden="1" thickTop="1" thickBot="1" x14ac:dyDescent="0.25">
      <c r="A115" s="138" t="s">
        <v>953</v>
      </c>
      <c r="B115" s="138" t="s">
        <v>672</v>
      </c>
      <c r="C115" s="138"/>
      <c r="D115" s="138" t="s">
        <v>673</v>
      </c>
      <c r="E115" s="139">
        <f>E116</f>
        <v>0</v>
      </c>
      <c r="F115" s="139">
        <f t="shared" si="79"/>
        <v>0</v>
      </c>
      <c r="G115" s="139">
        <f t="shared" si="79"/>
        <v>0</v>
      </c>
      <c r="H115" s="139">
        <f t="shared" si="79"/>
        <v>0</v>
      </c>
      <c r="I115" s="139">
        <f t="shared" si="79"/>
        <v>0</v>
      </c>
      <c r="J115" s="139">
        <f t="shared" si="79"/>
        <v>0</v>
      </c>
      <c r="K115" s="139">
        <f t="shared" si="79"/>
        <v>0</v>
      </c>
      <c r="L115" s="139">
        <f t="shared" si="79"/>
        <v>0</v>
      </c>
      <c r="M115" s="139">
        <f t="shared" si="79"/>
        <v>0</v>
      </c>
      <c r="N115" s="139">
        <f t="shared" si="79"/>
        <v>0</v>
      </c>
      <c r="O115" s="139">
        <f t="shared" si="79"/>
        <v>0</v>
      </c>
      <c r="P115" s="139">
        <f t="shared" si="79"/>
        <v>0</v>
      </c>
      <c r="Q115" s="34"/>
      <c r="R115" s="24"/>
    </row>
    <row r="116" spans="1:18" s="31" customFormat="1" ht="48" hidden="1" thickTop="1" thickBot="1" x14ac:dyDescent="0.25">
      <c r="A116" s="39" t="s">
        <v>954</v>
      </c>
      <c r="B116" s="39" t="s">
        <v>353</v>
      </c>
      <c r="C116" s="39" t="s">
        <v>42</v>
      </c>
      <c r="D116" s="39" t="s">
        <v>354</v>
      </c>
      <c r="E116" s="40">
        <f t="shared" ref="E116" si="80">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4" t="s">
        <v>149</v>
      </c>
      <c r="B117" s="514"/>
      <c r="C117" s="514"/>
      <c r="D117" s="515" t="s">
        <v>18</v>
      </c>
      <c r="E117" s="516">
        <f>E118</f>
        <v>154157928</v>
      </c>
      <c r="F117" s="517">
        <f t="shared" ref="F117:G117" si="81">F118</f>
        <v>134667174</v>
      </c>
      <c r="G117" s="517">
        <f t="shared" si="81"/>
        <v>7121780</v>
      </c>
      <c r="H117" s="517">
        <f>H118</f>
        <v>353940</v>
      </c>
      <c r="I117" s="517">
        <f t="shared" ref="I117" si="82">I118</f>
        <v>19490754</v>
      </c>
      <c r="J117" s="516">
        <f>J118</f>
        <v>15000000</v>
      </c>
      <c r="K117" s="517">
        <f>K118</f>
        <v>15000000</v>
      </c>
      <c r="L117" s="517">
        <f>L118</f>
        <v>0</v>
      </c>
      <c r="M117" s="517">
        <f t="shared" ref="M117" si="83">M118</f>
        <v>0</v>
      </c>
      <c r="N117" s="517">
        <f>N118</f>
        <v>0</v>
      </c>
      <c r="O117" s="516">
        <f>O118</f>
        <v>15000000</v>
      </c>
      <c r="P117" s="517">
        <f>P118</f>
        <v>169157928</v>
      </c>
      <c r="Q117" s="18"/>
    </row>
    <row r="118" spans="1:18" ht="178.5" customHeight="1" thickTop="1" thickBot="1" x14ac:dyDescent="0.25">
      <c r="A118" s="511" t="s">
        <v>150</v>
      </c>
      <c r="B118" s="511"/>
      <c r="C118" s="511"/>
      <c r="D118" s="512" t="s">
        <v>35</v>
      </c>
      <c r="E118" s="513">
        <f>E119+E122+E138+E142+E148</f>
        <v>154157928</v>
      </c>
      <c r="F118" s="513">
        <f t="shared" ref="F118:P118" si="84">F119+F122+F138+F142+F148</f>
        <v>134667174</v>
      </c>
      <c r="G118" s="513">
        <f t="shared" si="84"/>
        <v>7121780</v>
      </c>
      <c r="H118" s="513">
        <f t="shared" si="84"/>
        <v>353940</v>
      </c>
      <c r="I118" s="513">
        <f t="shared" si="84"/>
        <v>19490754</v>
      </c>
      <c r="J118" s="513">
        <f t="shared" si="84"/>
        <v>15000000</v>
      </c>
      <c r="K118" s="513">
        <f t="shared" si="84"/>
        <v>15000000</v>
      </c>
      <c r="L118" s="513">
        <f t="shared" si="84"/>
        <v>0</v>
      </c>
      <c r="M118" s="513">
        <f t="shared" si="84"/>
        <v>0</v>
      </c>
      <c r="N118" s="513">
        <f t="shared" si="84"/>
        <v>0</v>
      </c>
      <c r="O118" s="513">
        <f t="shared" si="84"/>
        <v>15000000</v>
      </c>
      <c r="P118" s="513">
        <f t="shared" si="84"/>
        <v>169157928</v>
      </c>
      <c r="Q118" s="597" t="b">
        <f>P118=P120+P123+P124+P125+P126+P129+P133+P134+P137+P141+P140</f>
        <v>1</v>
      </c>
      <c r="R118" s="24"/>
    </row>
    <row r="119" spans="1:18" ht="90.75" customHeight="1" thickTop="1" thickBot="1" x14ac:dyDescent="0.25">
      <c r="A119" s="239" t="s">
        <v>680</v>
      </c>
      <c r="B119" s="239" t="s">
        <v>652</v>
      </c>
      <c r="C119" s="239"/>
      <c r="D119" s="239" t="s">
        <v>653</v>
      </c>
      <c r="E119" s="501">
        <f>SUM(E120:E121)</f>
        <v>4657612</v>
      </c>
      <c r="F119" s="501">
        <f t="shared" ref="F119:P119" si="85">SUM(F120:F121)</f>
        <v>4657612</v>
      </c>
      <c r="G119" s="501">
        <f t="shared" si="85"/>
        <v>3571780</v>
      </c>
      <c r="H119" s="501">
        <f t="shared" si="85"/>
        <v>141740</v>
      </c>
      <c r="I119" s="501">
        <f t="shared" si="85"/>
        <v>0</v>
      </c>
      <c r="J119" s="501">
        <f t="shared" si="85"/>
        <v>0</v>
      </c>
      <c r="K119" s="501">
        <f t="shared" si="85"/>
        <v>0</v>
      </c>
      <c r="L119" s="501">
        <f t="shared" si="85"/>
        <v>0</v>
      </c>
      <c r="M119" s="501">
        <f t="shared" si="85"/>
        <v>0</v>
      </c>
      <c r="N119" s="501">
        <f t="shared" si="85"/>
        <v>0</v>
      </c>
      <c r="O119" s="501">
        <f t="shared" si="85"/>
        <v>0</v>
      </c>
      <c r="P119" s="501">
        <f t="shared" si="85"/>
        <v>4657612</v>
      </c>
      <c r="Q119" s="28"/>
      <c r="R119" s="24"/>
    </row>
    <row r="120" spans="1:18" ht="130.69999999999999" customHeight="1" thickTop="1" thickBot="1" x14ac:dyDescent="0.25">
      <c r="A120" s="94" t="s">
        <v>405</v>
      </c>
      <c r="B120" s="94" t="s">
        <v>231</v>
      </c>
      <c r="C120" s="94" t="s">
        <v>229</v>
      </c>
      <c r="D120" s="94" t="s">
        <v>1515</v>
      </c>
      <c r="E120" s="521">
        <f>F120+I120</f>
        <v>4657612</v>
      </c>
      <c r="F120" s="504">
        <v>4657612</v>
      </c>
      <c r="G120" s="504">
        <v>3571780</v>
      </c>
      <c r="H120" s="504">
        <v>141740</v>
      </c>
      <c r="I120" s="504"/>
      <c r="J120" s="501">
        <f t="shared" ref="J120:J150" si="86">L120+O120</f>
        <v>0</v>
      </c>
      <c r="K120" s="504"/>
      <c r="L120" s="504"/>
      <c r="M120" s="504"/>
      <c r="N120" s="504"/>
      <c r="O120" s="502">
        <f>K120</f>
        <v>0</v>
      </c>
      <c r="P120" s="501">
        <f t="shared" ref="P120:P150" si="87">E120+J120</f>
        <v>4657612</v>
      </c>
      <c r="Q120" s="37"/>
      <c r="R120" s="24"/>
    </row>
    <row r="121" spans="1:18" ht="93" hidden="1" thickTop="1" thickBot="1" x14ac:dyDescent="0.25">
      <c r="A121" s="119" t="s">
        <v>1127</v>
      </c>
      <c r="B121" s="119" t="s">
        <v>352</v>
      </c>
      <c r="C121" s="119" t="s">
        <v>598</v>
      </c>
      <c r="D121" s="119" t="s">
        <v>599</v>
      </c>
      <c r="E121" s="118">
        <f>F121</f>
        <v>0</v>
      </c>
      <c r="F121" s="125">
        <v>0</v>
      </c>
      <c r="G121" s="125"/>
      <c r="H121" s="125"/>
      <c r="I121" s="125"/>
      <c r="J121" s="118">
        <f t="shared" si="86"/>
        <v>0</v>
      </c>
      <c r="K121" s="125"/>
      <c r="L121" s="125"/>
      <c r="M121" s="125"/>
      <c r="N121" s="125"/>
      <c r="O121" s="123">
        <f>K121</f>
        <v>0</v>
      </c>
      <c r="P121" s="118">
        <f t="shared" si="87"/>
        <v>0</v>
      </c>
      <c r="Q121" s="37"/>
      <c r="R121" s="24"/>
    </row>
    <row r="122" spans="1:18" ht="90.75" customHeight="1" thickTop="1" thickBot="1" x14ac:dyDescent="0.25">
      <c r="A122" s="239" t="s">
        <v>681</v>
      </c>
      <c r="B122" s="239" t="s">
        <v>682</v>
      </c>
      <c r="C122" s="239"/>
      <c r="D122" s="239" t="s">
        <v>683</v>
      </c>
      <c r="E122" s="501">
        <f>SUM(E123:E137)-E128-E130-E132-E135</f>
        <v>148387316</v>
      </c>
      <c r="F122" s="501">
        <f t="shared" ref="F122:P122" si="88">SUM(F123:F137)-F128-F130-F132-F135</f>
        <v>128896562</v>
      </c>
      <c r="G122" s="501">
        <f t="shared" si="88"/>
        <v>3550000</v>
      </c>
      <c r="H122" s="501">
        <f t="shared" si="88"/>
        <v>212200</v>
      </c>
      <c r="I122" s="501">
        <f t="shared" si="88"/>
        <v>19490754</v>
      </c>
      <c r="J122" s="501">
        <f t="shared" si="88"/>
        <v>15000000</v>
      </c>
      <c r="K122" s="501">
        <f t="shared" si="88"/>
        <v>15000000</v>
      </c>
      <c r="L122" s="501">
        <f t="shared" si="88"/>
        <v>0</v>
      </c>
      <c r="M122" s="501">
        <f t="shared" si="88"/>
        <v>0</v>
      </c>
      <c r="N122" s="501">
        <f t="shared" si="88"/>
        <v>0</v>
      </c>
      <c r="O122" s="501">
        <f t="shared" si="88"/>
        <v>15000000</v>
      </c>
      <c r="P122" s="501">
        <f t="shared" si="88"/>
        <v>163387316</v>
      </c>
      <c r="Q122" s="37"/>
      <c r="R122" s="37"/>
    </row>
    <row r="123" spans="1:18" ht="101.25" customHeight="1" thickTop="1" thickBot="1" x14ac:dyDescent="0.25">
      <c r="A123" s="94" t="s">
        <v>209</v>
      </c>
      <c r="B123" s="94" t="s">
        <v>206</v>
      </c>
      <c r="C123" s="94" t="s">
        <v>210</v>
      </c>
      <c r="D123" s="94" t="s">
        <v>19</v>
      </c>
      <c r="E123" s="521">
        <f>F123+I123</f>
        <v>59730642</v>
      </c>
      <c r="F123" s="504">
        <f>(42522956-4515254)+2000000+621500+300000+206186+80000</f>
        <v>41215388</v>
      </c>
      <c r="G123" s="125"/>
      <c r="H123" s="125"/>
      <c r="I123" s="504">
        <f>(4515254+9000000)+5000000</f>
        <v>18515254</v>
      </c>
      <c r="J123" s="501">
        <f t="shared" si="86"/>
        <v>0</v>
      </c>
      <c r="K123" s="125"/>
      <c r="L123" s="125"/>
      <c r="M123" s="125"/>
      <c r="N123" s="125"/>
      <c r="O123" s="502">
        <f>K123</f>
        <v>0</v>
      </c>
      <c r="P123" s="501">
        <f t="shared" si="87"/>
        <v>59730642</v>
      </c>
      <c r="Q123" s="18"/>
      <c r="R123" s="28"/>
    </row>
    <row r="124" spans="1:18" ht="97.5" customHeight="1" thickTop="1" thickBot="1" x14ac:dyDescent="0.25">
      <c r="A124" s="94" t="s">
        <v>488</v>
      </c>
      <c r="B124" s="94" t="s">
        <v>491</v>
      </c>
      <c r="C124" s="94" t="s">
        <v>490</v>
      </c>
      <c r="D124" s="94" t="s">
        <v>489</v>
      </c>
      <c r="E124" s="521">
        <f>F124+I124</f>
        <v>17360700</v>
      </c>
      <c r="F124" s="504">
        <f>(10660700)+6700000</f>
        <v>17360700</v>
      </c>
      <c r="G124" s="125"/>
      <c r="H124" s="125"/>
      <c r="I124" s="125"/>
      <c r="J124" s="501">
        <f t="shared" si="86"/>
        <v>0</v>
      </c>
      <c r="K124" s="125"/>
      <c r="L124" s="125"/>
      <c r="M124" s="125"/>
      <c r="N124" s="125"/>
      <c r="O124" s="502">
        <f>K124</f>
        <v>0</v>
      </c>
      <c r="P124" s="501">
        <f t="shared" si="87"/>
        <v>17360700</v>
      </c>
      <c r="Q124" s="18"/>
      <c r="R124" s="37"/>
    </row>
    <row r="125" spans="1:18" ht="94.7" customHeight="1" thickTop="1" thickBot="1" x14ac:dyDescent="0.25">
      <c r="A125" s="94" t="s">
        <v>211</v>
      </c>
      <c r="B125" s="94" t="s">
        <v>212</v>
      </c>
      <c r="C125" s="94" t="s">
        <v>213</v>
      </c>
      <c r="D125" s="94" t="s">
        <v>214</v>
      </c>
      <c r="E125" s="521">
        <f>F125+I125</f>
        <v>12457450</v>
      </c>
      <c r="F125" s="504">
        <f>(12397450)+60000</f>
        <v>12457450</v>
      </c>
      <c r="G125" s="125"/>
      <c r="H125" s="125"/>
      <c r="I125" s="125"/>
      <c r="J125" s="501">
        <f t="shared" si="86"/>
        <v>0</v>
      </c>
      <c r="K125" s="125"/>
      <c r="L125" s="125"/>
      <c r="M125" s="125"/>
      <c r="N125" s="125"/>
      <c r="O125" s="502">
        <f>K125</f>
        <v>0</v>
      </c>
      <c r="P125" s="501">
        <f t="shared" si="87"/>
        <v>12457450</v>
      </c>
      <c r="Q125" s="18"/>
      <c r="R125" s="37"/>
    </row>
    <row r="126" spans="1:18" ht="122.25" customHeight="1" thickTop="1" thickBot="1" x14ac:dyDescent="0.25">
      <c r="A126" s="94" t="s">
        <v>215</v>
      </c>
      <c r="B126" s="94" t="s">
        <v>216</v>
      </c>
      <c r="C126" s="94" t="s">
        <v>217</v>
      </c>
      <c r="D126" s="94" t="s">
        <v>336</v>
      </c>
      <c r="E126" s="521">
        <f>F126+I126</f>
        <v>24176665</v>
      </c>
      <c r="F126" s="504">
        <f>(22841165)+360000</f>
        <v>23201165</v>
      </c>
      <c r="G126" s="125"/>
      <c r="H126" s="125"/>
      <c r="I126" s="504">
        <v>975500</v>
      </c>
      <c r="J126" s="501">
        <f t="shared" si="86"/>
        <v>0</v>
      </c>
      <c r="K126" s="125"/>
      <c r="L126" s="125"/>
      <c r="M126" s="125"/>
      <c r="N126" s="125"/>
      <c r="O126" s="502">
        <f>K126</f>
        <v>0</v>
      </c>
      <c r="P126" s="501">
        <f t="shared" si="87"/>
        <v>24176665</v>
      </c>
      <c r="Q126" s="18"/>
      <c r="R126" s="37"/>
    </row>
    <row r="127" spans="1:18" ht="48" hidden="1" thickTop="1" thickBot="1" x14ac:dyDescent="0.25">
      <c r="A127" s="119" t="s">
        <v>218</v>
      </c>
      <c r="B127" s="119" t="s">
        <v>219</v>
      </c>
      <c r="C127" s="119" t="s">
        <v>220</v>
      </c>
      <c r="D127" s="119" t="s">
        <v>221</v>
      </c>
      <c r="E127" s="118">
        <f t="shared" ref="E127:E147" si="89">F127</f>
        <v>0</v>
      </c>
      <c r="F127" s="125">
        <f>(7556300)-7556300</f>
        <v>0</v>
      </c>
      <c r="G127" s="125"/>
      <c r="H127" s="125"/>
      <c r="I127" s="125"/>
      <c r="J127" s="118">
        <f t="shared" si="86"/>
        <v>0</v>
      </c>
      <c r="K127" s="125">
        <f>(200000)-200000</f>
        <v>0</v>
      </c>
      <c r="L127" s="125"/>
      <c r="M127" s="125"/>
      <c r="N127" s="125"/>
      <c r="O127" s="123">
        <f>K127</f>
        <v>0</v>
      </c>
      <c r="P127" s="118">
        <f t="shared" si="87"/>
        <v>0</v>
      </c>
      <c r="Q127" s="18"/>
      <c r="R127" s="37"/>
    </row>
    <row r="128" spans="1:18" ht="95.25" customHeight="1" thickTop="1" thickBot="1" x14ac:dyDescent="0.25">
      <c r="A128" s="518" t="s">
        <v>684</v>
      </c>
      <c r="B128" s="518" t="s">
        <v>685</v>
      </c>
      <c r="C128" s="518"/>
      <c r="D128" s="518" t="s">
        <v>686</v>
      </c>
      <c r="E128" s="519">
        <f>E129</f>
        <v>24390259</v>
      </c>
      <c r="F128" s="519">
        <f t="shared" ref="F128:P128" si="90">F129</f>
        <v>24390259</v>
      </c>
      <c r="G128" s="519">
        <f t="shared" si="90"/>
        <v>0</v>
      </c>
      <c r="H128" s="519">
        <f t="shared" si="90"/>
        <v>0</v>
      </c>
      <c r="I128" s="519">
        <f t="shared" si="90"/>
        <v>0</v>
      </c>
      <c r="J128" s="519">
        <f t="shared" si="90"/>
        <v>0</v>
      </c>
      <c r="K128" s="519">
        <f t="shared" si="90"/>
        <v>0</v>
      </c>
      <c r="L128" s="519">
        <f t="shared" si="90"/>
        <v>0</v>
      </c>
      <c r="M128" s="519">
        <f t="shared" si="90"/>
        <v>0</v>
      </c>
      <c r="N128" s="519">
        <f t="shared" si="90"/>
        <v>0</v>
      </c>
      <c r="O128" s="519">
        <f t="shared" si="90"/>
        <v>0</v>
      </c>
      <c r="P128" s="519">
        <f t="shared" si="90"/>
        <v>24390259</v>
      </c>
      <c r="Q128" s="18"/>
      <c r="R128" s="37"/>
    </row>
    <row r="129" spans="1:18" ht="127.5" customHeight="1" thickTop="1" thickBot="1" x14ac:dyDescent="0.25">
      <c r="A129" s="94" t="s">
        <v>222</v>
      </c>
      <c r="B129" s="94" t="s">
        <v>223</v>
      </c>
      <c r="C129" s="94" t="s">
        <v>337</v>
      </c>
      <c r="D129" s="94" t="s">
        <v>224</v>
      </c>
      <c r="E129" s="521">
        <f>F129+I129</f>
        <v>24390259</v>
      </c>
      <c r="F129" s="504">
        <v>24390259</v>
      </c>
      <c r="G129" s="125"/>
      <c r="H129" s="125"/>
      <c r="I129" s="125"/>
      <c r="J129" s="501">
        <f t="shared" si="86"/>
        <v>0</v>
      </c>
      <c r="K129" s="125"/>
      <c r="L129" s="125"/>
      <c r="M129" s="125"/>
      <c r="N129" s="125"/>
      <c r="O129" s="502">
        <f t="shared" ref="O129:O150" si="91">K129</f>
        <v>0</v>
      </c>
      <c r="P129" s="501">
        <f t="shared" si="87"/>
        <v>24390259</v>
      </c>
      <c r="Q129" s="18"/>
      <c r="R129" s="37"/>
    </row>
    <row r="130" spans="1:18" ht="48" hidden="1" thickTop="1" thickBot="1" x14ac:dyDescent="0.25">
      <c r="A130" s="131" t="s">
        <v>687</v>
      </c>
      <c r="B130" s="131" t="s">
        <v>688</v>
      </c>
      <c r="C130" s="131"/>
      <c r="D130" s="131" t="s">
        <v>689</v>
      </c>
      <c r="E130" s="132">
        <f>E131</f>
        <v>0</v>
      </c>
      <c r="F130" s="132">
        <f t="shared" ref="F130:P130" si="92">F131</f>
        <v>0</v>
      </c>
      <c r="G130" s="132">
        <f t="shared" si="92"/>
        <v>0</v>
      </c>
      <c r="H130" s="132">
        <f t="shared" si="92"/>
        <v>0</v>
      </c>
      <c r="I130" s="132">
        <f t="shared" si="92"/>
        <v>0</v>
      </c>
      <c r="J130" s="136">
        <f t="shared" si="92"/>
        <v>0</v>
      </c>
      <c r="K130" s="136">
        <f t="shared" si="92"/>
        <v>0</v>
      </c>
      <c r="L130" s="136">
        <f t="shared" si="92"/>
        <v>0</v>
      </c>
      <c r="M130" s="136">
        <f t="shared" si="92"/>
        <v>0</v>
      </c>
      <c r="N130" s="136">
        <f t="shared" si="92"/>
        <v>0</v>
      </c>
      <c r="O130" s="136">
        <f t="shared" si="92"/>
        <v>0</v>
      </c>
      <c r="P130" s="136">
        <f t="shared" si="92"/>
        <v>0</v>
      </c>
      <c r="Q130" s="18"/>
      <c r="R130" s="37"/>
    </row>
    <row r="131" spans="1:18" ht="48" hidden="1" thickTop="1" thickBot="1" x14ac:dyDescent="0.25">
      <c r="A131" s="119" t="s">
        <v>459</v>
      </c>
      <c r="B131" s="119" t="s">
        <v>460</v>
      </c>
      <c r="C131" s="119" t="s">
        <v>225</v>
      </c>
      <c r="D131" s="119" t="s">
        <v>461</v>
      </c>
      <c r="E131" s="118">
        <f t="shared" si="89"/>
        <v>0</v>
      </c>
      <c r="F131" s="125">
        <v>0</v>
      </c>
      <c r="G131" s="125"/>
      <c r="H131" s="125"/>
      <c r="I131" s="125"/>
      <c r="J131" s="40">
        <f t="shared" si="86"/>
        <v>0</v>
      </c>
      <c r="K131" s="41"/>
      <c r="L131" s="41"/>
      <c r="M131" s="41"/>
      <c r="N131" s="41"/>
      <c r="O131" s="42">
        <f t="shared" si="91"/>
        <v>0</v>
      </c>
      <c r="P131" s="40">
        <f t="shared" si="87"/>
        <v>0</v>
      </c>
      <c r="Q131" s="18"/>
      <c r="R131" s="37"/>
    </row>
    <row r="132" spans="1:18" ht="85.7" customHeight="1" thickTop="1" thickBot="1" x14ac:dyDescent="0.25">
      <c r="A132" s="518" t="s">
        <v>690</v>
      </c>
      <c r="B132" s="518" t="s">
        <v>691</v>
      </c>
      <c r="C132" s="518"/>
      <c r="D132" s="518" t="s">
        <v>692</v>
      </c>
      <c r="E132" s="519">
        <f>SUM(E133:E134)</f>
        <v>10271600</v>
      </c>
      <c r="F132" s="519">
        <f t="shared" ref="F132:P132" si="93">SUM(F133:F134)</f>
        <v>10271600</v>
      </c>
      <c r="G132" s="519">
        <f t="shared" si="93"/>
        <v>3550000</v>
      </c>
      <c r="H132" s="519">
        <f t="shared" si="93"/>
        <v>212200</v>
      </c>
      <c r="I132" s="519">
        <f t="shared" si="93"/>
        <v>0</v>
      </c>
      <c r="J132" s="519">
        <f t="shared" si="93"/>
        <v>0</v>
      </c>
      <c r="K132" s="519">
        <f t="shared" si="93"/>
        <v>0</v>
      </c>
      <c r="L132" s="519">
        <f t="shared" si="93"/>
        <v>0</v>
      </c>
      <c r="M132" s="519">
        <f t="shared" si="93"/>
        <v>0</v>
      </c>
      <c r="N132" s="519">
        <f t="shared" si="93"/>
        <v>0</v>
      </c>
      <c r="O132" s="519">
        <f t="shared" si="93"/>
        <v>0</v>
      </c>
      <c r="P132" s="519">
        <f t="shared" si="93"/>
        <v>10271600</v>
      </c>
      <c r="Q132" s="18"/>
      <c r="R132" s="37"/>
    </row>
    <row r="133" spans="1:18" s="31" customFormat="1" ht="79.5" customHeight="1" thickTop="1" thickBot="1" x14ac:dyDescent="0.25">
      <c r="A133" s="94" t="s">
        <v>314</v>
      </c>
      <c r="B133" s="94" t="s">
        <v>316</v>
      </c>
      <c r="C133" s="94" t="s">
        <v>225</v>
      </c>
      <c r="D133" s="507" t="s">
        <v>312</v>
      </c>
      <c r="E133" s="521">
        <f t="shared" ref="E133:E134" si="94">F133+I133</f>
        <v>4771600</v>
      </c>
      <c r="F133" s="504">
        <v>4771600</v>
      </c>
      <c r="G133" s="504">
        <v>3550000</v>
      </c>
      <c r="H133" s="504">
        <v>212200</v>
      </c>
      <c r="I133" s="125"/>
      <c r="J133" s="501">
        <f t="shared" si="86"/>
        <v>0</v>
      </c>
      <c r="K133" s="125"/>
      <c r="L133" s="125"/>
      <c r="M133" s="125"/>
      <c r="N133" s="125"/>
      <c r="O133" s="502">
        <f t="shared" si="91"/>
        <v>0</v>
      </c>
      <c r="P133" s="501">
        <f t="shared" si="87"/>
        <v>4771600</v>
      </c>
      <c r="Q133" s="34"/>
      <c r="R133" s="24"/>
    </row>
    <row r="134" spans="1:18" s="31" customFormat="1" ht="91.5" customHeight="1" thickTop="1" thickBot="1" x14ac:dyDescent="0.25">
      <c r="A134" s="94" t="s">
        <v>315</v>
      </c>
      <c r="B134" s="94" t="s">
        <v>317</v>
      </c>
      <c r="C134" s="94" t="s">
        <v>225</v>
      </c>
      <c r="D134" s="507" t="s">
        <v>313</v>
      </c>
      <c r="E134" s="521">
        <f t="shared" si="94"/>
        <v>5500000</v>
      </c>
      <c r="F134" s="504">
        <v>5500000</v>
      </c>
      <c r="G134" s="125"/>
      <c r="H134" s="125"/>
      <c r="I134" s="125"/>
      <c r="J134" s="501">
        <f t="shared" si="86"/>
        <v>0</v>
      </c>
      <c r="K134" s="125"/>
      <c r="L134" s="125"/>
      <c r="M134" s="125"/>
      <c r="N134" s="125"/>
      <c r="O134" s="502">
        <f t="shared" si="91"/>
        <v>0</v>
      </c>
      <c r="P134" s="501">
        <f t="shared" si="87"/>
        <v>5500000</v>
      </c>
      <c r="Q134" s="34"/>
      <c r="R134" s="37"/>
    </row>
    <row r="135" spans="1:18" s="31" customFormat="1" ht="93" hidden="1" thickTop="1" thickBot="1" x14ac:dyDescent="0.25">
      <c r="A135" s="131" t="s">
        <v>1317</v>
      </c>
      <c r="B135" s="131" t="s">
        <v>1318</v>
      </c>
      <c r="C135" s="131"/>
      <c r="D135" s="131" t="s">
        <v>1316</v>
      </c>
      <c r="E135" s="132">
        <f>E136</f>
        <v>0</v>
      </c>
      <c r="F135" s="132">
        <f t="shared" ref="F135:P135" si="95">F136</f>
        <v>0</v>
      </c>
      <c r="G135" s="132">
        <f t="shared" si="95"/>
        <v>0</v>
      </c>
      <c r="H135" s="132">
        <f t="shared" si="95"/>
        <v>0</v>
      </c>
      <c r="I135" s="132">
        <f t="shared" si="95"/>
        <v>0</v>
      </c>
      <c r="J135" s="132">
        <f t="shared" si="95"/>
        <v>0</v>
      </c>
      <c r="K135" s="132">
        <f t="shared" si="95"/>
        <v>0</v>
      </c>
      <c r="L135" s="132">
        <f t="shared" si="95"/>
        <v>0</v>
      </c>
      <c r="M135" s="132">
        <f t="shared" si="95"/>
        <v>0</v>
      </c>
      <c r="N135" s="132">
        <f t="shared" si="95"/>
        <v>0</v>
      </c>
      <c r="O135" s="132">
        <f t="shared" si="95"/>
        <v>0</v>
      </c>
      <c r="P135" s="132">
        <f t="shared" si="95"/>
        <v>0</v>
      </c>
      <c r="Q135" s="34"/>
      <c r="R135" s="37"/>
    </row>
    <row r="136" spans="1:18" s="310" customFormat="1" ht="138.75" hidden="1" thickTop="1" thickBot="1" x14ac:dyDescent="0.25">
      <c r="A136" s="119" t="s">
        <v>1320</v>
      </c>
      <c r="B136" s="119" t="s">
        <v>1321</v>
      </c>
      <c r="C136" s="119" t="s">
        <v>225</v>
      </c>
      <c r="D136" s="277" t="s">
        <v>1319</v>
      </c>
      <c r="E136" s="118">
        <f t="shared" ref="E136" si="96">F136</f>
        <v>0</v>
      </c>
      <c r="F136" s="125"/>
      <c r="G136" s="125"/>
      <c r="H136" s="125"/>
      <c r="I136" s="125"/>
      <c r="J136" s="118">
        <f t="shared" ref="J136:J137" si="97">L136+O136</f>
        <v>0</v>
      </c>
      <c r="K136" s="125">
        <f>(2994000)-2994000</f>
        <v>0</v>
      </c>
      <c r="L136" s="125"/>
      <c r="M136" s="125"/>
      <c r="N136" s="125"/>
      <c r="O136" s="123">
        <f t="shared" ref="O136:O137" si="98">K136</f>
        <v>0</v>
      </c>
      <c r="P136" s="118">
        <f t="shared" ref="P136:P137" si="99">E136+J136</f>
        <v>0</v>
      </c>
      <c r="Q136" s="308"/>
      <c r="R136" s="309"/>
    </row>
    <row r="137" spans="1:18" s="310" customFormat="1" ht="144.75" customHeight="1" thickTop="1" thickBot="1" x14ac:dyDescent="0.25">
      <c r="A137" s="94" t="s">
        <v>1423</v>
      </c>
      <c r="B137" s="94" t="s">
        <v>1424</v>
      </c>
      <c r="C137" s="94" t="s">
        <v>225</v>
      </c>
      <c r="D137" s="94" t="s">
        <v>1587</v>
      </c>
      <c r="E137" s="118"/>
      <c r="F137" s="125"/>
      <c r="G137" s="125"/>
      <c r="H137" s="125"/>
      <c r="I137" s="125"/>
      <c r="J137" s="501">
        <f t="shared" si="97"/>
        <v>15000000</v>
      </c>
      <c r="K137" s="504">
        <v>15000000</v>
      </c>
      <c r="L137" s="125"/>
      <c r="M137" s="125"/>
      <c r="N137" s="125"/>
      <c r="O137" s="502">
        <f t="shared" si="98"/>
        <v>15000000</v>
      </c>
      <c r="P137" s="501">
        <f t="shared" si="99"/>
        <v>15000000</v>
      </c>
      <c r="Q137" s="308"/>
      <c r="R137" s="309"/>
    </row>
    <row r="138" spans="1:18" s="31" customFormat="1" ht="140.25" customHeight="1" thickTop="1" thickBot="1" x14ac:dyDescent="0.25">
      <c r="A138" s="239" t="s">
        <v>1078</v>
      </c>
      <c r="B138" s="239" t="s">
        <v>678</v>
      </c>
      <c r="C138" s="239"/>
      <c r="D138" s="239" t="s">
        <v>679</v>
      </c>
      <c r="E138" s="501">
        <f>SUM(E139:E141)-E139</f>
        <v>1113000</v>
      </c>
      <c r="F138" s="501">
        <f t="shared" ref="F138:P138" si="100">SUM(F139:F141)-F139</f>
        <v>1113000</v>
      </c>
      <c r="G138" s="501">
        <f t="shared" si="100"/>
        <v>0</v>
      </c>
      <c r="H138" s="501">
        <f t="shared" si="100"/>
        <v>0</v>
      </c>
      <c r="I138" s="501">
        <f t="shared" si="100"/>
        <v>0</v>
      </c>
      <c r="J138" s="501">
        <f t="shared" si="100"/>
        <v>0</v>
      </c>
      <c r="K138" s="501">
        <f t="shared" si="100"/>
        <v>0</v>
      </c>
      <c r="L138" s="501">
        <f t="shared" si="100"/>
        <v>0</v>
      </c>
      <c r="M138" s="501">
        <f t="shared" si="100"/>
        <v>0</v>
      </c>
      <c r="N138" s="501">
        <f t="shared" si="100"/>
        <v>0</v>
      </c>
      <c r="O138" s="501">
        <f t="shared" si="100"/>
        <v>0</v>
      </c>
      <c r="P138" s="501">
        <f t="shared" si="100"/>
        <v>1113000</v>
      </c>
      <c r="Q138" s="34"/>
      <c r="R138" s="37"/>
    </row>
    <row r="139" spans="1:18" s="31" customFormat="1" ht="116.25" customHeight="1" thickTop="1" thickBot="1" x14ac:dyDescent="0.25">
      <c r="A139" s="518" t="s">
        <v>1445</v>
      </c>
      <c r="B139" s="518" t="s">
        <v>702</v>
      </c>
      <c r="C139" s="518"/>
      <c r="D139" s="518" t="s">
        <v>703</v>
      </c>
      <c r="E139" s="519">
        <f>E140</f>
        <v>924000</v>
      </c>
      <c r="F139" s="519">
        <f t="shared" ref="F139:P139" si="101">F140</f>
        <v>924000</v>
      </c>
      <c r="G139" s="519">
        <f t="shared" si="101"/>
        <v>0</v>
      </c>
      <c r="H139" s="519">
        <f t="shared" si="101"/>
        <v>0</v>
      </c>
      <c r="I139" s="519">
        <f t="shared" si="101"/>
        <v>0</v>
      </c>
      <c r="J139" s="519">
        <f t="shared" si="101"/>
        <v>0</v>
      </c>
      <c r="K139" s="519">
        <f t="shared" si="101"/>
        <v>0</v>
      </c>
      <c r="L139" s="519">
        <f t="shared" si="101"/>
        <v>0</v>
      </c>
      <c r="M139" s="519">
        <f t="shared" si="101"/>
        <v>0</v>
      </c>
      <c r="N139" s="519">
        <f t="shared" si="101"/>
        <v>0</v>
      </c>
      <c r="O139" s="519">
        <f t="shared" si="101"/>
        <v>0</v>
      </c>
      <c r="P139" s="519">
        <f t="shared" si="101"/>
        <v>924000</v>
      </c>
      <c r="Q139" s="34"/>
      <c r="R139" s="37"/>
    </row>
    <row r="140" spans="1:18" s="31" customFormat="1" ht="165" customHeight="1" thickTop="1" thickBot="1" x14ac:dyDescent="0.25">
      <c r="A140" s="94" t="s">
        <v>1446</v>
      </c>
      <c r="B140" s="94" t="s">
        <v>1412</v>
      </c>
      <c r="C140" s="94" t="s">
        <v>200</v>
      </c>
      <c r="D140" s="507" t="s">
        <v>1413</v>
      </c>
      <c r="E140" s="521">
        <f t="shared" ref="E140:E141" si="102">F140+I140</f>
        <v>924000</v>
      </c>
      <c r="F140" s="504">
        <v>924000</v>
      </c>
      <c r="G140" s="520"/>
      <c r="H140" s="520"/>
      <c r="I140" s="504"/>
      <c r="J140" s="501">
        <f t="shared" ref="J140:J141" si="103">L140+O140</f>
        <v>0</v>
      </c>
      <c r="K140" s="504"/>
      <c r="L140" s="504"/>
      <c r="M140" s="504"/>
      <c r="N140" s="504"/>
      <c r="O140" s="502"/>
      <c r="P140" s="501">
        <f t="shared" ref="P140:P141" si="104">E140+J140</f>
        <v>924000</v>
      </c>
      <c r="Q140" s="34"/>
      <c r="R140" s="37"/>
    </row>
    <row r="141" spans="1:18" s="31" customFormat="1" ht="143.44999999999999" customHeight="1" thickTop="1" thickBot="1" x14ac:dyDescent="0.25">
      <c r="A141" s="94" t="s">
        <v>1079</v>
      </c>
      <c r="B141" s="94" t="s">
        <v>1080</v>
      </c>
      <c r="C141" s="94" t="s">
        <v>201</v>
      </c>
      <c r="D141" s="507" t="s">
        <v>1434</v>
      </c>
      <c r="E141" s="521">
        <f t="shared" si="102"/>
        <v>189000</v>
      </c>
      <c r="F141" s="504">
        <v>189000</v>
      </c>
      <c r="G141" s="125"/>
      <c r="H141" s="125"/>
      <c r="I141" s="125"/>
      <c r="J141" s="501">
        <f t="shared" si="103"/>
        <v>0</v>
      </c>
      <c r="K141" s="125"/>
      <c r="L141" s="125"/>
      <c r="M141" s="125"/>
      <c r="N141" s="125"/>
      <c r="O141" s="502">
        <f t="shared" ref="O141" si="105">K141</f>
        <v>0</v>
      </c>
      <c r="P141" s="501">
        <f t="shared" si="104"/>
        <v>189000</v>
      </c>
      <c r="Q141" s="34"/>
      <c r="R141" s="37"/>
    </row>
    <row r="142" spans="1:18" s="31" customFormat="1" ht="100.5" hidden="1" customHeight="1" thickTop="1" thickBot="1" x14ac:dyDescent="0.25">
      <c r="A142" s="116" t="s">
        <v>1425</v>
      </c>
      <c r="B142" s="116" t="s">
        <v>713</v>
      </c>
      <c r="C142" s="116"/>
      <c r="D142" s="116" t="s">
        <v>757</v>
      </c>
      <c r="E142" s="118">
        <f>E145</f>
        <v>0</v>
      </c>
      <c r="F142" s="118">
        <f t="shared" ref="F142:P142" si="106">F145</f>
        <v>0</v>
      </c>
      <c r="G142" s="118">
        <f t="shared" si="106"/>
        <v>0</v>
      </c>
      <c r="H142" s="118">
        <f t="shared" si="106"/>
        <v>0</v>
      </c>
      <c r="I142" s="118">
        <f t="shared" si="106"/>
        <v>0</v>
      </c>
      <c r="J142" s="118">
        <f t="shared" si="106"/>
        <v>0</v>
      </c>
      <c r="K142" s="118">
        <f t="shared" si="106"/>
        <v>0</v>
      </c>
      <c r="L142" s="118">
        <f t="shared" si="106"/>
        <v>0</v>
      </c>
      <c r="M142" s="118">
        <f t="shared" si="106"/>
        <v>0</v>
      </c>
      <c r="N142" s="118">
        <f t="shared" si="106"/>
        <v>0</v>
      </c>
      <c r="O142" s="118">
        <f t="shared" si="106"/>
        <v>0</v>
      </c>
      <c r="P142" s="118">
        <f t="shared" si="106"/>
        <v>0</v>
      </c>
      <c r="Q142" s="34"/>
      <c r="R142" s="37"/>
    </row>
    <row r="143" spans="1:18" s="31" customFormat="1" ht="48" hidden="1" thickTop="1" thickBot="1" x14ac:dyDescent="0.25">
      <c r="A143" s="135" t="s">
        <v>975</v>
      </c>
      <c r="B143" s="135" t="s">
        <v>974</v>
      </c>
      <c r="C143" s="135"/>
      <c r="D143" s="135" t="s">
        <v>973</v>
      </c>
      <c r="E143" s="136">
        <f>E144</f>
        <v>0</v>
      </c>
      <c r="F143" s="136">
        <f t="shared" ref="F143:P143" si="107">F144</f>
        <v>0</v>
      </c>
      <c r="G143" s="136">
        <f t="shared" si="107"/>
        <v>0</v>
      </c>
      <c r="H143" s="136">
        <f t="shared" si="107"/>
        <v>0</v>
      </c>
      <c r="I143" s="136">
        <f t="shared" si="107"/>
        <v>0</v>
      </c>
      <c r="J143" s="136">
        <f t="shared" si="107"/>
        <v>0</v>
      </c>
      <c r="K143" s="136">
        <f t="shared" si="107"/>
        <v>0</v>
      </c>
      <c r="L143" s="136">
        <f t="shared" si="107"/>
        <v>0</v>
      </c>
      <c r="M143" s="136">
        <f t="shared" si="107"/>
        <v>0</v>
      </c>
      <c r="N143" s="136">
        <f t="shared" si="107"/>
        <v>0</v>
      </c>
      <c r="O143" s="136">
        <f t="shared" si="107"/>
        <v>0</v>
      </c>
      <c r="P143" s="136">
        <f t="shared" si="107"/>
        <v>0</v>
      </c>
      <c r="Q143" s="34"/>
      <c r="R143" s="37"/>
    </row>
    <row r="144" spans="1:18" s="31" customFormat="1" ht="93" hidden="1" thickTop="1" thickBot="1" x14ac:dyDescent="0.25">
      <c r="A144" s="39" t="s">
        <v>976</v>
      </c>
      <c r="B144" s="39" t="s">
        <v>977</v>
      </c>
      <c r="C144" s="39" t="s">
        <v>165</v>
      </c>
      <c r="D144" s="39" t="s">
        <v>978</v>
      </c>
      <c r="E144" s="40">
        <f t="shared" si="89"/>
        <v>0</v>
      </c>
      <c r="F144" s="41"/>
      <c r="G144" s="41"/>
      <c r="H144" s="41"/>
      <c r="I144" s="41"/>
      <c r="J144" s="40">
        <f t="shared" si="86"/>
        <v>0</v>
      </c>
      <c r="K144" s="41"/>
      <c r="L144" s="41"/>
      <c r="M144" s="41"/>
      <c r="N144" s="41"/>
      <c r="O144" s="42">
        <f>K144</f>
        <v>0</v>
      </c>
      <c r="P144" s="40">
        <f t="shared" si="87"/>
        <v>0</v>
      </c>
      <c r="Q144" s="34"/>
      <c r="R144" s="24"/>
    </row>
    <row r="145" spans="1:20" s="26" customFormat="1" ht="84.75" hidden="1" customHeight="1" thickTop="1" thickBot="1" x14ac:dyDescent="0.25">
      <c r="A145" s="127" t="s">
        <v>693</v>
      </c>
      <c r="B145" s="127" t="s">
        <v>659</v>
      </c>
      <c r="C145" s="127"/>
      <c r="D145" s="127" t="s">
        <v>657</v>
      </c>
      <c r="E145" s="128">
        <f>E146</f>
        <v>0</v>
      </c>
      <c r="F145" s="128">
        <f t="shared" ref="F145:P145" si="108">F146</f>
        <v>0</v>
      </c>
      <c r="G145" s="128">
        <f t="shared" si="108"/>
        <v>0</v>
      </c>
      <c r="H145" s="128">
        <f t="shared" si="108"/>
        <v>0</v>
      </c>
      <c r="I145" s="128">
        <f t="shared" si="108"/>
        <v>0</v>
      </c>
      <c r="J145" s="128">
        <f t="shared" si="108"/>
        <v>0</v>
      </c>
      <c r="K145" s="128">
        <f t="shared" si="108"/>
        <v>0</v>
      </c>
      <c r="L145" s="128">
        <f t="shared" si="108"/>
        <v>0</v>
      </c>
      <c r="M145" s="128">
        <f t="shared" si="108"/>
        <v>0</v>
      </c>
      <c r="N145" s="128">
        <f t="shared" si="108"/>
        <v>0</v>
      </c>
      <c r="O145" s="128">
        <f t="shared" si="108"/>
        <v>0</v>
      </c>
      <c r="P145" s="128">
        <f t="shared" si="108"/>
        <v>0</v>
      </c>
      <c r="Q145" s="140"/>
      <c r="R145" s="38"/>
    </row>
    <row r="146" spans="1:20" s="26" customFormat="1" ht="48" hidden="1" thickTop="1" thickBot="1" x14ac:dyDescent="0.25">
      <c r="A146" s="119" t="s">
        <v>1126</v>
      </c>
      <c r="B146" s="119" t="s">
        <v>207</v>
      </c>
      <c r="C146" s="119" t="s">
        <v>208</v>
      </c>
      <c r="D146" s="119" t="s">
        <v>40</v>
      </c>
      <c r="E146" s="118"/>
      <c r="F146" s="125"/>
      <c r="G146" s="125"/>
      <c r="H146" s="125"/>
      <c r="I146" s="125"/>
      <c r="J146" s="118">
        <f t="shared" ref="J146" si="109">L146+O146</f>
        <v>0</v>
      </c>
      <c r="K146" s="125"/>
      <c r="L146" s="125"/>
      <c r="M146" s="125"/>
      <c r="N146" s="125"/>
      <c r="O146" s="123">
        <f t="shared" ref="O146" si="110">K146</f>
        <v>0</v>
      </c>
      <c r="P146" s="118">
        <f t="shared" si="87"/>
        <v>0</v>
      </c>
      <c r="Q146" s="140"/>
      <c r="R146" s="38"/>
    </row>
    <row r="147" spans="1:20" s="31" customFormat="1" ht="48" hidden="1" thickTop="1" thickBot="1" x14ac:dyDescent="0.25">
      <c r="A147" s="39" t="s">
        <v>424</v>
      </c>
      <c r="B147" s="39" t="s">
        <v>192</v>
      </c>
      <c r="C147" s="39" t="s">
        <v>165</v>
      </c>
      <c r="D147" s="39" t="s">
        <v>33</v>
      </c>
      <c r="E147" s="40">
        <f t="shared" si="89"/>
        <v>0</v>
      </c>
      <c r="F147" s="41"/>
      <c r="G147" s="41"/>
      <c r="H147" s="41"/>
      <c r="I147" s="41"/>
      <c r="J147" s="40">
        <f t="shared" si="86"/>
        <v>0</v>
      </c>
      <c r="K147" s="41"/>
      <c r="L147" s="41"/>
      <c r="M147" s="41"/>
      <c r="N147" s="41"/>
      <c r="O147" s="42">
        <f t="shared" si="91"/>
        <v>0</v>
      </c>
      <c r="P147" s="40">
        <f t="shared" si="87"/>
        <v>0</v>
      </c>
      <c r="Q147" s="34"/>
      <c r="R147" s="24"/>
    </row>
    <row r="148" spans="1:20" s="31" customFormat="1" ht="90.75" hidden="1" customHeight="1" thickTop="1" thickBot="1" x14ac:dyDescent="0.25">
      <c r="A148" s="116" t="s">
        <v>1464</v>
      </c>
      <c r="B148" s="116" t="s">
        <v>669</v>
      </c>
      <c r="C148" s="116"/>
      <c r="D148" s="116" t="s">
        <v>670</v>
      </c>
      <c r="E148" s="118">
        <f>E149</f>
        <v>0</v>
      </c>
      <c r="F148" s="118">
        <f t="shared" ref="F148:P149" si="111">F149</f>
        <v>0</v>
      </c>
      <c r="G148" s="118">
        <f t="shared" si="111"/>
        <v>0</v>
      </c>
      <c r="H148" s="118">
        <f t="shared" si="111"/>
        <v>0</v>
      </c>
      <c r="I148" s="118">
        <f t="shared" si="111"/>
        <v>0</v>
      </c>
      <c r="J148" s="118">
        <f t="shared" si="111"/>
        <v>0</v>
      </c>
      <c r="K148" s="118">
        <f t="shared" si="111"/>
        <v>0</v>
      </c>
      <c r="L148" s="118">
        <f t="shared" si="111"/>
        <v>0</v>
      </c>
      <c r="M148" s="118">
        <f t="shared" si="111"/>
        <v>0</v>
      </c>
      <c r="N148" s="118">
        <f t="shared" si="111"/>
        <v>0</v>
      </c>
      <c r="O148" s="118">
        <f t="shared" si="111"/>
        <v>0</v>
      </c>
      <c r="P148" s="118">
        <f t="shared" si="111"/>
        <v>0</v>
      </c>
      <c r="Q148" s="34"/>
      <c r="R148" s="24"/>
    </row>
    <row r="149" spans="1:20" s="31" customFormat="1" ht="107.45" hidden="1" customHeight="1" thickTop="1" thickBot="1" x14ac:dyDescent="0.25">
      <c r="A149" s="127" t="s">
        <v>1465</v>
      </c>
      <c r="B149" s="127" t="s">
        <v>672</v>
      </c>
      <c r="C149" s="127"/>
      <c r="D149" s="127" t="s">
        <v>673</v>
      </c>
      <c r="E149" s="128">
        <f>E150</f>
        <v>0</v>
      </c>
      <c r="F149" s="128">
        <f t="shared" si="111"/>
        <v>0</v>
      </c>
      <c r="G149" s="128">
        <f t="shared" si="111"/>
        <v>0</v>
      </c>
      <c r="H149" s="128">
        <f t="shared" si="111"/>
        <v>0</v>
      </c>
      <c r="I149" s="128">
        <f t="shared" si="111"/>
        <v>0</v>
      </c>
      <c r="J149" s="128">
        <f t="shared" si="111"/>
        <v>0</v>
      </c>
      <c r="K149" s="128">
        <f t="shared" si="111"/>
        <v>0</v>
      </c>
      <c r="L149" s="128">
        <f t="shared" si="111"/>
        <v>0</v>
      </c>
      <c r="M149" s="128">
        <f t="shared" si="111"/>
        <v>0</v>
      </c>
      <c r="N149" s="128">
        <f t="shared" si="111"/>
        <v>0</v>
      </c>
      <c r="O149" s="128">
        <f t="shared" si="111"/>
        <v>0</v>
      </c>
      <c r="P149" s="128">
        <f t="shared" si="111"/>
        <v>0</v>
      </c>
      <c r="Q149" s="34"/>
      <c r="R149" s="24"/>
    </row>
    <row r="150" spans="1:20" s="31" customFormat="1" ht="98.45" hidden="1" customHeight="1" thickTop="1" thickBot="1" x14ac:dyDescent="0.25">
      <c r="A150" s="119" t="s">
        <v>492</v>
      </c>
      <c r="B150" s="119" t="s">
        <v>353</v>
      </c>
      <c r="C150" s="119" t="s">
        <v>42</v>
      </c>
      <c r="D150" s="119" t="s">
        <v>354</v>
      </c>
      <c r="E150" s="118"/>
      <c r="F150" s="125"/>
      <c r="G150" s="125"/>
      <c r="H150" s="125"/>
      <c r="I150" s="125"/>
      <c r="J150" s="118">
        <f t="shared" si="86"/>
        <v>0</v>
      </c>
      <c r="K150" s="125"/>
      <c r="L150" s="125"/>
      <c r="M150" s="125"/>
      <c r="N150" s="125"/>
      <c r="O150" s="123">
        <f t="shared" si="91"/>
        <v>0</v>
      </c>
      <c r="P150" s="118">
        <f t="shared" si="87"/>
        <v>0</v>
      </c>
      <c r="Q150" s="34"/>
      <c r="R150" s="28"/>
    </row>
    <row r="151" spans="1:20" ht="147" customHeight="1" thickTop="1" thickBot="1" x14ac:dyDescent="0.25">
      <c r="A151" s="514" t="s">
        <v>151</v>
      </c>
      <c r="B151" s="514"/>
      <c r="C151" s="514"/>
      <c r="D151" s="515" t="s">
        <v>36</v>
      </c>
      <c r="E151" s="516">
        <f>E152</f>
        <v>620611123.43000007</v>
      </c>
      <c r="F151" s="517">
        <f t="shared" ref="F151:G151" si="112">F152</f>
        <v>578526880</v>
      </c>
      <c r="G151" s="517">
        <f t="shared" si="112"/>
        <v>153421469</v>
      </c>
      <c r="H151" s="517">
        <f>H152</f>
        <v>6771907</v>
      </c>
      <c r="I151" s="517">
        <f t="shared" ref="I151" si="113">I152</f>
        <v>42084243.43</v>
      </c>
      <c r="J151" s="516">
        <f>J152</f>
        <v>68123548</v>
      </c>
      <c r="K151" s="517">
        <f>K152</f>
        <v>51799985</v>
      </c>
      <c r="L151" s="517">
        <f>L152</f>
        <v>16273563</v>
      </c>
      <c r="M151" s="517">
        <f t="shared" ref="M151" si="114">M152</f>
        <v>6279771</v>
      </c>
      <c r="N151" s="517">
        <f>N152</f>
        <v>1624000</v>
      </c>
      <c r="O151" s="516">
        <f>O152</f>
        <v>51849985</v>
      </c>
      <c r="P151" s="517">
        <f>P152</f>
        <v>688734671.43000007</v>
      </c>
      <c r="Q151" s="517">
        <f>O152-K152</f>
        <v>50000</v>
      </c>
    </row>
    <row r="152" spans="1:20" ht="159" customHeight="1" thickTop="1" thickBot="1" x14ac:dyDescent="0.25">
      <c r="A152" s="511" t="s">
        <v>152</v>
      </c>
      <c r="B152" s="511"/>
      <c r="C152" s="511"/>
      <c r="D152" s="512" t="s">
        <v>37</v>
      </c>
      <c r="E152" s="513">
        <f>E153+E157+E203+E207</f>
        <v>620611123.43000007</v>
      </c>
      <c r="F152" s="513">
        <f>F153+F157+F203+F207</f>
        <v>578526880</v>
      </c>
      <c r="G152" s="513">
        <f>G153+G157+G203+G207</f>
        <v>153421469</v>
      </c>
      <c r="H152" s="513">
        <f>H153+H157+H203+H207</f>
        <v>6771907</v>
      </c>
      <c r="I152" s="513">
        <f>I153+I157+I203+I207</f>
        <v>42084243.43</v>
      </c>
      <c r="J152" s="513">
        <f t="shared" ref="J152:J181" si="115">L152+O152</f>
        <v>68123548</v>
      </c>
      <c r="K152" s="513">
        <f>K153+K157+K203+K207</f>
        <v>51799985</v>
      </c>
      <c r="L152" s="513">
        <f>L153+L157+L203+L207</f>
        <v>16273563</v>
      </c>
      <c r="M152" s="513">
        <f>M153+M157+M203+M207</f>
        <v>6279771</v>
      </c>
      <c r="N152" s="513">
        <f>N153+N157+N203+N207</f>
        <v>1624000</v>
      </c>
      <c r="O152" s="513">
        <f>O153+O157+O203+O207</f>
        <v>51849985</v>
      </c>
      <c r="P152" s="513">
        <f>E152+J152</f>
        <v>688734671.43000007</v>
      </c>
      <c r="Q152" s="546" t="b">
        <f>P152=P154+P156+P159+P160+P161+P162+P163+P164+P165+P166+P168+P169+P171+P173+P174+P175+P177+P178+P180+P197+P181+P199+P200+P201+P202+P209</f>
        <v>1</v>
      </c>
      <c r="R152" s="44"/>
      <c r="S152" s="44"/>
      <c r="T152" s="43"/>
    </row>
    <row r="153" spans="1:20" ht="87.75" customHeight="1" thickTop="1" thickBot="1" x14ac:dyDescent="0.25">
      <c r="A153" s="483" t="s">
        <v>694</v>
      </c>
      <c r="B153" s="483" t="s">
        <v>652</v>
      </c>
      <c r="C153" s="483"/>
      <c r="D153" s="483" t="s">
        <v>653</v>
      </c>
      <c r="E153" s="501">
        <f>SUM(E154:E156)</f>
        <v>69582159</v>
      </c>
      <c r="F153" s="501">
        <f t="shared" ref="F153:P153" si="116">SUM(F154:F156)</f>
        <v>69582159</v>
      </c>
      <c r="G153" s="501">
        <f t="shared" si="116"/>
        <v>53958953</v>
      </c>
      <c r="H153" s="501">
        <f t="shared" si="116"/>
        <v>2424443</v>
      </c>
      <c r="I153" s="501">
        <f t="shared" si="116"/>
        <v>0</v>
      </c>
      <c r="J153" s="501">
        <f t="shared" si="116"/>
        <v>0</v>
      </c>
      <c r="K153" s="501">
        <f t="shared" si="116"/>
        <v>0</v>
      </c>
      <c r="L153" s="501">
        <f t="shared" si="116"/>
        <v>0</v>
      </c>
      <c r="M153" s="501">
        <f t="shared" si="116"/>
        <v>0</v>
      </c>
      <c r="N153" s="501">
        <f t="shared" si="116"/>
        <v>0</v>
      </c>
      <c r="O153" s="501">
        <f t="shared" si="116"/>
        <v>0</v>
      </c>
      <c r="P153" s="501">
        <f t="shared" si="116"/>
        <v>69582159</v>
      </c>
      <c r="Q153" s="45"/>
      <c r="R153" s="44"/>
      <c r="T153" s="43"/>
    </row>
    <row r="154" spans="1:20" ht="127.5" customHeight="1" thickTop="1" thickBot="1" x14ac:dyDescent="0.25">
      <c r="A154" s="469" t="s">
        <v>404</v>
      </c>
      <c r="B154" s="469" t="s">
        <v>231</v>
      </c>
      <c r="C154" s="469" t="s">
        <v>229</v>
      </c>
      <c r="D154" s="469" t="s">
        <v>1515</v>
      </c>
      <c r="E154" s="471">
        <f>F154+I154</f>
        <v>69552159</v>
      </c>
      <c r="F154" s="487">
        <f>(69499159)+53000</f>
        <v>69552159</v>
      </c>
      <c r="G154" s="487">
        <v>53958953</v>
      </c>
      <c r="H154" s="487">
        <f>1119763+55000+1200000+49680</f>
        <v>2424443</v>
      </c>
      <c r="I154" s="125"/>
      <c r="J154" s="485">
        <f t="shared" si="115"/>
        <v>0</v>
      </c>
      <c r="K154" s="125"/>
      <c r="L154" s="125"/>
      <c r="M154" s="125"/>
      <c r="N154" s="125"/>
      <c r="O154" s="488">
        <f>K154</f>
        <v>0</v>
      </c>
      <c r="P154" s="485">
        <f>E154+J154</f>
        <v>69552159</v>
      </c>
      <c r="Q154" s="45"/>
      <c r="R154" s="44"/>
      <c r="T154" s="43"/>
    </row>
    <row r="155" spans="1:20" ht="93" hidden="1" thickTop="1" thickBot="1" x14ac:dyDescent="0.25">
      <c r="A155" s="119" t="s">
        <v>601</v>
      </c>
      <c r="B155" s="119" t="s">
        <v>352</v>
      </c>
      <c r="C155" s="119" t="s">
        <v>598</v>
      </c>
      <c r="D155" s="119" t="s">
        <v>599</v>
      </c>
      <c r="E155" s="118">
        <f t="shared" ref="E155" si="117">F155</f>
        <v>0</v>
      </c>
      <c r="F155" s="125">
        <v>0</v>
      </c>
      <c r="G155" s="125"/>
      <c r="H155" s="125"/>
      <c r="I155" s="125"/>
      <c r="J155" s="118">
        <f t="shared" si="115"/>
        <v>0</v>
      </c>
      <c r="K155" s="125"/>
      <c r="L155" s="125"/>
      <c r="M155" s="125"/>
      <c r="N155" s="125"/>
      <c r="O155" s="123">
        <f>K155</f>
        <v>0</v>
      </c>
      <c r="P155" s="118">
        <f t="shared" ref="P155" si="118">E155+J155</f>
        <v>0</v>
      </c>
      <c r="Q155" s="45"/>
      <c r="R155" s="44"/>
      <c r="T155" s="43"/>
    </row>
    <row r="156" spans="1:20" ht="114" customHeight="1" thickTop="1" thickBot="1" x14ac:dyDescent="0.25">
      <c r="A156" s="469" t="s">
        <v>875</v>
      </c>
      <c r="B156" s="469" t="s">
        <v>42</v>
      </c>
      <c r="C156" s="469" t="s">
        <v>41</v>
      </c>
      <c r="D156" s="469" t="s">
        <v>242</v>
      </c>
      <c r="E156" s="471">
        <f>F156+I156</f>
        <v>30000</v>
      </c>
      <c r="F156" s="487">
        <v>30000</v>
      </c>
      <c r="G156" s="125"/>
      <c r="H156" s="125"/>
      <c r="I156" s="125"/>
      <c r="J156" s="485">
        <f t="shared" si="115"/>
        <v>0</v>
      </c>
      <c r="K156" s="125"/>
      <c r="L156" s="125"/>
      <c r="M156" s="125"/>
      <c r="N156" s="125"/>
      <c r="O156" s="123"/>
      <c r="P156" s="485">
        <f>E156+J156</f>
        <v>30000</v>
      </c>
      <c r="Q156" s="45"/>
      <c r="R156" s="44"/>
      <c r="T156" s="43"/>
    </row>
    <row r="157" spans="1:20" ht="107.25" customHeight="1" thickTop="1" thickBot="1" x14ac:dyDescent="0.25">
      <c r="A157" s="239" t="s">
        <v>695</v>
      </c>
      <c r="B157" s="239" t="s">
        <v>678</v>
      </c>
      <c r="C157" s="239"/>
      <c r="D157" s="239" t="s">
        <v>679</v>
      </c>
      <c r="E157" s="501">
        <f>SUM(E158:E202)-E158-E167-E179-E182-E198-E176-E172-E170</f>
        <v>549028964.43000007</v>
      </c>
      <c r="F157" s="501">
        <f t="shared" ref="F157:P157" si="119">SUM(F158:F202)-F158-F167-F179-F182-F198-F176-F172-F170</f>
        <v>508944721</v>
      </c>
      <c r="G157" s="501">
        <f t="shared" si="119"/>
        <v>99462516</v>
      </c>
      <c r="H157" s="501">
        <f t="shared" si="119"/>
        <v>4347464</v>
      </c>
      <c r="I157" s="501">
        <f t="shared" si="119"/>
        <v>40084243.43</v>
      </c>
      <c r="J157" s="501">
        <f t="shared" si="119"/>
        <v>68123548</v>
      </c>
      <c r="K157" s="501">
        <f t="shared" si="119"/>
        <v>51799985</v>
      </c>
      <c r="L157" s="501">
        <f t="shared" si="119"/>
        <v>16273563</v>
      </c>
      <c r="M157" s="501">
        <f t="shared" si="119"/>
        <v>6279771</v>
      </c>
      <c r="N157" s="501">
        <f t="shared" si="119"/>
        <v>1624000</v>
      </c>
      <c r="O157" s="501">
        <f t="shared" si="119"/>
        <v>51849985</v>
      </c>
      <c r="P157" s="501">
        <f t="shared" si="119"/>
        <v>617152512.43000007</v>
      </c>
      <c r="Q157" s="45"/>
      <c r="R157" s="44"/>
      <c r="T157" s="43"/>
    </row>
    <row r="158" spans="1:20" ht="186" customHeight="1" thickTop="1" thickBot="1" x14ac:dyDescent="0.25">
      <c r="A158" s="481" t="s">
        <v>696</v>
      </c>
      <c r="B158" s="481" t="s">
        <v>697</v>
      </c>
      <c r="C158" s="131"/>
      <c r="D158" s="481" t="s">
        <v>1517</v>
      </c>
      <c r="E158" s="482">
        <f>SUM(E159:E163)</f>
        <v>138815500</v>
      </c>
      <c r="F158" s="482">
        <f t="shared" ref="F158:P158" si="120">SUM(F159:F163)</f>
        <v>138765500</v>
      </c>
      <c r="G158" s="482">
        <f t="shared" si="120"/>
        <v>0</v>
      </c>
      <c r="H158" s="482">
        <f t="shared" si="120"/>
        <v>0</v>
      </c>
      <c r="I158" s="482">
        <f t="shared" si="120"/>
        <v>50000</v>
      </c>
      <c r="J158" s="482">
        <f t="shared" si="120"/>
        <v>0</v>
      </c>
      <c r="K158" s="482">
        <f t="shared" si="120"/>
        <v>0</v>
      </c>
      <c r="L158" s="482">
        <f t="shared" si="120"/>
        <v>0</v>
      </c>
      <c r="M158" s="482">
        <f t="shared" si="120"/>
        <v>0</v>
      </c>
      <c r="N158" s="482">
        <f t="shared" si="120"/>
        <v>0</v>
      </c>
      <c r="O158" s="482">
        <f t="shared" si="120"/>
        <v>0</v>
      </c>
      <c r="P158" s="482">
        <f t="shared" si="120"/>
        <v>138815500</v>
      </c>
      <c r="Q158" s="141"/>
      <c r="R158" s="46"/>
      <c r="T158" s="47"/>
    </row>
    <row r="159" spans="1:20" s="31" customFormat="1" ht="93" thickTop="1" thickBot="1" x14ac:dyDescent="0.25">
      <c r="A159" s="469" t="s">
        <v>263</v>
      </c>
      <c r="B159" s="469" t="s">
        <v>264</v>
      </c>
      <c r="C159" s="469" t="s">
        <v>200</v>
      </c>
      <c r="D159" s="475" t="s">
        <v>265</v>
      </c>
      <c r="E159" s="471">
        <f t="shared" ref="E159:E166" si="121">F159+I159</f>
        <v>1050000</v>
      </c>
      <c r="F159" s="487">
        <v>1000000</v>
      </c>
      <c r="G159" s="125"/>
      <c r="H159" s="125"/>
      <c r="I159" s="504">
        <v>50000</v>
      </c>
      <c r="J159" s="501">
        <f t="shared" si="115"/>
        <v>0</v>
      </c>
      <c r="K159" s="504"/>
      <c r="L159" s="504"/>
      <c r="M159" s="504"/>
      <c r="N159" s="504"/>
      <c r="O159" s="502">
        <f t="shared" ref="O159:O181" si="122">K159</f>
        <v>0</v>
      </c>
      <c r="P159" s="501">
        <f t="shared" ref="P159:P169" si="123">E159+J159</f>
        <v>1050000</v>
      </c>
      <c r="Q159" s="34"/>
      <c r="R159" s="44"/>
    </row>
    <row r="160" spans="1:20" s="31" customFormat="1" ht="101.25" customHeight="1" thickTop="1" thickBot="1" x14ac:dyDescent="0.25">
      <c r="A160" s="469" t="s">
        <v>266</v>
      </c>
      <c r="B160" s="469" t="s">
        <v>267</v>
      </c>
      <c r="C160" s="469" t="s">
        <v>201</v>
      </c>
      <c r="D160" s="469" t="s">
        <v>6</v>
      </c>
      <c r="E160" s="471">
        <f t="shared" si="121"/>
        <v>465500</v>
      </c>
      <c r="F160" s="487">
        <v>465500</v>
      </c>
      <c r="G160" s="125"/>
      <c r="H160" s="125"/>
      <c r="I160" s="125"/>
      <c r="J160" s="501">
        <f t="shared" si="115"/>
        <v>0</v>
      </c>
      <c r="K160" s="504"/>
      <c r="L160" s="504"/>
      <c r="M160" s="504"/>
      <c r="N160" s="504"/>
      <c r="O160" s="502">
        <f t="shared" si="122"/>
        <v>0</v>
      </c>
      <c r="P160" s="501">
        <f t="shared" si="123"/>
        <v>465500</v>
      </c>
      <c r="Q160" s="34"/>
      <c r="R160" s="48"/>
    </row>
    <row r="161" spans="1:18" s="31" customFormat="1" ht="149.25" customHeight="1" thickTop="1" thickBot="1" x14ac:dyDescent="0.25">
      <c r="A161" s="94" t="s">
        <v>269</v>
      </c>
      <c r="B161" s="94" t="s">
        <v>270</v>
      </c>
      <c r="C161" s="94" t="s">
        <v>201</v>
      </c>
      <c r="D161" s="94" t="s">
        <v>7</v>
      </c>
      <c r="E161" s="471">
        <f t="shared" si="121"/>
        <v>52100000</v>
      </c>
      <c r="F161" s="504">
        <v>52100000</v>
      </c>
      <c r="G161" s="125"/>
      <c r="H161" s="125"/>
      <c r="I161" s="125"/>
      <c r="J161" s="501">
        <f t="shared" si="115"/>
        <v>0</v>
      </c>
      <c r="K161" s="125"/>
      <c r="L161" s="125"/>
      <c r="M161" s="125"/>
      <c r="N161" s="125"/>
      <c r="O161" s="502">
        <f t="shared" si="122"/>
        <v>0</v>
      </c>
      <c r="P161" s="501">
        <f t="shared" si="123"/>
        <v>52100000</v>
      </c>
      <c r="Q161" s="34"/>
      <c r="R161" s="48"/>
    </row>
    <row r="162" spans="1:18" s="31" customFormat="1" ht="146.25" customHeight="1" thickTop="1" thickBot="1" x14ac:dyDescent="0.25">
      <c r="A162" s="94" t="s">
        <v>271</v>
      </c>
      <c r="B162" s="94" t="s">
        <v>268</v>
      </c>
      <c r="C162" s="94" t="s">
        <v>201</v>
      </c>
      <c r="D162" s="94" t="s">
        <v>8</v>
      </c>
      <c r="E162" s="471">
        <f t="shared" si="121"/>
        <v>1500000</v>
      </c>
      <c r="F162" s="504">
        <v>1500000</v>
      </c>
      <c r="G162" s="125"/>
      <c r="H162" s="125"/>
      <c r="I162" s="125"/>
      <c r="J162" s="501">
        <f t="shared" si="115"/>
        <v>0</v>
      </c>
      <c r="K162" s="125"/>
      <c r="L162" s="125"/>
      <c r="M162" s="125"/>
      <c r="N162" s="125"/>
      <c r="O162" s="502">
        <f t="shared" si="122"/>
        <v>0</v>
      </c>
      <c r="P162" s="501">
        <f t="shared" si="123"/>
        <v>1500000</v>
      </c>
      <c r="Q162" s="34"/>
      <c r="R162" s="48"/>
    </row>
    <row r="163" spans="1:18" s="31" customFormat="1" ht="152.25" customHeight="1" thickTop="1" thickBot="1" x14ac:dyDescent="0.25">
      <c r="A163" s="94" t="s">
        <v>272</v>
      </c>
      <c r="B163" s="94" t="s">
        <v>273</v>
      </c>
      <c r="C163" s="94" t="s">
        <v>201</v>
      </c>
      <c r="D163" s="94" t="s">
        <v>9</v>
      </c>
      <c r="E163" s="471">
        <f t="shared" si="121"/>
        <v>83700000</v>
      </c>
      <c r="F163" s="504">
        <v>83700000</v>
      </c>
      <c r="G163" s="125"/>
      <c r="H163" s="125"/>
      <c r="I163" s="125"/>
      <c r="J163" s="501">
        <f t="shared" si="115"/>
        <v>0</v>
      </c>
      <c r="K163" s="504"/>
      <c r="L163" s="504"/>
      <c r="M163" s="504"/>
      <c r="N163" s="504"/>
      <c r="O163" s="502">
        <f t="shared" si="122"/>
        <v>0</v>
      </c>
      <c r="P163" s="501">
        <f t="shared" si="123"/>
        <v>83700000</v>
      </c>
      <c r="Q163" s="34"/>
      <c r="R163" s="48"/>
    </row>
    <row r="164" spans="1:18" s="31" customFormat="1" ht="124.5" customHeight="1" thickTop="1" thickBot="1" x14ac:dyDescent="0.25">
      <c r="A164" s="94" t="s">
        <v>462</v>
      </c>
      <c r="B164" s="94" t="s">
        <v>463</v>
      </c>
      <c r="C164" s="94" t="s">
        <v>201</v>
      </c>
      <c r="D164" s="94" t="s">
        <v>464</v>
      </c>
      <c r="E164" s="471">
        <f t="shared" si="121"/>
        <v>399986</v>
      </c>
      <c r="F164" s="504">
        <v>399986</v>
      </c>
      <c r="G164" s="125"/>
      <c r="H164" s="125"/>
      <c r="I164" s="125"/>
      <c r="J164" s="501">
        <f t="shared" si="115"/>
        <v>0</v>
      </c>
      <c r="K164" s="504"/>
      <c r="L164" s="504"/>
      <c r="M164" s="504"/>
      <c r="N164" s="504"/>
      <c r="O164" s="502">
        <f t="shared" si="122"/>
        <v>0</v>
      </c>
      <c r="P164" s="501">
        <f t="shared" si="123"/>
        <v>399986</v>
      </c>
      <c r="Q164" s="34"/>
      <c r="R164" s="48"/>
    </row>
    <row r="165" spans="1:18" s="31" customFormat="1" ht="143.25" customHeight="1" thickTop="1" thickBot="1" x14ac:dyDescent="0.25">
      <c r="A165" s="94" t="s">
        <v>876</v>
      </c>
      <c r="B165" s="94" t="s">
        <v>877</v>
      </c>
      <c r="C165" s="94" t="s">
        <v>201</v>
      </c>
      <c r="D165" s="94" t="s">
        <v>878</v>
      </c>
      <c r="E165" s="471">
        <f t="shared" si="121"/>
        <v>2200000</v>
      </c>
      <c r="F165" s="504">
        <v>2200000</v>
      </c>
      <c r="G165" s="125"/>
      <c r="H165" s="125"/>
      <c r="I165" s="125"/>
      <c r="J165" s="501">
        <f t="shared" si="115"/>
        <v>0</v>
      </c>
      <c r="K165" s="504"/>
      <c r="L165" s="504"/>
      <c r="M165" s="504"/>
      <c r="N165" s="504"/>
      <c r="O165" s="502">
        <f t="shared" si="122"/>
        <v>0</v>
      </c>
      <c r="P165" s="501">
        <f t="shared" si="123"/>
        <v>2200000</v>
      </c>
      <c r="Q165" s="34"/>
      <c r="R165" s="48"/>
    </row>
    <row r="166" spans="1:18" ht="93" thickTop="1" thickBot="1" x14ac:dyDescent="0.25">
      <c r="A166" s="94" t="s">
        <v>465</v>
      </c>
      <c r="B166" s="94" t="s">
        <v>466</v>
      </c>
      <c r="C166" s="94" t="s">
        <v>200</v>
      </c>
      <c r="D166" s="94" t="s">
        <v>467</v>
      </c>
      <c r="E166" s="471">
        <f t="shared" si="121"/>
        <v>1146655</v>
      </c>
      <c r="F166" s="504">
        <v>1146655</v>
      </c>
      <c r="G166" s="125"/>
      <c r="H166" s="125"/>
      <c r="I166" s="125"/>
      <c r="J166" s="501">
        <f t="shared" si="115"/>
        <v>0</v>
      </c>
      <c r="K166" s="504"/>
      <c r="L166" s="504"/>
      <c r="M166" s="504"/>
      <c r="N166" s="504"/>
      <c r="O166" s="502">
        <f>K166</f>
        <v>0</v>
      </c>
      <c r="P166" s="501">
        <f t="shared" si="123"/>
        <v>1146655</v>
      </c>
      <c r="Q166" s="18"/>
      <c r="R166" s="48"/>
    </row>
    <row r="167" spans="1:18" s="31" customFormat="1" ht="195" customHeight="1" thickTop="1" thickBot="1" x14ac:dyDescent="0.25">
      <c r="A167" s="518" t="s">
        <v>698</v>
      </c>
      <c r="B167" s="518" t="s">
        <v>699</v>
      </c>
      <c r="C167" s="518"/>
      <c r="D167" s="518" t="s">
        <v>700</v>
      </c>
      <c r="E167" s="519">
        <f>SUM(E168:E169)</f>
        <v>102290384</v>
      </c>
      <c r="F167" s="519">
        <f t="shared" ref="F167:P167" si="124">SUM(F168:F169)</f>
        <v>102290384</v>
      </c>
      <c r="G167" s="519">
        <f t="shared" si="124"/>
        <v>60712907</v>
      </c>
      <c r="H167" s="519">
        <f t="shared" si="124"/>
        <v>1472586</v>
      </c>
      <c r="I167" s="519">
        <f t="shared" si="124"/>
        <v>0</v>
      </c>
      <c r="J167" s="519">
        <f t="shared" si="124"/>
        <v>2753240</v>
      </c>
      <c r="K167" s="519">
        <f t="shared" si="124"/>
        <v>0</v>
      </c>
      <c r="L167" s="519">
        <f t="shared" si="124"/>
        <v>2753240</v>
      </c>
      <c r="M167" s="519">
        <f t="shared" si="124"/>
        <v>1538900</v>
      </c>
      <c r="N167" s="519">
        <f t="shared" si="124"/>
        <v>410000</v>
      </c>
      <c r="O167" s="519">
        <f t="shared" si="124"/>
        <v>0</v>
      </c>
      <c r="P167" s="519">
        <f t="shared" si="124"/>
        <v>105043624</v>
      </c>
      <c r="Q167" s="34"/>
      <c r="R167" s="49"/>
    </row>
    <row r="168" spans="1:18" ht="173.25" customHeight="1" thickTop="1" thickBot="1" x14ac:dyDescent="0.25">
      <c r="A168" s="94" t="s">
        <v>261</v>
      </c>
      <c r="B168" s="94" t="s">
        <v>259</v>
      </c>
      <c r="C168" s="94" t="s">
        <v>195</v>
      </c>
      <c r="D168" s="94" t="s">
        <v>17</v>
      </c>
      <c r="E168" s="471">
        <f>F168+I168</f>
        <v>81598495</v>
      </c>
      <c r="F168" s="504">
        <f>(66612395)+14986100</f>
        <v>81598495</v>
      </c>
      <c r="G168" s="504">
        <f>(34138719)+12280800</f>
        <v>46419519</v>
      </c>
      <c r="H168" s="504">
        <f>400122+26655+184000+10800</f>
        <v>621577</v>
      </c>
      <c r="I168" s="125"/>
      <c r="J168" s="501">
        <f t="shared" si="115"/>
        <v>2753240</v>
      </c>
      <c r="K168" s="504">
        <v>0</v>
      </c>
      <c r="L168" s="504">
        <v>2753240</v>
      </c>
      <c r="M168" s="504">
        <v>1538900</v>
      </c>
      <c r="N168" s="504">
        <f>200000+20000+190000</f>
        <v>410000</v>
      </c>
      <c r="O168" s="502">
        <f>K168+0</f>
        <v>0</v>
      </c>
      <c r="P168" s="501">
        <f t="shared" si="123"/>
        <v>84351735</v>
      </c>
      <c r="Q168" s="18"/>
      <c r="R168" s="44"/>
    </row>
    <row r="169" spans="1:18" ht="134.25" customHeight="1" thickTop="1" thickBot="1" x14ac:dyDescent="0.25">
      <c r="A169" s="94" t="s">
        <v>262</v>
      </c>
      <c r="B169" s="94" t="s">
        <v>260</v>
      </c>
      <c r="C169" s="94" t="s">
        <v>194</v>
      </c>
      <c r="D169" s="94" t="s">
        <v>443</v>
      </c>
      <c r="E169" s="471">
        <f>F169+I169</f>
        <v>20691889</v>
      </c>
      <c r="F169" s="504">
        <f>(18484464)+2207425</f>
        <v>20691889</v>
      </c>
      <c r="G169" s="504">
        <f>(8472518+4036530)+1784340</f>
        <v>14293388</v>
      </c>
      <c r="H169" s="504">
        <f>300756+9412+195000+833+271602+9290+63807+309</f>
        <v>851009</v>
      </c>
      <c r="I169" s="125"/>
      <c r="J169" s="501">
        <f t="shared" si="115"/>
        <v>0</v>
      </c>
      <c r="K169" s="504">
        <v>0</v>
      </c>
      <c r="L169" s="504"/>
      <c r="M169" s="504"/>
      <c r="N169" s="504"/>
      <c r="O169" s="502">
        <f t="shared" si="122"/>
        <v>0</v>
      </c>
      <c r="P169" s="501">
        <f t="shared" si="123"/>
        <v>20691889</v>
      </c>
      <c r="Q169" s="18"/>
      <c r="R169" s="44"/>
    </row>
    <row r="170" spans="1:18" ht="88.5" customHeight="1" thickTop="1" thickBot="1" x14ac:dyDescent="0.25">
      <c r="A170" s="518" t="s">
        <v>1426</v>
      </c>
      <c r="B170" s="518" t="s">
        <v>1427</v>
      </c>
      <c r="C170" s="518"/>
      <c r="D170" s="518" t="s">
        <v>1428</v>
      </c>
      <c r="E170" s="519">
        <f>E171</f>
        <v>35120</v>
      </c>
      <c r="F170" s="519">
        <f t="shared" ref="F170:P170" si="125">F171</f>
        <v>35120</v>
      </c>
      <c r="G170" s="519">
        <f t="shared" si="125"/>
        <v>0</v>
      </c>
      <c r="H170" s="519">
        <f t="shared" si="125"/>
        <v>0</v>
      </c>
      <c r="I170" s="519">
        <f t="shared" si="125"/>
        <v>0</v>
      </c>
      <c r="J170" s="519">
        <f t="shared" si="125"/>
        <v>0</v>
      </c>
      <c r="K170" s="519">
        <f t="shared" si="125"/>
        <v>0</v>
      </c>
      <c r="L170" s="519">
        <f t="shared" si="125"/>
        <v>0</v>
      </c>
      <c r="M170" s="519">
        <f t="shared" si="125"/>
        <v>0</v>
      </c>
      <c r="N170" s="519">
        <f t="shared" si="125"/>
        <v>0</v>
      </c>
      <c r="O170" s="519">
        <f t="shared" si="125"/>
        <v>0</v>
      </c>
      <c r="P170" s="519">
        <f t="shared" si="125"/>
        <v>35120</v>
      </c>
      <c r="Q170" s="18"/>
      <c r="R170" s="44"/>
    </row>
    <row r="171" spans="1:18" ht="138.75" thickTop="1" thickBot="1" x14ac:dyDescent="0.25">
      <c r="A171" s="94" t="s">
        <v>1430</v>
      </c>
      <c r="B171" s="94" t="s">
        <v>1431</v>
      </c>
      <c r="C171" s="94" t="s">
        <v>180</v>
      </c>
      <c r="D171" s="94" t="s">
        <v>1429</v>
      </c>
      <c r="E171" s="471">
        <f>F171+I171</f>
        <v>35120</v>
      </c>
      <c r="F171" s="520">
        <v>35120</v>
      </c>
      <c r="G171" s="120"/>
      <c r="H171" s="120"/>
      <c r="I171" s="120"/>
      <c r="J171" s="501">
        <f t="shared" ref="J171" si="126">L171+O171</f>
        <v>0</v>
      </c>
      <c r="K171" s="520"/>
      <c r="L171" s="522"/>
      <c r="M171" s="522"/>
      <c r="N171" s="522"/>
      <c r="O171" s="502">
        <f>K171+0</f>
        <v>0</v>
      </c>
      <c r="P171" s="501">
        <f>+J171+E171</f>
        <v>35120</v>
      </c>
      <c r="Q171" s="18"/>
      <c r="R171" s="44"/>
    </row>
    <row r="172" spans="1:18" ht="107.25" customHeight="1" thickTop="1" thickBot="1" x14ac:dyDescent="0.25">
      <c r="A172" s="518" t="s">
        <v>945</v>
      </c>
      <c r="B172" s="518" t="s">
        <v>729</v>
      </c>
      <c r="C172" s="518"/>
      <c r="D172" s="518" t="s">
        <v>730</v>
      </c>
      <c r="E172" s="519">
        <f>SUM(E173:E174)</f>
        <v>20880498</v>
      </c>
      <c r="F172" s="519">
        <f t="shared" ref="F172:P172" si="127">SUM(F173:F174)</f>
        <v>19710295</v>
      </c>
      <c r="G172" s="519">
        <f t="shared" si="127"/>
        <v>14359796</v>
      </c>
      <c r="H172" s="519">
        <f t="shared" si="127"/>
        <v>448544</v>
      </c>
      <c r="I172" s="519">
        <f t="shared" si="127"/>
        <v>1170203</v>
      </c>
      <c r="J172" s="519">
        <f t="shared" si="127"/>
        <v>56400</v>
      </c>
      <c r="K172" s="519">
        <f t="shared" si="127"/>
        <v>0</v>
      </c>
      <c r="L172" s="519">
        <f t="shared" si="127"/>
        <v>56400</v>
      </c>
      <c r="M172" s="519">
        <f t="shared" si="127"/>
        <v>0</v>
      </c>
      <c r="N172" s="519">
        <f t="shared" si="127"/>
        <v>0</v>
      </c>
      <c r="O172" s="519">
        <f t="shared" si="127"/>
        <v>0</v>
      </c>
      <c r="P172" s="519">
        <f t="shared" si="127"/>
        <v>20936898</v>
      </c>
      <c r="Q172" s="18"/>
      <c r="R172" s="44"/>
    </row>
    <row r="173" spans="1:18" ht="206.25" customHeight="1" thickTop="1" thickBot="1" x14ac:dyDescent="0.25">
      <c r="A173" s="94" t="s">
        <v>1095</v>
      </c>
      <c r="B173" s="94" t="s">
        <v>179</v>
      </c>
      <c r="C173" s="94" t="s">
        <v>180</v>
      </c>
      <c r="D173" s="94" t="s">
        <v>1388</v>
      </c>
      <c r="E173" s="471">
        <f>F173+I173</f>
        <v>13137580</v>
      </c>
      <c r="F173" s="520">
        <f>(9778945)+3358635</f>
        <v>13137580</v>
      </c>
      <c r="G173" s="520">
        <f>(7067070)+2752980</f>
        <v>9820050</v>
      </c>
      <c r="H173" s="520">
        <f>96000+7560+67000+7000</f>
        <v>177560</v>
      </c>
      <c r="I173" s="120"/>
      <c r="J173" s="501">
        <f t="shared" ref="J173:J174" si="128">L173+O173</f>
        <v>56400</v>
      </c>
      <c r="K173" s="520"/>
      <c r="L173" s="522">
        <v>56400</v>
      </c>
      <c r="M173" s="522"/>
      <c r="N173" s="522"/>
      <c r="O173" s="502">
        <f>K173+0</f>
        <v>0</v>
      </c>
      <c r="P173" s="501">
        <f>+J173+E173</f>
        <v>13193980</v>
      </c>
      <c r="Q173" s="18"/>
      <c r="R173" s="44"/>
    </row>
    <row r="174" spans="1:18" ht="174" customHeight="1" thickTop="1" thickBot="1" x14ac:dyDescent="0.25">
      <c r="A174" s="94" t="s">
        <v>946</v>
      </c>
      <c r="B174" s="94" t="s">
        <v>947</v>
      </c>
      <c r="C174" s="94" t="s">
        <v>180</v>
      </c>
      <c r="D174" s="94" t="s">
        <v>1389</v>
      </c>
      <c r="E174" s="471">
        <f>F174+I174</f>
        <v>7742918</v>
      </c>
      <c r="F174" s="520">
        <f>(5162849)+1154570+255296</f>
        <v>6572715</v>
      </c>
      <c r="G174" s="520">
        <f>(3385176)+1154570</f>
        <v>4539746</v>
      </c>
      <c r="H174" s="520">
        <f>100540+8264+99000+63180</f>
        <v>270984</v>
      </c>
      <c r="I174" s="520">
        <f>1170203</f>
        <v>1170203</v>
      </c>
      <c r="J174" s="501">
        <f t="shared" si="128"/>
        <v>0</v>
      </c>
      <c r="K174" s="520"/>
      <c r="L174" s="522"/>
      <c r="M174" s="522"/>
      <c r="N174" s="522"/>
      <c r="O174" s="502">
        <f t="shared" ref="O174" si="129">K174</f>
        <v>0</v>
      </c>
      <c r="P174" s="501">
        <f>+J174+E174</f>
        <v>7742918</v>
      </c>
      <c r="Q174" s="18"/>
      <c r="R174" s="44"/>
    </row>
    <row r="175" spans="1:18" ht="219" customHeight="1" thickTop="1" thickBot="1" x14ac:dyDescent="0.25">
      <c r="A175" s="94" t="s">
        <v>257</v>
      </c>
      <c r="B175" s="94" t="s">
        <v>258</v>
      </c>
      <c r="C175" s="94" t="s">
        <v>194</v>
      </c>
      <c r="D175" s="94" t="s">
        <v>1519</v>
      </c>
      <c r="E175" s="471">
        <f>F175+I175</f>
        <v>11007200</v>
      </c>
      <c r="F175" s="504">
        <v>11007200</v>
      </c>
      <c r="G175" s="125"/>
      <c r="H175" s="125"/>
      <c r="I175" s="125"/>
      <c r="J175" s="501">
        <f t="shared" si="115"/>
        <v>0</v>
      </c>
      <c r="K175" s="501"/>
      <c r="L175" s="504"/>
      <c r="M175" s="504"/>
      <c r="N175" s="504"/>
      <c r="O175" s="502">
        <f t="shared" si="122"/>
        <v>0</v>
      </c>
      <c r="P175" s="501">
        <f>+J175+E175</f>
        <v>11007200</v>
      </c>
      <c r="Q175" s="18"/>
      <c r="R175" s="48"/>
    </row>
    <row r="176" spans="1:18" ht="107.25" customHeight="1" thickTop="1" thickBot="1" x14ac:dyDescent="0.25">
      <c r="A176" s="518" t="s">
        <v>838</v>
      </c>
      <c r="B176" s="518" t="s">
        <v>839</v>
      </c>
      <c r="C176" s="518"/>
      <c r="D176" s="518" t="s">
        <v>840</v>
      </c>
      <c r="E176" s="519">
        <f t="shared" ref="E176:E211" si="130">F176</f>
        <v>177006</v>
      </c>
      <c r="F176" s="519">
        <f>F177</f>
        <v>177006</v>
      </c>
      <c r="G176" s="519">
        <f t="shared" ref="G176:I176" si="131">G177</f>
        <v>0</v>
      </c>
      <c r="H176" s="519">
        <f t="shared" si="131"/>
        <v>0</v>
      </c>
      <c r="I176" s="519">
        <f t="shared" si="131"/>
        <v>0</v>
      </c>
      <c r="J176" s="519">
        <f t="shared" si="115"/>
        <v>0</v>
      </c>
      <c r="K176" s="519">
        <f t="shared" ref="K176:N176" si="132">K177</f>
        <v>0</v>
      </c>
      <c r="L176" s="519">
        <f t="shared" si="132"/>
        <v>0</v>
      </c>
      <c r="M176" s="519">
        <f t="shared" si="132"/>
        <v>0</v>
      </c>
      <c r="N176" s="519">
        <f t="shared" si="132"/>
        <v>0</v>
      </c>
      <c r="O176" s="519">
        <f t="shared" si="122"/>
        <v>0</v>
      </c>
      <c r="P176" s="519">
        <f>+J176+E176</f>
        <v>177006</v>
      </c>
      <c r="Q176" s="18"/>
      <c r="R176" s="48"/>
    </row>
    <row r="177" spans="1:18" ht="180.75" customHeight="1" thickTop="1" thickBot="1" x14ac:dyDescent="0.25">
      <c r="A177" s="94" t="s">
        <v>468</v>
      </c>
      <c r="B177" s="94" t="s">
        <v>469</v>
      </c>
      <c r="C177" s="94" t="s">
        <v>194</v>
      </c>
      <c r="D177" s="94" t="s">
        <v>470</v>
      </c>
      <c r="E177" s="471">
        <f>F177+I177</f>
        <v>177006</v>
      </c>
      <c r="F177" s="504">
        <v>177006</v>
      </c>
      <c r="G177" s="504"/>
      <c r="H177" s="504"/>
      <c r="I177" s="504"/>
      <c r="J177" s="501">
        <f t="shared" si="115"/>
        <v>0</v>
      </c>
      <c r="K177" s="501"/>
      <c r="L177" s="504"/>
      <c r="M177" s="504"/>
      <c r="N177" s="504"/>
      <c r="O177" s="502">
        <f t="shared" si="122"/>
        <v>0</v>
      </c>
      <c r="P177" s="501">
        <f>+J177+E177</f>
        <v>177006</v>
      </c>
      <c r="Q177" s="18"/>
      <c r="R177" s="48"/>
    </row>
    <row r="178" spans="1:18" ht="198" customHeight="1" thickTop="1" thickBot="1" x14ac:dyDescent="0.25">
      <c r="A178" s="469" t="s">
        <v>339</v>
      </c>
      <c r="B178" s="469" t="s">
        <v>338</v>
      </c>
      <c r="C178" s="469" t="s">
        <v>48</v>
      </c>
      <c r="D178" s="469" t="s">
        <v>442</v>
      </c>
      <c r="E178" s="471">
        <f>F178+I178</f>
        <v>6781600</v>
      </c>
      <c r="F178" s="487">
        <v>6781600</v>
      </c>
      <c r="G178" s="125"/>
      <c r="H178" s="125"/>
      <c r="I178" s="125"/>
      <c r="J178" s="485">
        <f t="shared" si="115"/>
        <v>0</v>
      </c>
      <c r="K178" s="118"/>
      <c r="L178" s="125"/>
      <c r="M178" s="125"/>
      <c r="N178" s="125"/>
      <c r="O178" s="488">
        <f t="shared" si="122"/>
        <v>0</v>
      </c>
      <c r="P178" s="485">
        <f>E178+J178</f>
        <v>6781600</v>
      </c>
      <c r="Q178" s="18"/>
      <c r="R178" s="48"/>
    </row>
    <row r="179" spans="1:18" s="31" customFormat="1" ht="123" customHeight="1" thickTop="1" thickBot="1" x14ac:dyDescent="0.25">
      <c r="A179" s="518" t="s">
        <v>701</v>
      </c>
      <c r="B179" s="518" t="s">
        <v>702</v>
      </c>
      <c r="C179" s="518"/>
      <c r="D179" s="518" t="s">
        <v>703</v>
      </c>
      <c r="E179" s="519">
        <f>E180</f>
        <v>1500000</v>
      </c>
      <c r="F179" s="519">
        <f t="shared" ref="F179:P179" si="133">F180</f>
        <v>1500000</v>
      </c>
      <c r="G179" s="519">
        <f t="shared" si="133"/>
        <v>0</v>
      </c>
      <c r="H179" s="519">
        <f t="shared" si="133"/>
        <v>0</v>
      </c>
      <c r="I179" s="519">
        <f t="shared" si="133"/>
        <v>0</v>
      </c>
      <c r="J179" s="519">
        <f t="shared" si="133"/>
        <v>0</v>
      </c>
      <c r="K179" s="519">
        <f t="shared" si="133"/>
        <v>0</v>
      </c>
      <c r="L179" s="519">
        <f t="shared" si="133"/>
        <v>0</v>
      </c>
      <c r="M179" s="519">
        <f t="shared" si="133"/>
        <v>0</v>
      </c>
      <c r="N179" s="519">
        <f t="shared" si="133"/>
        <v>0</v>
      </c>
      <c r="O179" s="519">
        <f t="shared" si="133"/>
        <v>0</v>
      </c>
      <c r="P179" s="519">
        <f t="shared" si="133"/>
        <v>1500000</v>
      </c>
      <c r="Q179" s="34"/>
      <c r="R179" s="49"/>
    </row>
    <row r="180" spans="1:18" ht="159" customHeight="1" thickTop="1" thickBot="1" x14ac:dyDescent="0.25">
      <c r="A180" s="94" t="s">
        <v>318</v>
      </c>
      <c r="B180" s="94" t="s">
        <v>319</v>
      </c>
      <c r="C180" s="94" t="s">
        <v>200</v>
      </c>
      <c r="D180" s="94" t="s">
        <v>608</v>
      </c>
      <c r="E180" s="471">
        <f>F180+I180</f>
        <v>1500000</v>
      </c>
      <c r="F180" s="504">
        <v>1500000</v>
      </c>
      <c r="G180" s="125"/>
      <c r="H180" s="125"/>
      <c r="I180" s="125"/>
      <c r="J180" s="501">
        <f t="shared" si="115"/>
        <v>0</v>
      </c>
      <c r="K180" s="125"/>
      <c r="L180" s="125"/>
      <c r="M180" s="125"/>
      <c r="N180" s="125"/>
      <c r="O180" s="502">
        <f t="shared" si="122"/>
        <v>0</v>
      </c>
      <c r="P180" s="501">
        <f>E180+J180</f>
        <v>1500000</v>
      </c>
      <c r="Q180" s="18"/>
      <c r="R180" s="48"/>
    </row>
    <row r="181" spans="1:18" ht="88.5" customHeight="1" thickTop="1" thickBot="1" x14ac:dyDescent="0.25">
      <c r="A181" s="94" t="s">
        <v>417</v>
      </c>
      <c r="B181" s="94" t="s">
        <v>362</v>
      </c>
      <c r="C181" s="94" t="s">
        <v>363</v>
      </c>
      <c r="D181" s="94" t="s">
        <v>361</v>
      </c>
      <c r="E181" s="471">
        <f>F181+I181</f>
        <v>117000</v>
      </c>
      <c r="F181" s="504">
        <v>117000</v>
      </c>
      <c r="G181" s="504">
        <v>90000</v>
      </c>
      <c r="H181" s="125"/>
      <c r="I181" s="125"/>
      <c r="J181" s="501">
        <f t="shared" si="115"/>
        <v>0</v>
      </c>
      <c r="K181" s="504"/>
      <c r="L181" s="504"/>
      <c r="M181" s="504"/>
      <c r="N181" s="504"/>
      <c r="O181" s="502">
        <f t="shared" si="122"/>
        <v>0</v>
      </c>
      <c r="P181" s="501">
        <f>E181+J181</f>
        <v>117000</v>
      </c>
      <c r="Q181" s="18"/>
      <c r="R181" s="48"/>
    </row>
    <row r="182" spans="1:18" ht="130.69999999999999" hidden="1" customHeight="1" thickTop="1" thickBot="1" x14ac:dyDescent="0.25">
      <c r="A182" s="131" t="s">
        <v>980</v>
      </c>
      <c r="B182" s="131" t="s">
        <v>981</v>
      </c>
      <c r="C182" s="131"/>
      <c r="D182" s="131" t="s">
        <v>979</v>
      </c>
      <c r="E182" s="132">
        <f>E183+E187+E189+E192+E195</f>
        <v>0</v>
      </c>
      <c r="F182" s="132">
        <f t="shared" ref="F182:O182" si="134">F183+F187+F189+F192+F195</f>
        <v>0</v>
      </c>
      <c r="G182" s="132">
        <f t="shared" si="134"/>
        <v>0</v>
      </c>
      <c r="H182" s="132">
        <f t="shared" si="134"/>
        <v>0</v>
      </c>
      <c r="I182" s="132">
        <f t="shared" si="134"/>
        <v>0</v>
      </c>
      <c r="J182" s="132">
        <f t="shared" si="134"/>
        <v>0</v>
      </c>
      <c r="K182" s="132">
        <f t="shared" si="134"/>
        <v>0</v>
      </c>
      <c r="L182" s="132">
        <f t="shared" si="134"/>
        <v>0</v>
      </c>
      <c r="M182" s="132">
        <f t="shared" si="134"/>
        <v>0</v>
      </c>
      <c r="N182" s="132">
        <f t="shared" si="134"/>
        <v>0</v>
      </c>
      <c r="O182" s="132">
        <f t="shared" si="134"/>
        <v>0</v>
      </c>
      <c r="P182" s="132">
        <f>P183+P187+P189+P192+P195</f>
        <v>0</v>
      </c>
      <c r="Q182" s="18"/>
      <c r="R182" s="48"/>
    </row>
    <row r="183" spans="1:18" ht="184.5" hidden="1" thickTop="1" thickBot="1" x14ac:dyDescent="0.7">
      <c r="A183" s="768" t="s">
        <v>982</v>
      </c>
      <c r="B183" s="768" t="s">
        <v>983</v>
      </c>
      <c r="C183" s="768" t="s">
        <v>48</v>
      </c>
      <c r="D183" s="322" t="s">
        <v>1236</v>
      </c>
      <c r="E183" s="763">
        <f t="shared" ref="E183:E187" si="135">F183</f>
        <v>0</v>
      </c>
      <c r="F183" s="763"/>
      <c r="G183" s="763"/>
      <c r="H183" s="763"/>
      <c r="I183" s="763"/>
      <c r="J183" s="763">
        <f t="shared" ref="J183:J187" si="136">L183+O183</f>
        <v>0</v>
      </c>
      <c r="K183" s="769"/>
      <c r="L183" s="763"/>
      <c r="M183" s="763"/>
      <c r="N183" s="763"/>
      <c r="O183" s="769">
        <f t="shared" ref="O183:O187" si="137">K183</f>
        <v>0</v>
      </c>
      <c r="P183" s="763">
        <f t="shared" ref="P183:P187" si="138">E183+J183</f>
        <v>0</v>
      </c>
      <c r="Q183" s="771"/>
      <c r="R183" s="758"/>
    </row>
    <row r="184" spans="1:18" ht="184.5" hidden="1" thickTop="1" thickBot="1" x14ac:dyDescent="0.25">
      <c r="A184" s="764"/>
      <c r="B184" s="764"/>
      <c r="C184" s="764"/>
      <c r="D184" s="323" t="s">
        <v>1237</v>
      </c>
      <c r="E184" s="764"/>
      <c r="F184" s="764"/>
      <c r="G184" s="764"/>
      <c r="H184" s="764"/>
      <c r="I184" s="764"/>
      <c r="J184" s="764"/>
      <c r="K184" s="764"/>
      <c r="L184" s="764"/>
      <c r="M184" s="764"/>
      <c r="N184" s="764"/>
      <c r="O184" s="764"/>
      <c r="P184" s="764"/>
      <c r="Q184" s="771"/>
      <c r="R184" s="759"/>
    </row>
    <row r="185" spans="1:18" ht="184.5" hidden="1" thickTop="1" thickBot="1" x14ac:dyDescent="0.25">
      <c r="A185" s="764"/>
      <c r="B185" s="764"/>
      <c r="C185" s="764"/>
      <c r="D185" s="323" t="s">
        <v>1238</v>
      </c>
      <c r="E185" s="764"/>
      <c r="F185" s="764"/>
      <c r="G185" s="764"/>
      <c r="H185" s="764"/>
      <c r="I185" s="764"/>
      <c r="J185" s="764"/>
      <c r="K185" s="764"/>
      <c r="L185" s="764"/>
      <c r="M185" s="764"/>
      <c r="N185" s="764"/>
      <c r="O185" s="764"/>
      <c r="P185" s="764"/>
      <c r="Q185" s="771"/>
      <c r="R185" s="759"/>
    </row>
    <row r="186" spans="1:18" ht="93" hidden="1" thickTop="1" thickBot="1" x14ac:dyDescent="0.25">
      <c r="A186" s="765"/>
      <c r="B186" s="765"/>
      <c r="C186" s="765"/>
      <c r="D186" s="324" t="s">
        <v>1239</v>
      </c>
      <c r="E186" s="765"/>
      <c r="F186" s="765"/>
      <c r="G186" s="765"/>
      <c r="H186" s="765"/>
      <c r="I186" s="765"/>
      <c r="J186" s="765"/>
      <c r="K186" s="765"/>
      <c r="L186" s="765"/>
      <c r="M186" s="765"/>
      <c r="N186" s="765"/>
      <c r="O186" s="765"/>
      <c r="P186" s="765"/>
      <c r="Q186" s="771"/>
      <c r="R186" s="759"/>
    </row>
    <row r="187" spans="1:18" ht="409.6" hidden="1" thickTop="1" thickBot="1" x14ac:dyDescent="0.7">
      <c r="A187" s="768" t="s">
        <v>984</v>
      </c>
      <c r="B187" s="768" t="s">
        <v>985</v>
      </c>
      <c r="C187" s="768" t="s">
        <v>48</v>
      </c>
      <c r="D187" s="322" t="s">
        <v>1374</v>
      </c>
      <c r="E187" s="763">
        <f t="shared" si="135"/>
        <v>0</v>
      </c>
      <c r="F187" s="763"/>
      <c r="G187" s="763"/>
      <c r="H187" s="763"/>
      <c r="I187" s="763"/>
      <c r="J187" s="763">
        <f t="shared" si="136"/>
        <v>0</v>
      </c>
      <c r="K187" s="769"/>
      <c r="L187" s="763"/>
      <c r="M187" s="763"/>
      <c r="N187" s="763"/>
      <c r="O187" s="763">
        <f t="shared" si="137"/>
        <v>0</v>
      </c>
      <c r="P187" s="763">
        <f t="shared" si="138"/>
        <v>0</v>
      </c>
      <c r="Q187" s="18"/>
      <c r="R187" s="758"/>
    </row>
    <row r="188" spans="1:18" ht="184.5" hidden="1" thickTop="1" thickBot="1" x14ac:dyDescent="0.25">
      <c r="A188" s="764"/>
      <c r="B188" s="764"/>
      <c r="C188" s="764"/>
      <c r="D188" s="323" t="s">
        <v>1375</v>
      </c>
      <c r="E188" s="764"/>
      <c r="F188" s="764"/>
      <c r="G188" s="764"/>
      <c r="H188" s="764"/>
      <c r="I188" s="764"/>
      <c r="J188" s="764"/>
      <c r="K188" s="764"/>
      <c r="L188" s="764"/>
      <c r="M188" s="764"/>
      <c r="N188" s="764"/>
      <c r="O188" s="764"/>
      <c r="P188" s="764"/>
      <c r="Q188" s="18"/>
      <c r="R188" s="770"/>
    </row>
    <row r="189" spans="1:18" ht="184.5" hidden="1" thickTop="1" thickBot="1" x14ac:dyDescent="0.7">
      <c r="A189" s="768" t="s">
        <v>986</v>
      </c>
      <c r="B189" s="768" t="s">
        <v>987</v>
      </c>
      <c r="C189" s="768" t="s">
        <v>48</v>
      </c>
      <c r="D189" s="322" t="s">
        <v>1240</v>
      </c>
      <c r="E189" s="763">
        <f t="shared" ref="E189" si="139">F189</f>
        <v>0</v>
      </c>
      <c r="F189" s="763"/>
      <c r="G189" s="763"/>
      <c r="H189" s="763"/>
      <c r="I189" s="763"/>
      <c r="J189" s="763">
        <f t="shared" ref="J189" si="140">L189+O189</f>
        <v>0</v>
      </c>
      <c r="K189" s="769"/>
      <c r="L189" s="763"/>
      <c r="M189" s="763"/>
      <c r="N189" s="763"/>
      <c r="O189" s="769">
        <f t="shared" ref="O189" si="141">K189</f>
        <v>0</v>
      </c>
      <c r="P189" s="763">
        <f t="shared" ref="P189" si="142">E189+J189</f>
        <v>0</v>
      </c>
      <c r="Q189" s="18"/>
      <c r="R189" s="758"/>
    </row>
    <row r="190" spans="1:18" ht="184.5" hidden="1" thickTop="1" thickBot="1" x14ac:dyDescent="0.25">
      <c r="A190" s="764"/>
      <c r="B190" s="764"/>
      <c r="C190" s="764"/>
      <c r="D190" s="323" t="s">
        <v>1241</v>
      </c>
      <c r="E190" s="764"/>
      <c r="F190" s="764"/>
      <c r="G190" s="764"/>
      <c r="H190" s="764"/>
      <c r="I190" s="764"/>
      <c r="J190" s="764"/>
      <c r="K190" s="764"/>
      <c r="L190" s="764"/>
      <c r="M190" s="764"/>
      <c r="N190" s="764"/>
      <c r="O190" s="764"/>
      <c r="P190" s="764"/>
      <c r="Q190" s="18"/>
      <c r="R190" s="759"/>
    </row>
    <row r="191" spans="1:18" ht="93" hidden="1" thickTop="1" thickBot="1" x14ac:dyDescent="0.25">
      <c r="A191" s="765"/>
      <c r="B191" s="765"/>
      <c r="C191" s="765"/>
      <c r="D191" s="324" t="s">
        <v>988</v>
      </c>
      <c r="E191" s="765"/>
      <c r="F191" s="765"/>
      <c r="G191" s="765"/>
      <c r="H191" s="765"/>
      <c r="I191" s="765"/>
      <c r="J191" s="765"/>
      <c r="K191" s="765"/>
      <c r="L191" s="765"/>
      <c r="M191" s="765"/>
      <c r="N191" s="765"/>
      <c r="O191" s="765"/>
      <c r="P191" s="765"/>
      <c r="Q191" s="18"/>
      <c r="R191" s="759"/>
    </row>
    <row r="192" spans="1:18" ht="184.5" hidden="1" thickTop="1" thickBot="1" x14ac:dyDescent="0.7">
      <c r="A192" s="760" t="s">
        <v>992</v>
      </c>
      <c r="B192" s="760" t="s">
        <v>993</v>
      </c>
      <c r="C192" s="760" t="s">
        <v>48</v>
      </c>
      <c r="D192" s="278" t="s">
        <v>989</v>
      </c>
      <c r="E192" s="763">
        <f t="shared" ref="E192" si="143">F192</f>
        <v>0</v>
      </c>
      <c r="F192" s="763"/>
      <c r="G192" s="763"/>
      <c r="H192" s="763"/>
      <c r="I192" s="763"/>
      <c r="J192" s="763">
        <f t="shared" ref="J192" si="144">L192+O192</f>
        <v>0</v>
      </c>
      <c r="K192" s="766">
        <v>0</v>
      </c>
      <c r="L192" s="767"/>
      <c r="M192" s="767"/>
      <c r="N192" s="767"/>
      <c r="O192" s="766">
        <f t="shared" ref="O192" si="145">K192</f>
        <v>0</v>
      </c>
      <c r="P192" s="767">
        <f t="shared" ref="P192" si="146">E192+J192</f>
        <v>0</v>
      </c>
      <c r="Q192" s="18"/>
      <c r="R192" s="758"/>
    </row>
    <row r="193" spans="1:18" ht="184.5" hidden="1" thickTop="1" thickBot="1" x14ac:dyDescent="0.25">
      <c r="A193" s="761"/>
      <c r="B193" s="761"/>
      <c r="C193" s="761"/>
      <c r="D193" s="117" t="s">
        <v>990</v>
      </c>
      <c r="E193" s="764"/>
      <c r="F193" s="764"/>
      <c r="G193" s="764"/>
      <c r="H193" s="764"/>
      <c r="I193" s="764"/>
      <c r="J193" s="764"/>
      <c r="K193" s="761"/>
      <c r="L193" s="761"/>
      <c r="M193" s="761"/>
      <c r="N193" s="761"/>
      <c r="O193" s="761"/>
      <c r="P193" s="761"/>
      <c r="Q193" s="18"/>
      <c r="R193" s="759"/>
    </row>
    <row r="194" spans="1:18" ht="47.25" hidden="1" thickTop="1" thickBot="1" x14ac:dyDescent="0.25">
      <c r="A194" s="762"/>
      <c r="B194" s="762"/>
      <c r="C194" s="762"/>
      <c r="D194" s="279" t="s">
        <v>991</v>
      </c>
      <c r="E194" s="765"/>
      <c r="F194" s="765"/>
      <c r="G194" s="765"/>
      <c r="H194" s="765"/>
      <c r="I194" s="765"/>
      <c r="J194" s="765"/>
      <c r="K194" s="762"/>
      <c r="L194" s="762"/>
      <c r="M194" s="762"/>
      <c r="N194" s="762"/>
      <c r="O194" s="762"/>
      <c r="P194" s="762"/>
      <c r="Q194" s="18"/>
      <c r="R194" s="759"/>
    </row>
    <row r="195" spans="1:18" ht="378" hidden="1" customHeight="1" thickTop="1" x14ac:dyDescent="0.2">
      <c r="A195" s="768" t="s">
        <v>1449</v>
      </c>
      <c r="B195" s="768" t="s">
        <v>1450</v>
      </c>
      <c r="C195" s="768" t="s">
        <v>48</v>
      </c>
      <c r="D195" s="768" t="s">
        <v>1451</v>
      </c>
      <c r="E195" s="763"/>
      <c r="F195" s="769"/>
      <c r="G195" s="769"/>
      <c r="H195" s="769"/>
      <c r="I195" s="769"/>
      <c r="J195" s="763">
        <f t="shared" ref="J195" si="147">L195+O195</f>
        <v>0</v>
      </c>
      <c r="K195" s="769"/>
      <c r="L195" s="769"/>
      <c r="M195" s="769"/>
      <c r="N195" s="769"/>
      <c r="O195" s="779">
        <f t="shared" ref="O195" si="148">K195</f>
        <v>0</v>
      </c>
      <c r="P195" s="763">
        <f t="shared" ref="P195" si="149">E195+J195</f>
        <v>0</v>
      </c>
      <c r="Q195" s="18"/>
      <c r="R195" s="19"/>
    </row>
    <row r="196" spans="1:18" ht="315.75" hidden="1" customHeight="1" thickBot="1" x14ac:dyDescent="0.25">
      <c r="A196" s="809"/>
      <c r="B196" s="809"/>
      <c r="C196" s="809"/>
      <c r="D196" s="809"/>
      <c r="E196" s="808"/>
      <c r="F196" s="777"/>
      <c r="G196" s="777"/>
      <c r="H196" s="777"/>
      <c r="I196" s="777"/>
      <c r="J196" s="808"/>
      <c r="K196" s="777"/>
      <c r="L196" s="777"/>
      <c r="M196" s="777"/>
      <c r="N196" s="777"/>
      <c r="O196" s="780"/>
      <c r="P196" s="808"/>
      <c r="Q196" s="18"/>
      <c r="R196" s="19"/>
    </row>
    <row r="197" spans="1:18" ht="171.75" customHeight="1" thickTop="1" thickBot="1" x14ac:dyDescent="0.25">
      <c r="A197" s="94" t="s">
        <v>1083</v>
      </c>
      <c r="B197" s="94" t="s">
        <v>1080</v>
      </c>
      <c r="C197" s="94" t="s">
        <v>201</v>
      </c>
      <c r="D197" s="507" t="s">
        <v>1434</v>
      </c>
      <c r="E197" s="471">
        <f>F197+I197</f>
        <v>5755950</v>
      </c>
      <c r="F197" s="504">
        <v>5714410</v>
      </c>
      <c r="G197" s="125"/>
      <c r="H197" s="125"/>
      <c r="I197" s="504">
        <v>41540</v>
      </c>
      <c r="J197" s="501">
        <f t="shared" ref="J197" si="150">L197+O197</f>
        <v>0</v>
      </c>
      <c r="K197" s="504"/>
      <c r="L197" s="504"/>
      <c r="M197" s="504"/>
      <c r="N197" s="504"/>
      <c r="O197" s="502">
        <f t="shared" ref="O197" si="151">K197</f>
        <v>0</v>
      </c>
      <c r="P197" s="501">
        <f>E197+J197</f>
        <v>5755950</v>
      </c>
      <c r="Q197" s="18"/>
      <c r="R197" s="19"/>
    </row>
    <row r="198" spans="1:18" s="31" customFormat="1" ht="104.25" customHeight="1" thickTop="1" thickBot="1" x14ac:dyDescent="0.25">
      <c r="A198" s="518" t="s">
        <v>704</v>
      </c>
      <c r="B198" s="518" t="s">
        <v>705</v>
      </c>
      <c r="C198" s="518"/>
      <c r="D198" s="518" t="s">
        <v>1520</v>
      </c>
      <c r="E198" s="519">
        <f>SUM(E199:E201)</f>
        <v>257922065.43000001</v>
      </c>
      <c r="F198" s="519">
        <f t="shared" ref="F198:P198" si="152">SUM(F199:F201)</f>
        <v>219099565</v>
      </c>
      <c r="G198" s="519">
        <f t="shared" si="152"/>
        <v>24299813</v>
      </c>
      <c r="H198" s="519">
        <f t="shared" si="152"/>
        <v>2426334</v>
      </c>
      <c r="I198" s="519">
        <f t="shared" si="152"/>
        <v>38822500.43</v>
      </c>
      <c r="J198" s="519">
        <f t="shared" si="152"/>
        <v>14313908</v>
      </c>
      <c r="K198" s="519">
        <f t="shared" si="152"/>
        <v>799985</v>
      </c>
      <c r="L198" s="519">
        <f t="shared" si="152"/>
        <v>13463923</v>
      </c>
      <c r="M198" s="519">
        <f t="shared" si="152"/>
        <v>4740871</v>
      </c>
      <c r="N198" s="519">
        <f t="shared" si="152"/>
        <v>1214000</v>
      </c>
      <c r="O198" s="519">
        <f t="shared" si="152"/>
        <v>849985</v>
      </c>
      <c r="P198" s="519">
        <f t="shared" si="152"/>
        <v>272235973.43000001</v>
      </c>
      <c r="Q198" s="34"/>
      <c r="R198" s="49"/>
    </row>
    <row r="199" spans="1:18" ht="140.25" customHeight="1" thickTop="1" thickBot="1" x14ac:dyDescent="0.25">
      <c r="A199" s="94" t="s">
        <v>320</v>
      </c>
      <c r="B199" s="94" t="s">
        <v>322</v>
      </c>
      <c r="C199" s="94" t="s">
        <v>186</v>
      </c>
      <c r="D199" s="507" t="s">
        <v>1392</v>
      </c>
      <c r="E199" s="471">
        <f>F199+I199</f>
        <v>53936945.43</v>
      </c>
      <c r="F199" s="504">
        <f>(45556972)+614785+135252+186000+3340+4487498+594672+153506+374000+200000+150000+100000+408420</f>
        <v>52964445</v>
      </c>
      <c r="G199" s="520">
        <f>(6607077+8240119+4535714)+614785+3707446+594672</f>
        <v>24299813</v>
      </c>
      <c r="H199" s="520">
        <f>(118200+465543+275270+20306+480000+201055+28800+1920+548900+29000)+374000-120000+3340</f>
        <v>2426334</v>
      </c>
      <c r="I199" s="504">
        <f>(579000)+65800+327700.43</f>
        <v>972500.42999999993</v>
      </c>
      <c r="J199" s="501">
        <f t="shared" ref="J199:J211" si="153">L199+O199</f>
        <v>13513923</v>
      </c>
      <c r="K199" s="504"/>
      <c r="L199" s="504">
        <f>(5107483-15000+6500000)+370360+81480+1419600</f>
        <v>13463923</v>
      </c>
      <c r="M199" s="504">
        <f>(2070511+2300000)+370360</f>
        <v>4740871</v>
      </c>
      <c r="N199" s="504">
        <f>387000+27000+300000+500000</f>
        <v>1214000</v>
      </c>
      <c r="O199" s="502">
        <f>(K199+15000)+35000</f>
        <v>50000</v>
      </c>
      <c r="P199" s="501">
        <f t="shared" ref="P199:P211" si="154">E199+J199</f>
        <v>67450868.430000007</v>
      </c>
      <c r="Q199" s="18"/>
      <c r="R199" s="44"/>
    </row>
    <row r="200" spans="1:18" ht="123" customHeight="1" thickTop="1" thickBot="1" x14ac:dyDescent="0.25">
      <c r="A200" s="94" t="s">
        <v>321</v>
      </c>
      <c r="B200" s="94" t="s">
        <v>323</v>
      </c>
      <c r="C200" s="94" t="s">
        <v>186</v>
      </c>
      <c r="D200" s="507" t="s">
        <v>1702</v>
      </c>
      <c r="E200" s="471">
        <f>F200+I200</f>
        <v>203985120</v>
      </c>
      <c r="F200" s="504">
        <f>(156135120)+10000000</f>
        <v>166135120</v>
      </c>
      <c r="G200" s="125"/>
      <c r="H200" s="125"/>
      <c r="I200" s="504">
        <v>37850000</v>
      </c>
      <c r="J200" s="501">
        <f t="shared" si="153"/>
        <v>0</v>
      </c>
      <c r="K200" s="125"/>
      <c r="L200" s="125"/>
      <c r="M200" s="125"/>
      <c r="N200" s="125"/>
      <c r="O200" s="502">
        <f t="shared" ref="O200:O211" si="155">K200</f>
        <v>0</v>
      </c>
      <c r="P200" s="501">
        <f t="shared" si="154"/>
        <v>203985120</v>
      </c>
      <c r="Q200" s="18"/>
      <c r="R200" s="44"/>
    </row>
    <row r="201" spans="1:18" ht="176.25" customHeight="1" thickTop="1" thickBot="1" x14ac:dyDescent="0.25">
      <c r="A201" s="94" t="s">
        <v>1460</v>
      </c>
      <c r="B201" s="94" t="s">
        <v>1459</v>
      </c>
      <c r="C201" s="94" t="s">
        <v>180</v>
      </c>
      <c r="D201" s="507" t="s">
        <v>1709</v>
      </c>
      <c r="E201" s="118"/>
      <c r="F201" s="125"/>
      <c r="G201" s="125"/>
      <c r="H201" s="125"/>
      <c r="I201" s="125"/>
      <c r="J201" s="501">
        <f t="shared" si="153"/>
        <v>799985</v>
      </c>
      <c r="K201" s="504">
        <v>799985</v>
      </c>
      <c r="L201" s="125"/>
      <c r="M201" s="125"/>
      <c r="N201" s="125"/>
      <c r="O201" s="502">
        <f t="shared" si="155"/>
        <v>799985</v>
      </c>
      <c r="P201" s="501">
        <f t="shared" si="154"/>
        <v>799985</v>
      </c>
      <c r="Q201" s="18"/>
      <c r="R201" s="44"/>
    </row>
    <row r="202" spans="1:18" ht="189" customHeight="1" thickTop="1" thickBot="1" x14ac:dyDescent="0.25">
      <c r="A202" s="94" t="s">
        <v>1376</v>
      </c>
      <c r="B202" s="94" t="s">
        <v>1377</v>
      </c>
      <c r="C202" s="94" t="s">
        <v>186</v>
      </c>
      <c r="D202" s="94" t="s">
        <v>1505</v>
      </c>
      <c r="E202" s="471"/>
      <c r="F202" s="125"/>
      <c r="G202" s="125"/>
      <c r="H202" s="125"/>
      <c r="I202" s="125"/>
      <c r="J202" s="501">
        <f>L202+O202</f>
        <v>51000000</v>
      </c>
      <c r="K202" s="504">
        <f>45000000+6000000</f>
        <v>51000000</v>
      </c>
      <c r="L202" s="125"/>
      <c r="M202" s="125"/>
      <c r="N202" s="125"/>
      <c r="O202" s="502">
        <f>K202</f>
        <v>51000000</v>
      </c>
      <c r="P202" s="501">
        <f>E202+J202</f>
        <v>51000000</v>
      </c>
      <c r="Q202" s="18"/>
      <c r="R202" s="44"/>
    </row>
    <row r="203" spans="1:18" ht="47.25" hidden="1" thickTop="1" thickBot="1" x14ac:dyDescent="0.25">
      <c r="A203" s="116" t="s">
        <v>706</v>
      </c>
      <c r="B203" s="116" t="s">
        <v>707</v>
      </c>
      <c r="C203" s="116"/>
      <c r="D203" s="280" t="s">
        <v>708</v>
      </c>
      <c r="E203" s="118">
        <f>SUM(E204)</f>
        <v>0</v>
      </c>
      <c r="F203" s="118">
        <f t="shared" ref="F203:P203" si="156">SUM(F204)</f>
        <v>0</v>
      </c>
      <c r="G203" s="118">
        <f t="shared" si="156"/>
        <v>0</v>
      </c>
      <c r="H203" s="118">
        <f t="shared" si="156"/>
        <v>0</v>
      </c>
      <c r="I203" s="118">
        <f t="shared" si="156"/>
        <v>0</v>
      </c>
      <c r="J203" s="118">
        <f>SUM(J204)</f>
        <v>0</v>
      </c>
      <c r="K203" s="118">
        <f t="shared" si="156"/>
        <v>0</v>
      </c>
      <c r="L203" s="118">
        <f t="shared" si="156"/>
        <v>0</v>
      </c>
      <c r="M203" s="118">
        <f t="shared" si="156"/>
        <v>0</v>
      </c>
      <c r="N203" s="118">
        <f t="shared" si="156"/>
        <v>0</v>
      </c>
      <c r="O203" s="118">
        <f t="shared" si="156"/>
        <v>0</v>
      </c>
      <c r="P203" s="118">
        <f t="shared" si="156"/>
        <v>0</v>
      </c>
      <c r="Q203" s="18"/>
      <c r="R203" s="44"/>
    </row>
    <row r="204" spans="1:18" s="31" customFormat="1" ht="48" hidden="1" thickTop="1" thickBot="1" x14ac:dyDescent="0.25">
      <c r="A204" s="131" t="s">
        <v>709</v>
      </c>
      <c r="B204" s="131" t="s">
        <v>710</v>
      </c>
      <c r="C204" s="131"/>
      <c r="D204" s="143" t="s">
        <v>711</v>
      </c>
      <c r="E204" s="132">
        <f>SUM(E205:E206)</f>
        <v>0</v>
      </c>
      <c r="F204" s="132">
        <f>SUM(F205:F206)</f>
        <v>0</v>
      </c>
      <c r="G204" s="132">
        <f>SUM(G205:G206)</f>
        <v>0</v>
      </c>
      <c r="H204" s="132">
        <f>SUM(H205:H206)</f>
        <v>0</v>
      </c>
      <c r="I204" s="132">
        <f>SUM(I205:I206)</f>
        <v>0</v>
      </c>
      <c r="J204" s="132">
        <f t="shared" ref="J204:O204" si="157">SUM(J205:J206)</f>
        <v>0</v>
      </c>
      <c r="K204" s="132">
        <f t="shared" si="157"/>
        <v>0</v>
      </c>
      <c r="L204" s="132">
        <f t="shared" si="157"/>
        <v>0</v>
      </c>
      <c r="M204" s="132">
        <f t="shared" si="157"/>
        <v>0</v>
      </c>
      <c r="N204" s="132">
        <f t="shared" si="157"/>
        <v>0</v>
      </c>
      <c r="O204" s="132">
        <f t="shared" si="157"/>
        <v>0</v>
      </c>
      <c r="P204" s="132">
        <f>SUM(P205:P206)</f>
        <v>0</v>
      </c>
      <c r="Q204" s="34"/>
      <c r="R204" s="50"/>
    </row>
    <row r="205" spans="1:18" ht="93" hidden="1" thickTop="1" thickBot="1" x14ac:dyDescent="0.25">
      <c r="A205" s="119" t="s">
        <v>357</v>
      </c>
      <c r="B205" s="119" t="s">
        <v>355</v>
      </c>
      <c r="C205" s="119" t="s">
        <v>331</v>
      </c>
      <c r="D205" s="277" t="s">
        <v>356</v>
      </c>
      <c r="E205" s="118"/>
      <c r="F205" s="125"/>
      <c r="G205" s="125"/>
      <c r="H205" s="125"/>
      <c r="I205" s="125"/>
      <c r="J205" s="118">
        <f t="shared" si="153"/>
        <v>0</v>
      </c>
      <c r="K205" s="125"/>
      <c r="L205" s="125"/>
      <c r="M205" s="125"/>
      <c r="N205" s="125"/>
      <c r="O205" s="123">
        <f t="shared" si="155"/>
        <v>0</v>
      </c>
      <c r="P205" s="118">
        <f t="shared" si="154"/>
        <v>0</v>
      </c>
      <c r="Q205" s="18"/>
      <c r="R205" s="44"/>
    </row>
    <row r="206" spans="1:18" ht="184.5" hidden="1" customHeight="1" thickTop="1" thickBot="1" x14ac:dyDescent="0.25">
      <c r="A206" s="119" t="s">
        <v>994</v>
      </c>
      <c r="B206" s="119" t="s">
        <v>995</v>
      </c>
      <c r="C206" s="119" t="s">
        <v>331</v>
      </c>
      <c r="D206" s="277" t="s">
        <v>996</v>
      </c>
      <c r="E206" s="118">
        <f t="shared" si="130"/>
        <v>0</v>
      </c>
      <c r="F206" s="125"/>
      <c r="G206" s="125"/>
      <c r="H206" s="125"/>
      <c r="I206" s="125"/>
      <c r="J206" s="118">
        <f t="shared" si="153"/>
        <v>0</v>
      </c>
      <c r="K206" s="125"/>
      <c r="L206" s="125"/>
      <c r="M206" s="125"/>
      <c r="N206" s="125"/>
      <c r="O206" s="123">
        <f t="shared" si="155"/>
        <v>0</v>
      </c>
      <c r="P206" s="118">
        <f t="shared" si="154"/>
        <v>0</v>
      </c>
      <c r="Q206" s="18"/>
      <c r="R206" s="44"/>
    </row>
    <row r="207" spans="1:18" ht="90.75" customHeight="1" thickTop="1" thickBot="1" x14ac:dyDescent="0.25">
      <c r="A207" s="239" t="s">
        <v>715</v>
      </c>
      <c r="B207" s="239" t="s">
        <v>713</v>
      </c>
      <c r="C207" s="239"/>
      <c r="D207" s="239" t="s">
        <v>714</v>
      </c>
      <c r="E207" s="501">
        <f>E208</f>
        <v>2000000</v>
      </c>
      <c r="F207" s="501">
        <f t="shared" ref="F207:P207" si="158">F208</f>
        <v>0</v>
      </c>
      <c r="G207" s="501">
        <f t="shared" si="158"/>
        <v>0</v>
      </c>
      <c r="H207" s="501">
        <f t="shared" si="158"/>
        <v>0</v>
      </c>
      <c r="I207" s="501">
        <f t="shared" si="158"/>
        <v>2000000</v>
      </c>
      <c r="J207" s="501">
        <f t="shared" si="158"/>
        <v>0</v>
      </c>
      <c r="K207" s="501">
        <f t="shared" si="158"/>
        <v>0</v>
      </c>
      <c r="L207" s="501">
        <f t="shared" si="158"/>
        <v>0</v>
      </c>
      <c r="M207" s="501">
        <f t="shared" si="158"/>
        <v>0</v>
      </c>
      <c r="N207" s="501">
        <f t="shared" si="158"/>
        <v>0</v>
      </c>
      <c r="O207" s="501">
        <f t="shared" si="158"/>
        <v>0</v>
      </c>
      <c r="P207" s="501">
        <f t="shared" si="158"/>
        <v>2000000</v>
      </c>
      <c r="Q207" s="18"/>
      <c r="R207" s="44"/>
    </row>
    <row r="208" spans="1:18" ht="103.5" customHeight="1" thickTop="1" thickBot="1" x14ac:dyDescent="0.25">
      <c r="A208" s="508" t="s">
        <v>717</v>
      </c>
      <c r="B208" s="508" t="s">
        <v>659</v>
      </c>
      <c r="C208" s="508"/>
      <c r="D208" s="508" t="s">
        <v>657</v>
      </c>
      <c r="E208" s="524">
        <f>E210+E209</f>
        <v>2000000</v>
      </c>
      <c r="F208" s="524">
        <f t="shared" ref="F208:I208" si="159">F210+F209</f>
        <v>0</v>
      </c>
      <c r="G208" s="524">
        <f t="shared" si="159"/>
        <v>0</v>
      </c>
      <c r="H208" s="524">
        <f t="shared" si="159"/>
        <v>0</v>
      </c>
      <c r="I208" s="524">
        <f t="shared" si="159"/>
        <v>2000000</v>
      </c>
      <c r="J208" s="524">
        <f>J210+J209</f>
        <v>0</v>
      </c>
      <c r="K208" s="524">
        <f t="shared" ref="K208:O208" si="160">K210+K209</f>
        <v>0</v>
      </c>
      <c r="L208" s="524">
        <f t="shared" si="160"/>
        <v>0</v>
      </c>
      <c r="M208" s="524">
        <f t="shared" si="160"/>
        <v>0</v>
      </c>
      <c r="N208" s="524">
        <f t="shared" si="160"/>
        <v>0</v>
      </c>
      <c r="O208" s="524">
        <f t="shared" si="160"/>
        <v>0</v>
      </c>
      <c r="P208" s="524">
        <f>P210+P209</f>
        <v>2000000</v>
      </c>
      <c r="Q208" s="18"/>
      <c r="R208" s="44"/>
    </row>
    <row r="209" spans="1:18" ht="101.25" customHeight="1" thickTop="1" thickBot="1" x14ac:dyDescent="0.25">
      <c r="A209" s="94" t="s">
        <v>1160</v>
      </c>
      <c r="B209" s="94" t="s">
        <v>207</v>
      </c>
      <c r="C209" s="94" t="s">
        <v>208</v>
      </c>
      <c r="D209" s="94" t="s">
        <v>40</v>
      </c>
      <c r="E209" s="471">
        <f>F209+I209</f>
        <v>2000000</v>
      </c>
      <c r="F209" s="504">
        <v>0</v>
      </c>
      <c r="G209" s="504"/>
      <c r="H209" s="504"/>
      <c r="I209" s="504">
        <f>(500000)+1500000</f>
        <v>2000000</v>
      </c>
      <c r="J209" s="501">
        <f t="shared" ref="J209" si="161">L209+O209</f>
        <v>0</v>
      </c>
      <c r="K209" s="504"/>
      <c r="L209" s="504"/>
      <c r="M209" s="504"/>
      <c r="N209" s="504"/>
      <c r="O209" s="502">
        <f t="shared" ref="O209" si="162">K209</f>
        <v>0</v>
      </c>
      <c r="P209" s="501">
        <f t="shared" ref="P209" si="163">E209+J209</f>
        <v>2000000</v>
      </c>
      <c r="Q209" s="18"/>
      <c r="R209" s="44"/>
    </row>
    <row r="210" spans="1:18" ht="48" hidden="1" thickTop="1" thickBot="1" x14ac:dyDescent="0.25">
      <c r="A210" s="131" t="s">
        <v>716</v>
      </c>
      <c r="B210" s="131" t="s">
        <v>662</v>
      </c>
      <c r="C210" s="131"/>
      <c r="D210" s="143" t="s">
        <v>660</v>
      </c>
      <c r="E210" s="132">
        <f>E211</f>
        <v>0</v>
      </c>
      <c r="F210" s="132">
        <f t="shared" ref="F210:P210" si="164">F211</f>
        <v>0</v>
      </c>
      <c r="G210" s="132">
        <f t="shared" si="164"/>
        <v>0</v>
      </c>
      <c r="H210" s="132">
        <f t="shared" si="164"/>
        <v>0</v>
      </c>
      <c r="I210" s="132">
        <f t="shared" si="164"/>
        <v>0</v>
      </c>
      <c r="J210" s="132">
        <f t="shared" si="164"/>
        <v>0</v>
      </c>
      <c r="K210" s="132">
        <f t="shared" si="164"/>
        <v>0</v>
      </c>
      <c r="L210" s="132">
        <f t="shared" si="164"/>
        <v>0</v>
      </c>
      <c r="M210" s="132">
        <f t="shared" si="164"/>
        <v>0</v>
      </c>
      <c r="N210" s="132">
        <f t="shared" si="164"/>
        <v>0</v>
      </c>
      <c r="O210" s="132">
        <f t="shared" si="164"/>
        <v>0</v>
      </c>
      <c r="P210" s="132">
        <f t="shared" si="164"/>
        <v>0</v>
      </c>
      <c r="Q210" s="18"/>
      <c r="R210" s="44"/>
    </row>
    <row r="211" spans="1:18" ht="184.5" hidden="1" thickTop="1" thickBot="1" x14ac:dyDescent="0.7">
      <c r="A211" s="805" t="s">
        <v>412</v>
      </c>
      <c r="B211" s="805" t="s">
        <v>329</v>
      </c>
      <c r="C211" s="805" t="s">
        <v>165</v>
      </c>
      <c r="D211" s="144" t="s">
        <v>429</v>
      </c>
      <c r="E211" s="778">
        <f t="shared" si="130"/>
        <v>0</v>
      </c>
      <c r="F211" s="772"/>
      <c r="G211" s="772"/>
      <c r="H211" s="772"/>
      <c r="I211" s="772"/>
      <c r="J211" s="778">
        <f t="shared" si="153"/>
        <v>0</v>
      </c>
      <c r="K211" s="772"/>
      <c r="L211" s="772"/>
      <c r="M211" s="772"/>
      <c r="N211" s="772"/>
      <c r="O211" s="775">
        <f t="shared" si="155"/>
        <v>0</v>
      </c>
      <c r="P211" s="806">
        <f t="shared" si="154"/>
        <v>0</v>
      </c>
      <c r="Q211" s="18"/>
      <c r="R211" s="48"/>
    </row>
    <row r="212" spans="1:18" ht="93" hidden="1" thickTop="1" thickBot="1" x14ac:dyDescent="0.25">
      <c r="A212" s="773"/>
      <c r="B212" s="810"/>
      <c r="C212" s="773"/>
      <c r="D212" s="145" t="s">
        <v>430</v>
      </c>
      <c r="E212" s="773"/>
      <c r="F212" s="774"/>
      <c r="G212" s="774"/>
      <c r="H212" s="774"/>
      <c r="I212" s="774"/>
      <c r="J212" s="773"/>
      <c r="K212" s="773"/>
      <c r="L212" s="774"/>
      <c r="M212" s="774"/>
      <c r="N212" s="774"/>
      <c r="O212" s="776"/>
      <c r="P212" s="807"/>
      <c r="Q212" s="18"/>
      <c r="R212" s="48"/>
    </row>
    <row r="213" spans="1:18" ht="168.75" customHeight="1" thickTop="1" thickBot="1" x14ac:dyDescent="0.25">
      <c r="A213" s="514">
        <v>1000000</v>
      </c>
      <c r="B213" s="514"/>
      <c r="C213" s="514"/>
      <c r="D213" s="515" t="s">
        <v>24</v>
      </c>
      <c r="E213" s="516">
        <f>E214</f>
        <v>230576745</v>
      </c>
      <c r="F213" s="517">
        <f t="shared" ref="F213:G213" si="165">F214</f>
        <v>227222995</v>
      </c>
      <c r="G213" s="517">
        <f t="shared" si="165"/>
        <v>168111507</v>
      </c>
      <c r="H213" s="517">
        <f>H214</f>
        <v>8720850</v>
      </c>
      <c r="I213" s="517">
        <f>I214</f>
        <v>3353750</v>
      </c>
      <c r="J213" s="516">
        <f>J214</f>
        <v>17128356</v>
      </c>
      <c r="K213" s="517">
        <f>K214</f>
        <v>0</v>
      </c>
      <c r="L213" s="517">
        <f>L214</f>
        <v>16538126</v>
      </c>
      <c r="M213" s="517">
        <f t="shared" ref="M213" si="166">M214</f>
        <v>12419140</v>
      </c>
      <c r="N213" s="517">
        <f>N214</f>
        <v>489580</v>
      </c>
      <c r="O213" s="516">
        <f>O214</f>
        <v>590230</v>
      </c>
      <c r="P213" s="517">
        <f t="shared" ref="P213" si="167">P214</f>
        <v>247705101</v>
      </c>
      <c r="Q213" s="517">
        <f>O214-K214</f>
        <v>590230</v>
      </c>
    </row>
    <row r="214" spans="1:18" ht="168.75" customHeight="1" thickTop="1" thickBot="1" x14ac:dyDescent="0.25">
      <c r="A214" s="511">
        <v>1010000</v>
      </c>
      <c r="B214" s="511"/>
      <c r="C214" s="511"/>
      <c r="D214" s="512" t="s">
        <v>38</v>
      </c>
      <c r="E214" s="513">
        <f>E215+E217+E231+E225</f>
        <v>230576745</v>
      </c>
      <c r="F214" s="513">
        <f>F215+F217+F231+F225</f>
        <v>227222995</v>
      </c>
      <c r="G214" s="513">
        <f>G215+G217+G231+G225</f>
        <v>168111507</v>
      </c>
      <c r="H214" s="513">
        <f>H215+H217+H231+H225</f>
        <v>8720850</v>
      </c>
      <c r="I214" s="513">
        <f>I215+I217+I231+I225</f>
        <v>3353750</v>
      </c>
      <c r="J214" s="513">
        <f t="shared" ref="J214:J224" si="168">L214+O214</f>
        <v>17128356</v>
      </c>
      <c r="K214" s="513">
        <f>K215+K217+K231+K225</f>
        <v>0</v>
      </c>
      <c r="L214" s="513">
        <f>L215+L217+L231+L225</f>
        <v>16538126</v>
      </c>
      <c r="M214" s="513">
        <f>M215+M217+M231+M225</f>
        <v>12419140</v>
      </c>
      <c r="N214" s="513">
        <f>N215+N217+N231+N225</f>
        <v>489580</v>
      </c>
      <c r="O214" s="513">
        <f>O215+O217+O231+O225</f>
        <v>590230</v>
      </c>
      <c r="P214" s="513">
        <f t="shared" ref="P214:P224" si="169">E214+J214</f>
        <v>247705101</v>
      </c>
      <c r="Q214" s="546" t="b">
        <f>P214=P216+P218+P219+P220+P223+P224+P228</f>
        <v>1</v>
      </c>
      <c r="R214" s="44"/>
    </row>
    <row r="215" spans="1:18" ht="95.25" customHeight="1" thickTop="1" thickBot="1" x14ac:dyDescent="0.25">
      <c r="A215" s="239" t="s">
        <v>718</v>
      </c>
      <c r="B215" s="239" t="s">
        <v>675</v>
      </c>
      <c r="C215" s="239"/>
      <c r="D215" s="239" t="s">
        <v>676</v>
      </c>
      <c r="E215" s="501">
        <f>E216</f>
        <v>133493385</v>
      </c>
      <c r="F215" s="501">
        <f t="shared" ref="F215:P215" si="170">F216</f>
        <v>133213385</v>
      </c>
      <c r="G215" s="501">
        <f t="shared" si="170"/>
        <v>103767847</v>
      </c>
      <c r="H215" s="501">
        <f t="shared" si="170"/>
        <v>4878355</v>
      </c>
      <c r="I215" s="501">
        <f t="shared" si="170"/>
        <v>280000</v>
      </c>
      <c r="J215" s="501">
        <f t="shared" si="170"/>
        <v>15716576</v>
      </c>
      <c r="K215" s="501">
        <f t="shared" si="170"/>
        <v>0</v>
      </c>
      <c r="L215" s="501">
        <f t="shared" si="170"/>
        <v>15445226</v>
      </c>
      <c r="M215" s="501">
        <f t="shared" si="170"/>
        <v>11856690</v>
      </c>
      <c r="N215" s="501">
        <f t="shared" si="170"/>
        <v>401180</v>
      </c>
      <c r="O215" s="501">
        <f t="shared" si="170"/>
        <v>271350</v>
      </c>
      <c r="P215" s="501">
        <f t="shared" si="170"/>
        <v>149209961</v>
      </c>
      <c r="Q215" s="45"/>
      <c r="R215" s="44"/>
    </row>
    <row r="216" spans="1:18" ht="96" customHeight="1" thickTop="1" thickBot="1" x14ac:dyDescent="0.25">
      <c r="A216" s="94" t="s">
        <v>609</v>
      </c>
      <c r="B216" s="94" t="s">
        <v>610</v>
      </c>
      <c r="C216" s="94" t="s">
        <v>176</v>
      </c>
      <c r="D216" s="94" t="s">
        <v>1583</v>
      </c>
      <c r="E216" s="471">
        <f>F216+I216</f>
        <v>133493385</v>
      </c>
      <c r="F216" s="504">
        <f>(115943429-280000)+87381+100000+14231625+3130950</f>
        <v>133213385</v>
      </c>
      <c r="G216" s="504">
        <f>(89536222)+14231625</f>
        <v>103767847</v>
      </c>
      <c r="H216" s="504">
        <f>3941825+52910+696910+134100+52610</f>
        <v>4878355</v>
      </c>
      <c r="I216" s="504">
        <v>280000</v>
      </c>
      <c r="J216" s="501">
        <f t="shared" si="168"/>
        <v>15716576</v>
      </c>
      <c r="K216" s="125"/>
      <c r="L216" s="504">
        <f>(14389620)+867100+188506</f>
        <v>15445226</v>
      </c>
      <c r="M216" s="504">
        <f>(10989590)+867100</f>
        <v>11856690</v>
      </c>
      <c r="N216" s="504">
        <v>401180</v>
      </c>
      <c r="O216" s="502">
        <f>(K216+271350)</f>
        <v>271350</v>
      </c>
      <c r="P216" s="501">
        <f t="shared" si="169"/>
        <v>149209961</v>
      </c>
      <c r="Q216" s="18"/>
      <c r="R216" s="44"/>
    </row>
    <row r="217" spans="1:18" s="22" customFormat="1" ht="105.75" customHeight="1" thickTop="1" thickBot="1" x14ac:dyDescent="0.25">
      <c r="A217" s="239" t="s">
        <v>719</v>
      </c>
      <c r="B217" s="239" t="s">
        <v>720</v>
      </c>
      <c r="C217" s="239"/>
      <c r="D217" s="239" t="s">
        <v>721</v>
      </c>
      <c r="E217" s="501">
        <f t="shared" ref="E217:P217" si="171">SUM(E218:E224)-E222</f>
        <v>95653325</v>
      </c>
      <c r="F217" s="501">
        <f t="shared" si="171"/>
        <v>92579575</v>
      </c>
      <c r="G217" s="501">
        <f t="shared" si="171"/>
        <v>64343660</v>
      </c>
      <c r="H217" s="501">
        <f t="shared" si="171"/>
        <v>3842495</v>
      </c>
      <c r="I217" s="501">
        <f t="shared" si="171"/>
        <v>3073750</v>
      </c>
      <c r="J217" s="501">
        <f t="shared" si="171"/>
        <v>1411780</v>
      </c>
      <c r="K217" s="501">
        <f t="shared" si="171"/>
        <v>0</v>
      </c>
      <c r="L217" s="501">
        <f t="shared" si="171"/>
        <v>1092900</v>
      </c>
      <c r="M217" s="501">
        <f t="shared" si="171"/>
        <v>562450</v>
      </c>
      <c r="N217" s="501">
        <f t="shared" si="171"/>
        <v>88400</v>
      </c>
      <c r="O217" s="501">
        <f t="shared" si="171"/>
        <v>318880</v>
      </c>
      <c r="P217" s="501">
        <f t="shared" si="171"/>
        <v>97065105</v>
      </c>
      <c r="Q217" s="23"/>
      <c r="R217" s="48"/>
    </row>
    <row r="218" spans="1:18" ht="122.25" customHeight="1" thickTop="1" thickBot="1" x14ac:dyDescent="0.25">
      <c r="A218" s="94" t="s">
        <v>167</v>
      </c>
      <c r="B218" s="94" t="s">
        <v>168</v>
      </c>
      <c r="C218" s="94" t="s">
        <v>169</v>
      </c>
      <c r="D218" s="94" t="s">
        <v>170</v>
      </c>
      <c r="E218" s="471">
        <f>F218+I218</f>
        <v>23086769</v>
      </c>
      <c r="F218" s="504">
        <f>22586769-63750</f>
        <v>22523019</v>
      </c>
      <c r="G218" s="504">
        <v>16650500</v>
      </c>
      <c r="H218" s="504">
        <f>887200+16690+216000+30390+23720</f>
        <v>1174000</v>
      </c>
      <c r="I218" s="504">
        <f>(63750)+500000</f>
        <v>563750</v>
      </c>
      <c r="J218" s="501">
        <f t="shared" si="168"/>
        <v>240000</v>
      </c>
      <c r="K218" s="125"/>
      <c r="L218" s="504">
        <v>179000</v>
      </c>
      <c r="M218" s="504">
        <v>44000</v>
      </c>
      <c r="N218" s="504">
        <v>23300</v>
      </c>
      <c r="O218" s="502">
        <f>K218+61000</f>
        <v>61000</v>
      </c>
      <c r="P218" s="501">
        <f t="shared" si="169"/>
        <v>23326769</v>
      </c>
      <c r="Q218" s="18"/>
      <c r="R218" s="44"/>
    </row>
    <row r="219" spans="1:18" ht="112.5" customHeight="1" thickTop="1" thickBot="1" x14ac:dyDescent="0.25">
      <c r="A219" s="94" t="s">
        <v>171</v>
      </c>
      <c r="B219" s="94" t="s">
        <v>172</v>
      </c>
      <c r="C219" s="94" t="s">
        <v>169</v>
      </c>
      <c r="D219" s="94" t="s">
        <v>449</v>
      </c>
      <c r="E219" s="471">
        <f>F219+I219</f>
        <v>3533180</v>
      </c>
      <c r="F219" s="504">
        <f>(3488180)+45000</f>
        <v>3533180</v>
      </c>
      <c r="G219" s="504">
        <v>2354450</v>
      </c>
      <c r="H219" s="504">
        <f>358110+7860+182575+3990</f>
        <v>552535</v>
      </c>
      <c r="I219" s="504"/>
      <c r="J219" s="501">
        <f t="shared" si="168"/>
        <v>165000</v>
      </c>
      <c r="K219" s="125"/>
      <c r="L219" s="504">
        <v>148000</v>
      </c>
      <c r="M219" s="504">
        <v>34000</v>
      </c>
      <c r="N219" s="504">
        <v>18000</v>
      </c>
      <c r="O219" s="502">
        <f>K219+17000</f>
        <v>17000</v>
      </c>
      <c r="P219" s="501">
        <f t="shared" si="169"/>
        <v>3698180</v>
      </c>
      <c r="Q219" s="18"/>
      <c r="R219" s="44"/>
    </row>
    <row r="220" spans="1:18" ht="118.5" customHeight="1" thickTop="1" thickBot="1" x14ac:dyDescent="0.25">
      <c r="A220" s="94" t="s">
        <v>173</v>
      </c>
      <c r="B220" s="94" t="s">
        <v>166</v>
      </c>
      <c r="C220" s="94" t="s">
        <v>174</v>
      </c>
      <c r="D220" s="94" t="s">
        <v>175</v>
      </c>
      <c r="E220" s="471">
        <f>F220+I220</f>
        <v>27750862</v>
      </c>
      <c r="F220" s="504">
        <f>(25723034-190000)+27828</f>
        <v>25560862</v>
      </c>
      <c r="G220" s="504">
        <v>18409290</v>
      </c>
      <c r="H220" s="504">
        <f>954960+18230+896950+94870+60310</f>
        <v>2025320</v>
      </c>
      <c r="I220" s="504">
        <f>(190000)+2000000</f>
        <v>2190000</v>
      </c>
      <c r="J220" s="501">
        <f t="shared" si="168"/>
        <v>764900</v>
      </c>
      <c r="K220" s="125"/>
      <c r="L220" s="504">
        <v>671000</v>
      </c>
      <c r="M220" s="504">
        <v>461350</v>
      </c>
      <c r="N220" s="504">
        <v>47100</v>
      </c>
      <c r="O220" s="502">
        <f>(K220+93900)</f>
        <v>93900</v>
      </c>
      <c r="P220" s="501">
        <f t="shared" si="169"/>
        <v>28515762</v>
      </c>
      <c r="Q220" s="18"/>
      <c r="R220" s="44"/>
    </row>
    <row r="221" spans="1:18" ht="48" hidden="1" thickTop="1" thickBot="1" x14ac:dyDescent="0.25">
      <c r="A221" s="119" t="s">
        <v>1074</v>
      </c>
      <c r="B221" s="119" t="s">
        <v>1075</v>
      </c>
      <c r="C221" s="119" t="s">
        <v>1077</v>
      </c>
      <c r="D221" s="119" t="s">
        <v>1076</v>
      </c>
      <c r="E221" s="118">
        <f t="shared" ref="E221" si="172">F221</f>
        <v>0</v>
      </c>
      <c r="F221" s="125"/>
      <c r="G221" s="125"/>
      <c r="H221" s="125"/>
      <c r="I221" s="125"/>
      <c r="J221" s="118">
        <f t="shared" si="168"/>
        <v>0</v>
      </c>
      <c r="K221" s="125"/>
      <c r="L221" s="125"/>
      <c r="M221" s="125"/>
      <c r="N221" s="125"/>
      <c r="O221" s="123">
        <f>(K221)</f>
        <v>0</v>
      </c>
      <c r="P221" s="118">
        <f t="shared" si="169"/>
        <v>0</v>
      </c>
      <c r="Q221" s="18"/>
      <c r="R221" s="44"/>
    </row>
    <row r="222" spans="1:18" ht="126" customHeight="1" thickTop="1" thickBot="1" x14ac:dyDescent="0.25">
      <c r="A222" s="518" t="s">
        <v>722</v>
      </c>
      <c r="B222" s="518" t="s">
        <v>723</v>
      </c>
      <c r="C222" s="518"/>
      <c r="D222" s="518" t="s">
        <v>724</v>
      </c>
      <c r="E222" s="519">
        <f>SUM(E223:E224)</f>
        <v>41282514</v>
      </c>
      <c r="F222" s="519">
        <f t="shared" ref="F222:P222" si="173">SUM(F223:F224)</f>
        <v>40962514</v>
      </c>
      <c r="G222" s="519">
        <f t="shared" si="173"/>
        <v>26929420</v>
      </c>
      <c r="H222" s="519">
        <f t="shared" si="173"/>
        <v>90640</v>
      </c>
      <c r="I222" s="519">
        <f t="shared" si="173"/>
        <v>320000</v>
      </c>
      <c r="J222" s="519">
        <f t="shared" si="173"/>
        <v>241880</v>
      </c>
      <c r="K222" s="519">
        <f t="shared" si="173"/>
        <v>0</v>
      </c>
      <c r="L222" s="519">
        <f t="shared" si="173"/>
        <v>94900</v>
      </c>
      <c r="M222" s="519">
        <f t="shared" si="173"/>
        <v>23100</v>
      </c>
      <c r="N222" s="519">
        <f t="shared" si="173"/>
        <v>0</v>
      </c>
      <c r="O222" s="519">
        <f t="shared" si="173"/>
        <v>146980</v>
      </c>
      <c r="P222" s="519">
        <f t="shared" si="173"/>
        <v>41524394</v>
      </c>
      <c r="Q222" s="18"/>
      <c r="R222" s="44"/>
    </row>
    <row r="223" spans="1:18" ht="119.25" customHeight="1" thickTop="1" thickBot="1" x14ac:dyDescent="0.25">
      <c r="A223" s="94" t="s">
        <v>324</v>
      </c>
      <c r="B223" s="94" t="s">
        <v>325</v>
      </c>
      <c r="C223" s="94" t="s">
        <v>177</v>
      </c>
      <c r="D223" s="94" t="s">
        <v>450</v>
      </c>
      <c r="E223" s="471">
        <f>F223+I223</f>
        <v>35726166</v>
      </c>
      <c r="F223" s="504">
        <f>(35207346)+518820</f>
        <v>35726166</v>
      </c>
      <c r="G223" s="504">
        <v>26929420</v>
      </c>
      <c r="H223" s="504">
        <f>80900+9500+240</f>
        <v>90640</v>
      </c>
      <c r="I223" s="125"/>
      <c r="J223" s="501">
        <f t="shared" si="168"/>
        <v>241880</v>
      </c>
      <c r="K223" s="125"/>
      <c r="L223" s="504">
        <v>94900</v>
      </c>
      <c r="M223" s="504">
        <v>23100</v>
      </c>
      <c r="N223" s="504"/>
      <c r="O223" s="502">
        <f>(K223+146980)</f>
        <v>146980</v>
      </c>
      <c r="P223" s="501">
        <f t="shared" si="169"/>
        <v>35968046</v>
      </c>
      <c r="Q223" s="18"/>
      <c r="R223" s="44"/>
    </row>
    <row r="224" spans="1:18" ht="121.5" customHeight="1" thickTop="1" thickBot="1" x14ac:dyDescent="0.25">
      <c r="A224" s="94" t="s">
        <v>326</v>
      </c>
      <c r="B224" s="94" t="s">
        <v>327</v>
      </c>
      <c r="C224" s="94" t="s">
        <v>177</v>
      </c>
      <c r="D224" s="94" t="s">
        <v>451</v>
      </c>
      <c r="E224" s="471">
        <f>F224+I224</f>
        <v>5556348</v>
      </c>
      <c r="F224" s="504">
        <f>5556348-320000</f>
        <v>5236348</v>
      </c>
      <c r="G224" s="125"/>
      <c r="H224" s="125"/>
      <c r="I224" s="504">
        <v>320000</v>
      </c>
      <c r="J224" s="501">
        <f t="shared" si="168"/>
        <v>0</v>
      </c>
      <c r="K224" s="504"/>
      <c r="L224" s="504"/>
      <c r="M224" s="504"/>
      <c r="N224" s="504"/>
      <c r="O224" s="502">
        <f t="shared" ref="O224" si="174">K224</f>
        <v>0</v>
      </c>
      <c r="P224" s="501">
        <f t="shared" si="169"/>
        <v>5556348</v>
      </c>
      <c r="Q224" s="18"/>
      <c r="R224" s="48"/>
    </row>
    <row r="225" spans="1:18" ht="101.25" customHeight="1" thickTop="1" thickBot="1" x14ac:dyDescent="0.25">
      <c r="A225" s="239" t="s">
        <v>871</v>
      </c>
      <c r="B225" s="239" t="s">
        <v>713</v>
      </c>
      <c r="C225" s="239"/>
      <c r="D225" s="239" t="s">
        <v>714</v>
      </c>
      <c r="E225" s="501">
        <f>SUM(E226)</f>
        <v>1430035</v>
      </c>
      <c r="F225" s="501">
        <f t="shared" ref="F225:P225" si="175">SUM(F226)</f>
        <v>1430035</v>
      </c>
      <c r="G225" s="501">
        <f t="shared" si="175"/>
        <v>0</v>
      </c>
      <c r="H225" s="501">
        <f t="shared" si="175"/>
        <v>0</v>
      </c>
      <c r="I225" s="501">
        <f t="shared" si="175"/>
        <v>0</v>
      </c>
      <c r="J225" s="501">
        <f t="shared" si="175"/>
        <v>0</v>
      </c>
      <c r="K225" s="501">
        <f t="shared" si="175"/>
        <v>0</v>
      </c>
      <c r="L225" s="501">
        <f t="shared" si="175"/>
        <v>0</v>
      </c>
      <c r="M225" s="501">
        <f t="shared" si="175"/>
        <v>0</v>
      </c>
      <c r="N225" s="501">
        <f t="shared" si="175"/>
        <v>0</v>
      </c>
      <c r="O225" s="501">
        <f t="shared" si="175"/>
        <v>0</v>
      </c>
      <c r="P225" s="501">
        <f t="shared" si="175"/>
        <v>1430035</v>
      </c>
      <c r="Q225" s="18"/>
      <c r="R225" s="48"/>
    </row>
    <row r="226" spans="1:18" ht="111.75" customHeight="1" thickTop="1" thickBot="1" x14ac:dyDescent="0.25">
      <c r="A226" s="508" t="s">
        <v>872</v>
      </c>
      <c r="B226" s="508" t="s">
        <v>659</v>
      </c>
      <c r="C226" s="508"/>
      <c r="D226" s="508" t="s">
        <v>657</v>
      </c>
      <c r="E226" s="524">
        <f>E227+E230+E229</f>
        <v>1430035</v>
      </c>
      <c r="F226" s="524">
        <f t="shared" ref="F226:P226" si="176">F227+F230+F229</f>
        <v>1430035</v>
      </c>
      <c r="G226" s="524">
        <f t="shared" si="176"/>
        <v>0</v>
      </c>
      <c r="H226" s="524">
        <f t="shared" si="176"/>
        <v>0</v>
      </c>
      <c r="I226" s="524">
        <f t="shared" si="176"/>
        <v>0</v>
      </c>
      <c r="J226" s="524">
        <f t="shared" si="176"/>
        <v>0</v>
      </c>
      <c r="K226" s="524">
        <f t="shared" si="176"/>
        <v>0</v>
      </c>
      <c r="L226" s="524">
        <f t="shared" si="176"/>
        <v>0</v>
      </c>
      <c r="M226" s="524">
        <f t="shared" si="176"/>
        <v>0</v>
      </c>
      <c r="N226" s="524">
        <f t="shared" si="176"/>
        <v>0</v>
      </c>
      <c r="O226" s="524">
        <f t="shared" si="176"/>
        <v>0</v>
      </c>
      <c r="P226" s="524">
        <f t="shared" si="176"/>
        <v>1430035</v>
      </c>
      <c r="Q226" s="18"/>
      <c r="R226" s="48"/>
    </row>
    <row r="227" spans="1:18" ht="105.75" customHeight="1" thickTop="1" thickBot="1" x14ac:dyDescent="0.25">
      <c r="A227" s="518" t="s">
        <v>956</v>
      </c>
      <c r="B227" s="518" t="s">
        <v>957</v>
      </c>
      <c r="C227" s="518"/>
      <c r="D227" s="518" t="s">
        <v>955</v>
      </c>
      <c r="E227" s="519">
        <f>E228</f>
        <v>1430035</v>
      </c>
      <c r="F227" s="519">
        <f t="shared" ref="F227:P227" si="177">F228</f>
        <v>1430035</v>
      </c>
      <c r="G227" s="519">
        <f t="shared" si="177"/>
        <v>0</v>
      </c>
      <c r="H227" s="519">
        <f t="shared" si="177"/>
        <v>0</v>
      </c>
      <c r="I227" s="519">
        <f t="shared" si="177"/>
        <v>0</v>
      </c>
      <c r="J227" s="519">
        <f t="shared" si="177"/>
        <v>0</v>
      </c>
      <c r="K227" s="519">
        <f t="shared" si="177"/>
        <v>0</v>
      </c>
      <c r="L227" s="519">
        <f t="shared" si="177"/>
        <v>0</v>
      </c>
      <c r="M227" s="519">
        <f t="shared" si="177"/>
        <v>0</v>
      </c>
      <c r="N227" s="519">
        <f t="shared" si="177"/>
        <v>0</v>
      </c>
      <c r="O227" s="519">
        <f t="shared" si="177"/>
        <v>0</v>
      </c>
      <c r="P227" s="519">
        <f t="shared" si="177"/>
        <v>1430035</v>
      </c>
      <c r="Q227" s="18"/>
      <c r="R227" s="48"/>
    </row>
    <row r="228" spans="1:18" ht="105.75" customHeight="1" thickTop="1" thickBot="1" x14ac:dyDescent="0.25">
      <c r="A228" s="94" t="s">
        <v>959</v>
      </c>
      <c r="B228" s="94" t="s">
        <v>960</v>
      </c>
      <c r="C228" s="94" t="s">
        <v>208</v>
      </c>
      <c r="D228" s="94" t="s">
        <v>958</v>
      </c>
      <c r="E228" s="521">
        <f>F228+I228</f>
        <v>1430035</v>
      </c>
      <c r="F228" s="504">
        <v>1430035</v>
      </c>
      <c r="G228" s="504"/>
      <c r="H228" s="504"/>
      <c r="I228" s="504"/>
      <c r="J228" s="501">
        <f>L228+O228</f>
        <v>0</v>
      </c>
      <c r="K228" s="504"/>
      <c r="L228" s="504"/>
      <c r="M228" s="504"/>
      <c r="N228" s="504"/>
      <c r="O228" s="502">
        <f>K228</f>
        <v>0</v>
      </c>
      <c r="P228" s="501">
        <f>E228+J228</f>
        <v>1430035</v>
      </c>
      <c r="Q228" s="18"/>
      <c r="R228" s="48"/>
    </row>
    <row r="229" spans="1:18" ht="48" hidden="1" thickTop="1" thickBot="1" x14ac:dyDescent="0.25">
      <c r="A229" s="119" t="s">
        <v>1131</v>
      </c>
      <c r="B229" s="119" t="s">
        <v>207</v>
      </c>
      <c r="C229" s="119" t="s">
        <v>208</v>
      </c>
      <c r="D229" s="119" t="s">
        <v>40</v>
      </c>
      <c r="E229" s="118">
        <f t="shared" ref="E229:E230" si="178">F229</f>
        <v>0</v>
      </c>
      <c r="F229" s="125"/>
      <c r="G229" s="125"/>
      <c r="H229" s="125"/>
      <c r="I229" s="125"/>
      <c r="J229" s="118">
        <f>L229+O229</f>
        <v>0</v>
      </c>
      <c r="K229" s="125"/>
      <c r="L229" s="125"/>
      <c r="M229" s="125"/>
      <c r="N229" s="125"/>
      <c r="O229" s="123">
        <f>K229</f>
        <v>0</v>
      </c>
      <c r="P229" s="118">
        <f>E229+J229</f>
        <v>0</v>
      </c>
      <c r="Q229" s="18"/>
      <c r="R229" s="48"/>
    </row>
    <row r="230" spans="1:18" ht="48" hidden="1" thickTop="1" thickBot="1" x14ac:dyDescent="0.25">
      <c r="A230" s="119" t="s">
        <v>873</v>
      </c>
      <c r="B230" s="119" t="s">
        <v>192</v>
      </c>
      <c r="C230" s="119" t="s">
        <v>165</v>
      </c>
      <c r="D230" s="119" t="s">
        <v>33</v>
      </c>
      <c r="E230" s="118">
        <f t="shared" si="178"/>
        <v>0</v>
      </c>
      <c r="F230" s="125"/>
      <c r="G230" s="125"/>
      <c r="H230" s="125"/>
      <c r="I230" s="125"/>
      <c r="J230" s="118">
        <f t="shared" ref="J230" si="179">L230+O230</f>
        <v>0</v>
      </c>
      <c r="K230" s="125"/>
      <c r="L230" s="125"/>
      <c r="M230" s="125"/>
      <c r="N230" s="125"/>
      <c r="O230" s="123">
        <f t="shared" ref="O230" si="180">K230</f>
        <v>0</v>
      </c>
      <c r="P230" s="118">
        <f t="shared" ref="P230" si="181">E230+J230</f>
        <v>0</v>
      </c>
      <c r="Q230" s="18"/>
      <c r="R230" s="44"/>
    </row>
    <row r="231" spans="1:18" ht="47.25" hidden="1" thickTop="1" thickBot="1" x14ac:dyDescent="0.25">
      <c r="A231" s="137" t="s">
        <v>725</v>
      </c>
      <c r="B231" s="137" t="s">
        <v>669</v>
      </c>
      <c r="C231" s="137"/>
      <c r="D231" s="137" t="s">
        <v>670</v>
      </c>
      <c r="E231" s="40">
        <f>E232</f>
        <v>0</v>
      </c>
      <c r="F231" s="40">
        <f t="shared" ref="F231:P232" si="182">F232</f>
        <v>0</v>
      </c>
      <c r="G231" s="40">
        <f t="shared" si="182"/>
        <v>0</v>
      </c>
      <c r="H231" s="40">
        <f t="shared" si="182"/>
        <v>0</v>
      </c>
      <c r="I231" s="40">
        <f t="shared" si="182"/>
        <v>0</v>
      </c>
      <c r="J231" s="40">
        <f t="shared" si="182"/>
        <v>0</v>
      </c>
      <c r="K231" s="40">
        <f t="shared" si="182"/>
        <v>0</v>
      </c>
      <c r="L231" s="40">
        <f t="shared" si="182"/>
        <v>0</v>
      </c>
      <c r="M231" s="40">
        <f t="shared" si="182"/>
        <v>0</v>
      </c>
      <c r="N231" s="40">
        <f t="shared" si="182"/>
        <v>0</v>
      </c>
      <c r="O231" s="40">
        <f t="shared" si="182"/>
        <v>0</v>
      </c>
      <c r="P231" s="40">
        <f t="shared" si="182"/>
        <v>0</v>
      </c>
      <c r="Q231" s="18"/>
      <c r="R231" s="48"/>
    </row>
    <row r="232" spans="1:18" ht="91.5" hidden="1" thickTop="1" thickBot="1" x14ac:dyDescent="0.25">
      <c r="A232" s="138" t="s">
        <v>726</v>
      </c>
      <c r="B232" s="138" t="s">
        <v>672</v>
      </c>
      <c r="C232" s="138"/>
      <c r="D232" s="138" t="s">
        <v>673</v>
      </c>
      <c r="E232" s="139">
        <f>E233</f>
        <v>0</v>
      </c>
      <c r="F232" s="139">
        <f t="shared" si="182"/>
        <v>0</v>
      </c>
      <c r="G232" s="139">
        <f t="shared" si="182"/>
        <v>0</v>
      </c>
      <c r="H232" s="139">
        <f t="shared" si="182"/>
        <v>0</v>
      </c>
      <c r="I232" s="139">
        <f t="shared" si="182"/>
        <v>0</v>
      </c>
      <c r="J232" s="139">
        <f t="shared" si="182"/>
        <v>0</v>
      </c>
      <c r="K232" s="139">
        <f t="shared" si="182"/>
        <v>0</v>
      </c>
      <c r="L232" s="139">
        <f t="shared" si="182"/>
        <v>0</v>
      </c>
      <c r="M232" s="139">
        <f t="shared" si="182"/>
        <v>0</v>
      </c>
      <c r="N232" s="139">
        <f t="shared" si="182"/>
        <v>0</v>
      </c>
      <c r="O232" s="139">
        <f t="shared" si="182"/>
        <v>0</v>
      </c>
      <c r="P232" s="139">
        <f t="shared" si="182"/>
        <v>0</v>
      </c>
      <c r="Q232" s="18"/>
      <c r="R232" s="48"/>
    </row>
    <row r="233" spans="1:18" ht="48" hidden="1" thickTop="1" thickBot="1" x14ac:dyDescent="0.25">
      <c r="A233" s="39" t="s">
        <v>561</v>
      </c>
      <c r="B233" s="39" t="s">
        <v>353</v>
      </c>
      <c r="C233" s="39" t="s">
        <v>42</v>
      </c>
      <c r="D233" s="39" t="s">
        <v>354</v>
      </c>
      <c r="E233" s="40">
        <f t="shared" ref="E233" si="183">F233</f>
        <v>0</v>
      </c>
      <c r="F233" s="41">
        <v>0</v>
      </c>
      <c r="G233" s="41"/>
      <c r="H233" s="41"/>
      <c r="I233" s="41"/>
      <c r="J233" s="40">
        <f>L233+O233</f>
        <v>0</v>
      </c>
      <c r="K233" s="41"/>
      <c r="L233" s="41"/>
      <c r="M233" s="41"/>
      <c r="N233" s="41"/>
      <c r="O233" s="42">
        <f>K233</f>
        <v>0</v>
      </c>
      <c r="P233" s="40">
        <f>E233+J233</f>
        <v>0</v>
      </c>
      <c r="Q233" s="18"/>
      <c r="R233" s="48"/>
    </row>
    <row r="234" spans="1:18" ht="159" customHeight="1" thickTop="1" thickBot="1" x14ac:dyDescent="0.25">
      <c r="A234" s="514" t="s">
        <v>22</v>
      </c>
      <c r="B234" s="514"/>
      <c r="C234" s="514"/>
      <c r="D234" s="515" t="s">
        <v>23</v>
      </c>
      <c r="E234" s="516">
        <f>E235</f>
        <v>162725068.68000001</v>
      </c>
      <c r="F234" s="517">
        <f t="shared" ref="F234:G234" si="184">F235</f>
        <v>161966037.68000001</v>
      </c>
      <c r="G234" s="517">
        <f t="shared" si="184"/>
        <v>63098576</v>
      </c>
      <c r="H234" s="517">
        <f>H235</f>
        <v>4605854</v>
      </c>
      <c r="I234" s="517">
        <f t="shared" ref="I234" si="185">I235</f>
        <v>759031</v>
      </c>
      <c r="J234" s="516">
        <f>J235</f>
        <v>2621245</v>
      </c>
      <c r="K234" s="517">
        <f>K235</f>
        <v>0</v>
      </c>
      <c r="L234" s="517">
        <f>L235</f>
        <v>2621245</v>
      </c>
      <c r="M234" s="517">
        <f t="shared" ref="M234" si="186">M235</f>
        <v>931047</v>
      </c>
      <c r="N234" s="517">
        <f>N235</f>
        <v>540251</v>
      </c>
      <c r="O234" s="516">
        <f>O235</f>
        <v>0</v>
      </c>
      <c r="P234" s="517">
        <f t="shared" ref="P234" si="187">P235</f>
        <v>165346313.68000001</v>
      </c>
      <c r="Q234" s="517">
        <f>O235-K235</f>
        <v>0</v>
      </c>
    </row>
    <row r="235" spans="1:18" ht="156" customHeight="1" thickTop="1" thickBot="1" x14ac:dyDescent="0.25">
      <c r="A235" s="511" t="s">
        <v>21</v>
      </c>
      <c r="B235" s="511"/>
      <c r="C235" s="511"/>
      <c r="D235" s="512" t="s">
        <v>34</v>
      </c>
      <c r="E235" s="513">
        <f>E236+E242+E258+E261+E268</f>
        <v>162725068.68000001</v>
      </c>
      <c r="F235" s="513">
        <f>F236+F242+F258+F261+F268</f>
        <v>161966037.68000001</v>
      </c>
      <c r="G235" s="513">
        <f>G236+G242+G258+G261+G268</f>
        <v>63098576</v>
      </c>
      <c r="H235" s="513">
        <f>H236+H242+H258+H261+H268</f>
        <v>4605854</v>
      </c>
      <c r="I235" s="513">
        <f>I236+I242+I258+I261+I268</f>
        <v>759031</v>
      </c>
      <c r="J235" s="513">
        <f>L235+O235</f>
        <v>2621245</v>
      </c>
      <c r="K235" s="513">
        <f>K236+K242+K258+K261+K268</f>
        <v>0</v>
      </c>
      <c r="L235" s="513">
        <f>L236+L242+L258+L261+L268</f>
        <v>2621245</v>
      </c>
      <c r="M235" s="513">
        <f>M236+M242+M258+M261+M268</f>
        <v>931047</v>
      </c>
      <c r="N235" s="513">
        <f>N236+N242+N258+N261+N268</f>
        <v>540251</v>
      </c>
      <c r="O235" s="513">
        <f>O236+O242+O258+O261+O268</f>
        <v>0</v>
      </c>
      <c r="P235" s="513">
        <f>E235+J235</f>
        <v>165346313.68000001</v>
      </c>
      <c r="Q235" s="546" t="b">
        <f>P235=P240+P241+P244+P245+P247+P249+P250+P254+P255+P256+P260</f>
        <v>1</v>
      </c>
      <c r="R235" s="44"/>
    </row>
    <row r="236" spans="1:18" ht="96" customHeight="1" thickTop="1" thickBot="1" x14ac:dyDescent="0.25">
      <c r="A236" s="239" t="s">
        <v>727</v>
      </c>
      <c r="B236" s="239" t="s">
        <v>678</v>
      </c>
      <c r="C236" s="239"/>
      <c r="D236" s="239" t="s">
        <v>679</v>
      </c>
      <c r="E236" s="510">
        <f>SUM(E237:E241)-E237-E239</f>
        <v>18135127</v>
      </c>
      <c r="F236" s="510">
        <f t="shared" ref="F236:P236" si="188">SUM(F237:F241)-F237-F239</f>
        <v>18105127</v>
      </c>
      <c r="G236" s="510">
        <f t="shared" si="188"/>
        <v>7483779</v>
      </c>
      <c r="H236" s="510">
        <f t="shared" si="188"/>
        <v>971223</v>
      </c>
      <c r="I236" s="510">
        <f t="shared" si="188"/>
        <v>30000</v>
      </c>
      <c r="J236" s="510">
        <f t="shared" si="188"/>
        <v>860000</v>
      </c>
      <c r="K236" s="510">
        <f t="shared" si="188"/>
        <v>0</v>
      </c>
      <c r="L236" s="510">
        <f t="shared" si="188"/>
        <v>860000</v>
      </c>
      <c r="M236" s="510">
        <f t="shared" si="188"/>
        <v>343610</v>
      </c>
      <c r="N236" s="510">
        <f t="shared" si="188"/>
        <v>213450</v>
      </c>
      <c r="O236" s="510">
        <f t="shared" si="188"/>
        <v>0</v>
      </c>
      <c r="P236" s="510">
        <f t="shared" si="188"/>
        <v>18995127</v>
      </c>
      <c r="Q236" s="45"/>
      <c r="R236" s="44"/>
    </row>
    <row r="237" spans="1:18" s="31" customFormat="1" ht="48" hidden="1" thickTop="1" thickBot="1" x14ac:dyDescent="0.25">
      <c r="A237" s="131" t="s">
        <v>728</v>
      </c>
      <c r="B237" s="131" t="s">
        <v>729</v>
      </c>
      <c r="C237" s="131"/>
      <c r="D237" s="131" t="s">
        <v>730</v>
      </c>
      <c r="E237" s="350">
        <f>E238</f>
        <v>0</v>
      </c>
      <c r="F237" s="350">
        <f t="shared" ref="F237:P237" si="189">F238</f>
        <v>0</v>
      </c>
      <c r="G237" s="350">
        <f t="shared" si="189"/>
        <v>0</v>
      </c>
      <c r="H237" s="350">
        <f t="shared" si="189"/>
        <v>0</v>
      </c>
      <c r="I237" s="350">
        <f t="shared" si="189"/>
        <v>0</v>
      </c>
      <c r="J237" s="350">
        <f t="shared" si="189"/>
        <v>0</v>
      </c>
      <c r="K237" s="350">
        <f t="shared" si="189"/>
        <v>0</v>
      </c>
      <c r="L237" s="350">
        <f t="shared" si="189"/>
        <v>0</v>
      </c>
      <c r="M237" s="350">
        <f t="shared" si="189"/>
        <v>0</v>
      </c>
      <c r="N237" s="350">
        <f t="shared" si="189"/>
        <v>0</v>
      </c>
      <c r="O237" s="350">
        <f t="shared" si="189"/>
        <v>0</v>
      </c>
      <c r="P237" s="350">
        <f t="shared" si="189"/>
        <v>0</v>
      </c>
      <c r="Q237" s="146"/>
      <c r="R237" s="50"/>
    </row>
    <row r="238" spans="1:18" ht="48" hidden="1" thickTop="1" thickBot="1" x14ac:dyDescent="0.25">
      <c r="A238" s="119" t="s">
        <v>178</v>
      </c>
      <c r="B238" s="119" t="s">
        <v>179</v>
      </c>
      <c r="C238" s="119" t="s">
        <v>180</v>
      </c>
      <c r="D238" s="119" t="s">
        <v>611</v>
      </c>
      <c r="E238" s="142">
        <f t="shared" ref="E238" si="190">F238</f>
        <v>0</v>
      </c>
      <c r="F238" s="120">
        <f>(6040461)-6040461</f>
        <v>0</v>
      </c>
      <c r="G238" s="120">
        <f>(4559615)-4559615</f>
        <v>0</v>
      </c>
      <c r="H238" s="120">
        <f>(96665+5295+31600+3840)-137400</f>
        <v>0</v>
      </c>
      <c r="I238" s="120"/>
      <c r="J238" s="118">
        <f t="shared" ref="J238:J267" si="191">L238+O238</f>
        <v>0</v>
      </c>
      <c r="K238" s="120"/>
      <c r="L238" s="121"/>
      <c r="M238" s="121"/>
      <c r="N238" s="121"/>
      <c r="O238" s="123">
        <f t="shared" ref="O238:O267" si="192">K238</f>
        <v>0</v>
      </c>
      <c r="P238" s="118">
        <f>+J238+E238</f>
        <v>0</v>
      </c>
      <c r="Q238" s="48"/>
      <c r="R238" s="48"/>
    </row>
    <row r="239" spans="1:18" s="31" customFormat="1" ht="114.75" customHeight="1" thickTop="1" thickBot="1" x14ac:dyDescent="0.25">
      <c r="A239" s="518" t="s">
        <v>731</v>
      </c>
      <c r="B239" s="518" t="s">
        <v>732</v>
      </c>
      <c r="C239" s="518"/>
      <c r="D239" s="518" t="s">
        <v>1299</v>
      </c>
      <c r="E239" s="543">
        <f>SUM(E240:E241)</f>
        <v>18135127</v>
      </c>
      <c r="F239" s="543">
        <f t="shared" ref="F239:P239" si="193">SUM(F240:F241)</f>
        <v>18105127</v>
      </c>
      <c r="G239" s="543">
        <f t="shared" si="193"/>
        <v>7483779</v>
      </c>
      <c r="H239" s="543">
        <f t="shared" si="193"/>
        <v>971223</v>
      </c>
      <c r="I239" s="543">
        <f t="shared" si="193"/>
        <v>30000</v>
      </c>
      <c r="J239" s="543">
        <f t="shared" si="193"/>
        <v>860000</v>
      </c>
      <c r="K239" s="543">
        <f t="shared" si="193"/>
        <v>0</v>
      </c>
      <c r="L239" s="543">
        <f>SUM(L240:L241)</f>
        <v>860000</v>
      </c>
      <c r="M239" s="543">
        <f t="shared" si="193"/>
        <v>343610</v>
      </c>
      <c r="N239" s="543">
        <f t="shared" si="193"/>
        <v>213450</v>
      </c>
      <c r="O239" s="543">
        <f t="shared" si="193"/>
        <v>0</v>
      </c>
      <c r="P239" s="543">
        <f t="shared" si="193"/>
        <v>18995127</v>
      </c>
      <c r="Q239" s="49"/>
      <c r="R239" s="49"/>
    </row>
    <row r="240" spans="1:18" ht="124.5" customHeight="1" thickTop="1" thickBot="1" x14ac:dyDescent="0.25">
      <c r="A240" s="94" t="s">
        <v>184</v>
      </c>
      <c r="B240" s="94" t="s">
        <v>185</v>
      </c>
      <c r="C240" s="94" t="s">
        <v>180</v>
      </c>
      <c r="D240" s="94" t="s">
        <v>1390</v>
      </c>
      <c r="E240" s="471">
        <f t="shared" ref="E240:E241" si="194">F240+I240</f>
        <v>7493216</v>
      </c>
      <c r="F240" s="520">
        <f>(6592881)+900335</f>
        <v>7493216</v>
      </c>
      <c r="G240" s="520">
        <f>(4266876)+738530</f>
        <v>5005406</v>
      </c>
      <c r="H240" s="520">
        <f>488730+9412+280000+2675</f>
        <v>780817</v>
      </c>
      <c r="I240" s="120"/>
      <c r="J240" s="501">
        <f t="shared" si="191"/>
        <v>860000</v>
      </c>
      <c r="K240" s="520"/>
      <c r="L240" s="522">
        <v>860000</v>
      </c>
      <c r="M240" s="522">
        <v>343610</v>
      </c>
      <c r="N240" s="522">
        <v>213450</v>
      </c>
      <c r="O240" s="502">
        <f>(K240+0)</f>
        <v>0</v>
      </c>
      <c r="P240" s="501">
        <f t="shared" ref="P240:P267" si="195">E240+J240</f>
        <v>8353216</v>
      </c>
      <c r="Q240" s="18"/>
      <c r="R240" s="44"/>
    </row>
    <row r="241" spans="1:18" ht="111.75" customHeight="1" thickTop="1" thickBot="1" x14ac:dyDescent="0.25">
      <c r="A241" s="94" t="s">
        <v>342</v>
      </c>
      <c r="B241" s="94" t="s">
        <v>343</v>
      </c>
      <c r="C241" s="94" t="s">
        <v>180</v>
      </c>
      <c r="D241" s="94" t="s">
        <v>1391</v>
      </c>
      <c r="E241" s="471">
        <f t="shared" si="194"/>
        <v>10641911</v>
      </c>
      <c r="F241" s="520">
        <f>10641911-30000</f>
        <v>10611911</v>
      </c>
      <c r="G241" s="520">
        <v>2478373</v>
      </c>
      <c r="H241" s="520">
        <f>100540+6560+79706+3600</f>
        <v>190406</v>
      </c>
      <c r="I241" s="520">
        <v>30000</v>
      </c>
      <c r="J241" s="501">
        <f t="shared" si="191"/>
        <v>0</v>
      </c>
      <c r="K241" s="120"/>
      <c r="L241" s="121"/>
      <c r="M241" s="121"/>
      <c r="N241" s="121"/>
      <c r="O241" s="502">
        <f>K241+0</f>
        <v>0</v>
      </c>
      <c r="P241" s="501">
        <f t="shared" si="195"/>
        <v>10641911</v>
      </c>
      <c r="Q241" s="18"/>
      <c r="R241" s="44"/>
    </row>
    <row r="242" spans="1:18" ht="78.75" customHeight="1" thickTop="1" thickBot="1" x14ac:dyDescent="0.25">
      <c r="A242" s="239" t="s">
        <v>733</v>
      </c>
      <c r="B242" s="239" t="s">
        <v>734</v>
      </c>
      <c r="C242" s="94"/>
      <c r="D242" s="239" t="s">
        <v>735</v>
      </c>
      <c r="E242" s="521">
        <f>SUM(E243:E257)-E243-E246-E248-E253-E251</f>
        <v>144529941.68000001</v>
      </c>
      <c r="F242" s="521">
        <f t="shared" ref="F242:G242" si="196">SUM(F243:F257)-F243-F246-F248-F253-F251</f>
        <v>143800910.68000001</v>
      </c>
      <c r="G242" s="521">
        <f t="shared" si="196"/>
        <v>55614797</v>
      </c>
      <c r="H242" s="521">
        <f>SUM(H243:H257)-H243-H246-H248-H253-H251</f>
        <v>3634631</v>
      </c>
      <c r="I242" s="521">
        <f t="shared" ref="I242:O242" si="197">SUM(I243:I257)-I243-I246-I248-I253-I251</f>
        <v>729031</v>
      </c>
      <c r="J242" s="521">
        <f t="shared" si="197"/>
        <v>1761245</v>
      </c>
      <c r="K242" s="521">
        <f t="shared" si="197"/>
        <v>0</v>
      </c>
      <c r="L242" s="521">
        <f t="shared" si="197"/>
        <v>1761245</v>
      </c>
      <c r="M242" s="521">
        <f t="shared" si="197"/>
        <v>587437</v>
      </c>
      <c r="N242" s="521">
        <f t="shared" si="197"/>
        <v>326801</v>
      </c>
      <c r="O242" s="521">
        <f t="shared" si="197"/>
        <v>0</v>
      </c>
      <c r="P242" s="521">
        <f t="shared" ref="P242" si="198">SUM(P243:P256)-P243-P246-P248-P253-P251</f>
        <v>146291186.68000001</v>
      </c>
      <c r="Q242" s="18"/>
      <c r="R242" s="44"/>
    </row>
    <row r="243" spans="1:18" s="31" customFormat="1" ht="86.25" customHeight="1" thickTop="1" thickBot="1" x14ac:dyDescent="0.25">
      <c r="A243" s="518" t="s">
        <v>736</v>
      </c>
      <c r="B243" s="518" t="s">
        <v>737</v>
      </c>
      <c r="C243" s="518"/>
      <c r="D243" s="518" t="s">
        <v>738</v>
      </c>
      <c r="E243" s="543">
        <f>SUM(E244:E245)</f>
        <v>49630289.619999997</v>
      </c>
      <c r="F243" s="543">
        <f t="shared" ref="F243:P243" si="199">SUM(F244:F245)</f>
        <v>49630289.619999997</v>
      </c>
      <c r="G243" s="543">
        <f t="shared" si="199"/>
        <v>0</v>
      </c>
      <c r="H243" s="543">
        <f t="shared" si="199"/>
        <v>0</v>
      </c>
      <c r="I243" s="543">
        <f t="shared" si="199"/>
        <v>0</v>
      </c>
      <c r="J243" s="543">
        <f t="shared" si="199"/>
        <v>0</v>
      </c>
      <c r="K243" s="543">
        <f t="shared" si="199"/>
        <v>0</v>
      </c>
      <c r="L243" s="543">
        <f t="shared" si="199"/>
        <v>0</v>
      </c>
      <c r="M243" s="543">
        <f t="shared" si="199"/>
        <v>0</v>
      </c>
      <c r="N243" s="543">
        <f t="shared" si="199"/>
        <v>0</v>
      </c>
      <c r="O243" s="543">
        <f t="shared" si="199"/>
        <v>0</v>
      </c>
      <c r="P243" s="543">
        <f t="shared" si="199"/>
        <v>49630289.619999997</v>
      </c>
      <c r="Q243" s="34"/>
      <c r="R243" s="50"/>
    </row>
    <row r="244" spans="1:18" ht="93" thickTop="1" thickBot="1" x14ac:dyDescent="0.25">
      <c r="A244" s="94" t="s">
        <v>43</v>
      </c>
      <c r="B244" s="94" t="s">
        <v>181</v>
      </c>
      <c r="C244" s="94" t="s">
        <v>190</v>
      </c>
      <c r="D244" s="94" t="s">
        <v>44</v>
      </c>
      <c r="E244" s="471">
        <f>F244+I244</f>
        <v>44327495</v>
      </c>
      <c r="F244" s="520">
        <v>44327495</v>
      </c>
      <c r="G244" s="125"/>
      <c r="H244" s="125"/>
      <c r="I244" s="125"/>
      <c r="J244" s="501">
        <f t="shared" si="191"/>
        <v>0</v>
      </c>
      <c r="K244" s="125"/>
      <c r="L244" s="125"/>
      <c r="M244" s="125"/>
      <c r="N244" s="125"/>
      <c r="O244" s="502">
        <f t="shared" si="192"/>
        <v>0</v>
      </c>
      <c r="P244" s="501">
        <f t="shared" si="195"/>
        <v>44327495</v>
      </c>
      <c r="Q244" s="18"/>
      <c r="R244" s="44"/>
    </row>
    <row r="245" spans="1:18" ht="111.75" customHeight="1" thickTop="1" thickBot="1" x14ac:dyDescent="0.25">
      <c r="A245" s="94" t="s">
        <v>45</v>
      </c>
      <c r="B245" s="94" t="s">
        <v>182</v>
      </c>
      <c r="C245" s="94" t="s">
        <v>190</v>
      </c>
      <c r="D245" s="94" t="s">
        <v>4</v>
      </c>
      <c r="E245" s="471">
        <f>F245+I245</f>
        <v>5302794.62</v>
      </c>
      <c r="F245" s="520">
        <v>5302794.62</v>
      </c>
      <c r="G245" s="125"/>
      <c r="H245" s="125"/>
      <c r="I245" s="125"/>
      <c r="J245" s="501">
        <f t="shared" si="191"/>
        <v>0</v>
      </c>
      <c r="K245" s="125"/>
      <c r="L245" s="125"/>
      <c r="M245" s="125"/>
      <c r="N245" s="125"/>
      <c r="O245" s="502">
        <f t="shared" si="192"/>
        <v>0</v>
      </c>
      <c r="P245" s="501">
        <f t="shared" si="195"/>
        <v>5302794.62</v>
      </c>
      <c r="Q245" s="18"/>
      <c r="R245" s="44"/>
    </row>
    <row r="246" spans="1:18" s="31" customFormat="1" ht="121.7" customHeight="1" thickTop="1" thickBot="1" x14ac:dyDescent="0.25">
      <c r="A246" s="518" t="s">
        <v>739</v>
      </c>
      <c r="B246" s="518" t="s">
        <v>740</v>
      </c>
      <c r="C246" s="518"/>
      <c r="D246" s="518" t="s">
        <v>741</v>
      </c>
      <c r="E246" s="543">
        <f>E247</f>
        <v>781464</v>
      </c>
      <c r="F246" s="543">
        <f t="shared" ref="F246:P246" si="200">F247</f>
        <v>781464</v>
      </c>
      <c r="G246" s="543">
        <f t="shared" si="200"/>
        <v>0</v>
      </c>
      <c r="H246" s="543">
        <f t="shared" si="200"/>
        <v>0</v>
      </c>
      <c r="I246" s="543">
        <f t="shared" si="200"/>
        <v>0</v>
      </c>
      <c r="J246" s="543">
        <f t="shared" si="200"/>
        <v>0</v>
      </c>
      <c r="K246" s="543">
        <f t="shared" si="200"/>
        <v>0</v>
      </c>
      <c r="L246" s="543">
        <f t="shared" si="200"/>
        <v>0</v>
      </c>
      <c r="M246" s="543">
        <f t="shared" si="200"/>
        <v>0</v>
      </c>
      <c r="N246" s="543">
        <f t="shared" si="200"/>
        <v>0</v>
      </c>
      <c r="O246" s="543">
        <f t="shared" si="200"/>
        <v>0</v>
      </c>
      <c r="P246" s="543">
        <f t="shared" si="200"/>
        <v>781464</v>
      </c>
      <c r="Q246" s="34"/>
      <c r="R246" s="51"/>
    </row>
    <row r="247" spans="1:18" ht="114.75" customHeight="1" thickTop="1" thickBot="1" x14ac:dyDescent="0.25">
      <c r="A247" s="94" t="s">
        <v>46</v>
      </c>
      <c r="B247" s="94" t="s">
        <v>183</v>
      </c>
      <c r="C247" s="94" t="s">
        <v>190</v>
      </c>
      <c r="D247" s="94" t="s">
        <v>340</v>
      </c>
      <c r="E247" s="521">
        <f>F247+I247</f>
        <v>781464</v>
      </c>
      <c r="F247" s="520">
        <f>(231464)+550000</f>
        <v>781464</v>
      </c>
      <c r="G247" s="120"/>
      <c r="H247" s="120"/>
      <c r="I247" s="125"/>
      <c r="J247" s="501">
        <f t="shared" si="191"/>
        <v>0</v>
      </c>
      <c r="K247" s="125"/>
      <c r="L247" s="120"/>
      <c r="M247" s="120"/>
      <c r="N247" s="120"/>
      <c r="O247" s="502">
        <f t="shared" si="192"/>
        <v>0</v>
      </c>
      <c r="P247" s="501">
        <f t="shared" si="195"/>
        <v>781464</v>
      </c>
      <c r="Q247" s="18"/>
      <c r="R247" s="44"/>
    </row>
    <row r="248" spans="1:18" ht="118.5" customHeight="1" thickTop="1" thickBot="1" x14ac:dyDescent="0.25">
      <c r="A248" s="518" t="s">
        <v>742</v>
      </c>
      <c r="B248" s="518" t="s">
        <v>743</v>
      </c>
      <c r="C248" s="518"/>
      <c r="D248" s="518" t="s">
        <v>744</v>
      </c>
      <c r="E248" s="543">
        <f>SUM(E249:E250)</f>
        <v>82473459</v>
      </c>
      <c r="F248" s="543">
        <f t="shared" ref="F248:P248" si="201">SUM(F249:F250)</f>
        <v>81744428</v>
      </c>
      <c r="G248" s="543">
        <f t="shared" si="201"/>
        <v>53708827</v>
      </c>
      <c r="H248" s="543">
        <f t="shared" si="201"/>
        <v>3634631</v>
      </c>
      <c r="I248" s="543">
        <f t="shared" si="201"/>
        <v>729031</v>
      </c>
      <c r="J248" s="543">
        <f t="shared" si="201"/>
        <v>1617197</v>
      </c>
      <c r="K248" s="543">
        <f t="shared" si="201"/>
        <v>0</v>
      </c>
      <c r="L248" s="543">
        <f t="shared" si="201"/>
        <v>1617197</v>
      </c>
      <c r="M248" s="543">
        <f t="shared" si="201"/>
        <v>587437</v>
      </c>
      <c r="N248" s="543">
        <f t="shared" si="201"/>
        <v>326801</v>
      </c>
      <c r="O248" s="543">
        <f t="shared" si="201"/>
        <v>0</v>
      </c>
      <c r="P248" s="543">
        <f t="shared" si="201"/>
        <v>84090656</v>
      </c>
      <c r="Q248" s="18"/>
      <c r="R248" s="44"/>
    </row>
    <row r="249" spans="1:18" ht="133.5" customHeight="1" thickTop="1" thickBot="1" x14ac:dyDescent="0.25">
      <c r="A249" s="94" t="s">
        <v>28</v>
      </c>
      <c r="B249" s="94" t="s">
        <v>187</v>
      </c>
      <c r="C249" s="94" t="s">
        <v>190</v>
      </c>
      <c r="D249" s="94" t="s">
        <v>1393</v>
      </c>
      <c r="E249" s="471">
        <f>F249+I249</f>
        <v>77739854</v>
      </c>
      <c r="F249" s="520">
        <f>(23504640+20053119+20864155-400000-25000+11765204)+500000+289000+45200+47214+31391+10900+25000+300000</f>
        <v>77010823</v>
      </c>
      <c r="G249" s="520">
        <f>15400894+14733924+15004947+8569062</f>
        <v>53708827</v>
      </c>
      <c r="H249" s="520">
        <f>606847+127353+600000+70181+467430+52697+307549+58685+9000+20973+21793+414506+338231+8040+263162+18244+189600+59200+1140</f>
        <v>3634631</v>
      </c>
      <c r="I249" s="520">
        <f>(400000+25000)+75020+229011</f>
        <v>729031</v>
      </c>
      <c r="J249" s="501">
        <f t="shared" si="191"/>
        <v>1617197</v>
      </c>
      <c r="K249" s="120"/>
      <c r="L249" s="520">
        <v>1617197</v>
      </c>
      <c r="M249" s="520">
        <v>587437</v>
      </c>
      <c r="N249" s="520">
        <v>326801</v>
      </c>
      <c r="O249" s="502">
        <f>(K249+0)</f>
        <v>0</v>
      </c>
      <c r="P249" s="501">
        <f t="shared" si="195"/>
        <v>79357051</v>
      </c>
      <c r="Q249" s="18"/>
      <c r="R249" s="44"/>
    </row>
    <row r="250" spans="1:18" ht="138" customHeight="1" thickTop="1" thickBot="1" x14ac:dyDescent="0.25">
      <c r="A250" s="94" t="s">
        <v>29</v>
      </c>
      <c r="B250" s="94" t="s">
        <v>188</v>
      </c>
      <c r="C250" s="94" t="s">
        <v>190</v>
      </c>
      <c r="D250" s="94" t="s">
        <v>47</v>
      </c>
      <c r="E250" s="471">
        <f>F250+I250</f>
        <v>4733605</v>
      </c>
      <c r="F250" s="520">
        <v>4733605</v>
      </c>
      <c r="G250" s="120"/>
      <c r="H250" s="120"/>
      <c r="I250" s="120"/>
      <c r="J250" s="501">
        <f t="shared" si="191"/>
        <v>0</v>
      </c>
      <c r="K250" s="520">
        <v>0</v>
      </c>
      <c r="L250" s="120"/>
      <c r="M250" s="120"/>
      <c r="N250" s="120"/>
      <c r="O250" s="502">
        <f t="shared" si="192"/>
        <v>0</v>
      </c>
      <c r="P250" s="501">
        <f t="shared" si="195"/>
        <v>4733605</v>
      </c>
      <c r="Q250" s="18"/>
      <c r="R250" s="44"/>
    </row>
    <row r="251" spans="1:18" ht="72.75" hidden="1" customHeight="1" thickTop="1" thickBot="1" x14ac:dyDescent="0.25">
      <c r="A251" s="281" t="s">
        <v>1192</v>
      </c>
      <c r="B251" s="131" t="s">
        <v>778</v>
      </c>
      <c r="C251" s="131"/>
      <c r="D251" s="131" t="s">
        <v>779</v>
      </c>
      <c r="E251" s="147">
        <f>E252</f>
        <v>0</v>
      </c>
      <c r="F251" s="147">
        <f t="shared" ref="F251:P251" si="202">F252</f>
        <v>0</v>
      </c>
      <c r="G251" s="147">
        <f t="shared" si="202"/>
        <v>0</v>
      </c>
      <c r="H251" s="147">
        <f t="shared" si="202"/>
        <v>0</v>
      </c>
      <c r="I251" s="147">
        <f t="shared" si="202"/>
        <v>0</v>
      </c>
      <c r="J251" s="147">
        <f t="shared" si="202"/>
        <v>0</v>
      </c>
      <c r="K251" s="147">
        <f t="shared" si="202"/>
        <v>0</v>
      </c>
      <c r="L251" s="147">
        <f t="shared" si="202"/>
        <v>0</v>
      </c>
      <c r="M251" s="147">
        <f t="shared" si="202"/>
        <v>0</v>
      </c>
      <c r="N251" s="147">
        <f t="shared" si="202"/>
        <v>0</v>
      </c>
      <c r="O251" s="147">
        <f t="shared" si="202"/>
        <v>0</v>
      </c>
      <c r="P251" s="147">
        <f t="shared" si="202"/>
        <v>0</v>
      </c>
      <c r="Q251" s="18"/>
      <c r="R251" s="44"/>
    </row>
    <row r="252" spans="1:18" ht="130.69999999999999" hidden="1" customHeight="1" thickTop="1" thickBot="1" x14ac:dyDescent="0.25">
      <c r="A252" s="119" t="s">
        <v>1193</v>
      </c>
      <c r="B252" s="119" t="s">
        <v>1194</v>
      </c>
      <c r="C252" s="119" t="s">
        <v>190</v>
      </c>
      <c r="D252" s="119" t="s">
        <v>1195</v>
      </c>
      <c r="E252" s="142"/>
      <c r="F252" s="120"/>
      <c r="G252" s="120"/>
      <c r="H252" s="120"/>
      <c r="I252" s="120"/>
      <c r="J252" s="118">
        <f t="shared" ref="J252" si="203">L252+O252</f>
        <v>0</v>
      </c>
      <c r="K252" s="120">
        <v>0</v>
      </c>
      <c r="L252" s="120"/>
      <c r="M252" s="120"/>
      <c r="N252" s="120"/>
      <c r="O252" s="123">
        <f t="shared" ref="O252" si="204">K252</f>
        <v>0</v>
      </c>
      <c r="P252" s="118">
        <f t="shared" ref="P252" si="205">E252+J252</f>
        <v>0</v>
      </c>
      <c r="Q252" s="18"/>
      <c r="R252" s="44"/>
    </row>
    <row r="253" spans="1:18" ht="82.5" customHeight="1" thickTop="1" thickBot="1" x14ac:dyDescent="0.25">
      <c r="A253" s="611" t="s">
        <v>745</v>
      </c>
      <c r="B253" s="518" t="s">
        <v>746</v>
      </c>
      <c r="C253" s="518"/>
      <c r="D253" s="518" t="s">
        <v>747</v>
      </c>
      <c r="E253" s="543">
        <f>SUM(E254:E256)</f>
        <v>11644729.060000001</v>
      </c>
      <c r="F253" s="543">
        <f t="shared" ref="F253:P253" si="206">SUM(F254:F256)</f>
        <v>11644729.060000001</v>
      </c>
      <c r="G253" s="543">
        <f t="shared" si="206"/>
        <v>1905970</v>
      </c>
      <c r="H253" s="543">
        <f t="shared" si="206"/>
        <v>0</v>
      </c>
      <c r="I253" s="543">
        <f t="shared" si="206"/>
        <v>0</v>
      </c>
      <c r="J253" s="543">
        <f t="shared" si="206"/>
        <v>144048</v>
      </c>
      <c r="K253" s="543">
        <f t="shared" si="206"/>
        <v>0</v>
      </c>
      <c r="L253" s="543">
        <f t="shared" si="206"/>
        <v>144048</v>
      </c>
      <c r="M253" s="543">
        <f t="shared" si="206"/>
        <v>0</v>
      </c>
      <c r="N253" s="543">
        <f t="shared" si="206"/>
        <v>0</v>
      </c>
      <c r="O253" s="543">
        <f t="shared" si="206"/>
        <v>0</v>
      </c>
      <c r="P253" s="543">
        <f t="shared" si="206"/>
        <v>11788777.060000001</v>
      </c>
      <c r="Q253" s="18"/>
      <c r="R253" s="44"/>
    </row>
    <row r="254" spans="1:18" ht="168" customHeight="1" thickTop="1" thickBot="1" x14ac:dyDescent="0.25">
      <c r="A254" s="610" t="s">
        <v>30</v>
      </c>
      <c r="B254" s="610" t="s">
        <v>189</v>
      </c>
      <c r="C254" s="610" t="s">
        <v>190</v>
      </c>
      <c r="D254" s="94" t="s">
        <v>1710</v>
      </c>
      <c r="E254" s="471">
        <f>F254+I254</f>
        <v>1048981.06</v>
      </c>
      <c r="F254" s="520">
        <v>1048981.06</v>
      </c>
      <c r="G254" s="125"/>
      <c r="H254" s="125"/>
      <c r="I254" s="125"/>
      <c r="J254" s="501">
        <f t="shared" si="191"/>
        <v>0</v>
      </c>
      <c r="K254" s="504"/>
      <c r="L254" s="504"/>
      <c r="M254" s="504"/>
      <c r="N254" s="504"/>
      <c r="O254" s="502">
        <f t="shared" si="192"/>
        <v>0</v>
      </c>
      <c r="P254" s="501">
        <f t="shared" si="195"/>
        <v>1048981.06</v>
      </c>
      <c r="Q254" s="18"/>
      <c r="R254" s="44"/>
    </row>
    <row r="255" spans="1:18" ht="111.75" customHeight="1" thickTop="1" thickBot="1" x14ac:dyDescent="0.25">
      <c r="A255" s="610" t="s">
        <v>495</v>
      </c>
      <c r="B255" s="610" t="s">
        <v>493</v>
      </c>
      <c r="C255" s="610" t="s">
        <v>190</v>
      </c>
      <c r="D255" s="94" t="s">
        <v>494</v>
      </c>
      <c r="E255" s="471">
        <f>F255+I255</f>
        <v>7726000</v>
      </c>
      <c r="F255" s="520">
        <v>7726000</v>
      </c>
      <c r="G255" s="504"/>
      <c r="H255" s="504"/>
      <c r="I255" s="504"/>
      <c r="J255" s="501">
        <f t="shared" si="191"/>
        <v>0</v>
      </c>
      <c r="K255" s="504"/>
      <c r="L255" s="504"/>
      <c r="M255" s="504"/>
      <c r="N255" s="504"/>
      <c r="O255" s="502">
        <f t="shared" si="192"/>
        <v>0</v>
      </c>
      <c r="P255" s="501">
        <f t="shared" si="195"/>
        <v>7726000</v>
      </c>
      <c r="Q255" s="18"/>
      <c r="R255" s="44"/>
    </row>
    <row r="256" spans="1:18" ht="100.5" customHeight="1" thickTop="1" thickBot="1" x14ac:dyDescent="0.25">
      <c r="A256" s="610" t="s">
        <v>31</v>
      </c>
      <c r="B256" s="610" t="s">
        <v>191</v>
      </c>
      <c r="C256" s="610" t="s">
        <v>190</v>
      </c>
      <c r="D256" s="94" t="s">
        <v>32</v>
      </c>
      <c r="E256" s="471">
        <f>F256+I256</f>
        <v>2869748</v>
      </c>
      <c r="F256" s="520">
        <v>2869748</v>
      </c>
      <c r="G256" s="504">
        <v>1905970</v>
      </c>
      <c r="H256" s="504"/>
      <c r="I256" s="504"/>
      <c r="J256" s="501">
        <f t="shared" si="191"/>
        <v>144048</v>
      </c>
      <c r="K256" s="125"/>
      <c r="L256" s="504">
        <v>144048</v>
      </c>
      <c r="M256" s="125"/>
      <c r="N256" s="125"/>
      <c r="O256" s="502">
        <f>K256+0</f>
        <v>0</v>
      </c>
      <c r="P256" s="501">
        <f t="shared" si="195"/>
        <v>3013796</v>
      </c>
      <c r="Q256" s="18"/>
      <c r="R256" s="44"/>
    </row>
    <row r="257" spans="1:18" ht="54" hidden="1" thickTop="1" thickBot="1" x14ac:dyDescent="0.25">
      <c r="A257" s="282" t="s">
        <v>1454</v>
      </c>
      <c r="B257" s="282" t="s">
        <v>1455</v>
      </c>
      <c r="C257" s="282" t="s">
        <v>190</v>
      </c>
      <c r="D257" s="119" t="s">
        <v>1115</v>
      </c>
      <c r="E257" s="142"/>
      <c r="F257" s="120"/>
      <c r="G257" s="125"/>
      <c r="H257" s="125"/>
      <c r="I257" s="125"/>
      <c r="J257" s="118">
        <f t="shared" si="191"/>
        <v>0</v>
      </c>
      <c r="K257" s="125"/>
      <c r="L257" s="125"/>
      <c r="M257" s="125"/>
      <c r="N257" s="125"/>
      <c r="O257" s="123">
        <f>K257+0</f>
        <v>0</v>
      </c>
      <c r="P257" s="118">
        <f t="shared" si="195"/>
        <v>0</v>
      </c>
      <c r="Q257" s="18"/>
      <c r="R257" s="44"/>
    </row>
    <row r="258" spans="1:18" ht="105.75" customHeight="1" thickTop="1" thickBot="1" x14ac:dyDescent="0.25">
      <c r="A258" s="239" t="s">
        <v>748</v>
      </c>
      <c r="B258" s="239" t="s">
        <v>707</v>
      </c>
      <c r="C258" s="239"/>
      <c r="D258" s="542" t="s">
        <v>708</v>
      </c>
      <c r="E258" s="521">
        <f>E259</f>
        <v>60000</v>
      </c>
      <c r="F258" s="521">
        <f t="shared" ref="F258:P259" si="207">F259</f>
        <v>60000</v>
      </c>
      <c r="G258" s="521">
        <f t="shared" si="207"/>
        <v>0</v>
      </c>
      <c r="H258" s="521">
        <f t="shared" si="207"/>
        <v>0</v>
      </c>
      <c r="I258" s="521">
        <f t="shared" si="207"/>
        <v>0</v>
      </c>
      <c r="J258" s="521">
        <f t="shared" si="207"/>
        <v>0</v>
      </c>
      <c r="K258" s="521">
        <f t="shared" si="207"/>
        <v>0</v>
      </c>
      <c r="L258" s="521">
        <f t="shared" si="207"/>
        <v>0</v>
      </c>
      <c r="M258" s="521">
        <f t="shared" si="207"/>
        <v>0</v>
      </c>
      <c r="N258" s="521">
        <f t="shared" si="207"/>
        <v>0</v>
      </c>
      <c r="O258" s="521">
        <f t="shared" si="207"/>
        <v>0</v>
      </c>
      <c r="P258" s="521">
        <f t="shared" si="207"/>
        <v>60000</v>
      </c>
      <c r="Q258" s="18"/>
      <c r="R258" s="44"/>
    </row>
    <row r="259" spans="1:18" ht="129.75" customHeight="1" thickTop="1" thickBot="1" x14ac:dyDescent="0.25">
      <c r="A259" s="611" t="s">
        <v>749</v>
      </c>
      <c r="B259" s="611" t="s">
        <v>710</v>
      </c>
      <c r="C259" s="611"/>
      <c r="D259" s="518" t="s">
        <v>711</v>
      </c>
      <c r="E259" s="543">
        <f>E260</f>
        <v>60000</v>
      </c>
      <c r="F259" s="543">
        <f t="shared" si="207"/>
        <v>60000</v>
      </c>
      <c r="G259" s="543">
        <f t="shared" si="207"/>
        <v>0</v>
      </c>
      <c r="H259" s="543">
        <f t="shared" si="207"/>
        <v>0</v>
      </c>
      <c r="I259" s="543">
        <f t="shared" si="207"/>
        <v>0</v>
      </c>
      <c r="J259" s="543">
        <f t="shared" si="207"/>
        <v>0</v>
      </c>
      <c r="K259" s="543">
        <f t="shared" si="207"/>
        <v>0</v>
      </c>
      <c r="L259" s="543">
        <f t="shared" si="207"/>
        <v>0</v>
      </c>
      <c r="M259" s="543">
        <f t="shared" si="207"/>
        <v>0</v>
      </c>
      <c r="N259" s="543">
        <f t="shared" si="207"/>
        <v>0</v>
      </c>
      <c r="O259" s="543">
        <f t="shared" si="207"/>
        <v>0</v>
      </c>
      <c r="P259" s="543">
        <f t="shared" si="207"/>
        <v>60000</v>
      </c>
      <c r="Q259" s="18"/>
      <c r="R259" s="44"/>
    </row>
    <row r="260" spans="1:18" ht="138.75" thickTop="1" thickBot="1" x14ac:dyDescent="0.25">
      <c r="A260" s="610" t="s">
        <v>333</v>
      </c>
      <c r="B260" s="610" t="s">
        <v>332</v>
      </c>
      <c r="C260" s="610" t="s">
        <v>331</v>
      </c>
      <c r="D260" s="94" t="s">
        <v>1586</v>
      </c>
      <c r="E260" s="471">
        <f>F260+I260</f>
        <v>60000</v>
      </c>
      <c r="F260" s="520">
        <v>60000</v>
      </c>
      <c r="G260" s="125"/>
      <c r="H260" s="125"/>
      <c r="I260" s="125"/>
      <c r="J260" s="501">
        <f t="shared" si="191"/>
        <v>0</v>
      </c>
      <c r="K260" s="125"/>
      <c r="L260" s="125"/>
      <c r="M260" s="125"/>
      <c r="N260" s="125"/>
      <c r="O260" s="502">
        <f t="shared" si="192"/>
        <v>0</v>
      </c>
      <c r="P260" s="501">
        <f t="shared" si="195"/>
        <v>60000</v>
      </c>
      <c r="Q260" s="18"/>
      <c r="R260" s="48"/>
    </row>
    <row r="261" spans="1:18" ht="47.25" hidden="1" thickTop="1" thickBot="1" x14ac:dyDescent="0.25">
      <c r="A261" s="116" t="s">
        <v>750</v>
      </c>
      <c r="B261" s="116" t="s">
        <v>713</v>
      </c>
      <c r="C261" s="116"/>
      <c r="D261" s="116" t="s">
        <v>714</v>
      </c>
      <c r="E261" s="142">
        <f>E265+E262</f>
        <v>0</v>
      </c>
      <c r="F261" s="142">
        <f t="shared" ref="F261:P261" si="208">F265+F262</f>
        <v>0</v>
      </c>
      <c r="G261" s="142">
        <f t="shared" si="208"/>
        <v>0</v>
      </c>
      <c r="H261" s="142">
        <f t="shared" si="208"/>
        <v>0</v>
      </c>
      <c r="I261" s="142">
        <f t="shared" si="208"/>
        <v>0</v>
      </c>
      <c r="J261" s="142">
        <f t="shared" si="208"/>
        <v>0</v>
      </c>
      <c r="K261" s="142">
        <f t="shared" si="208"/>
        <v>0</v>
      </c>
      <c r="L261" s="142">
        <f t="shared" si="208"/>
        <v>0</v>
      </c>
      <c r="M261" s="142">
        <f t="shared" si="208"/>
        <v>0</v>
      </c>
      <c r="N261" s="142">
        <f t="shared" si="208"/>
        <v>0</v>
      </c>
      <c r="O261" s="142">
        <f t="shared" si="208"/>
        <v>0</v>
      </c>
      <c r="P261" s="142">
        <f t="shared" si="208"/>
        <v>0</v>
      </c>
      <c r="Q261" s="18"/>
      <c r="R261" s="48"/>
    </row>
    <row r="262" spans="1:18" ht="47.25" hidden="1" thickTop="1" thickBot="1" x14ac:dyDescent="0.25">
      <c r="A262" s="127" t="s">
        <v>1014</v>
      </c>
      <c r="B262" s="127" t="s">
        <v>765</v>
      </c>
      <c r="C262" s="127"/>
      <c r="D262" s="127" t="s">
        <v>766</v>
      </c>
      <c r="E262" s="128">
        <f>E263</f>
        <v>0</v>
      </c>
      <c r="F262" s="128">
        <f t="shared" ref="F262:P263" si="209">F263</f>
        <v>0</v>
      </c>
      <c r="G262" s="128">
        <f t="shared" si="209"/>
        <v>0</v>
      </c>
      <c r="H262" s="128">
        <f t="shared" si="209"/>
        <v>0</v>
      </c>
      <c r="I262" s="128">
        <f t="shared" si="209"/>
        <v>0</v>
      </c>
      <c r="J262" s="128">
        <f t="shared" si="209"/>
        <v>0</v>
      </c>
      <c r="K262" s="128">
        <f t="shared" si="209"/>
        <v>0</v>
      </c>
      <c r="L262" s="128">
        <f t="shared" si="209"/>
        <v>0</v>
      </c>
      <c r="M262" s="128">
        <f t="shared" si="209"/>
        <v>0</v>
      </c>
      <c r="N262" s="128">
        <f t="shared" si="209"/>
        <v>0</v>
      </c>
      <c r="O262" s="128">
        <f t="shared" si="209"/>
        <v>0</v>
      </c>
      <c r="P262" s="128">
        <f t="shared" si="209"/>
        <v>0</v>
      </c>
      <c r="Q262" s="18"/>
      <c r="R262" s="48"/>
    </row>
    <row r="263" spans="1:18" ht="54" hidden="1" thickTop="1" thickBot="1" x14ac:dyDescent="0.25">
      <c r="A263" s="131" t="s">
        <v>1015</v>
      </c>
      <c r="B263" s="131" t="s">
        <v>782</v>
      </c>
      <c r="C263" s="131"/>
      <c r="D263" s="131" t="s">
        <v>1276</v>
      </c>
      <c r="E263" s="132">
        <f>E264</f>
        <v>0</v>
      </c>
      <c r="F263" s="132">
        <f t="shared" si="209"/>
        <v>0</v>
      </c>
      <c r="G263" s="132">
        <f t="shared" si="209"/>
        <v>0</v>
      </c>
      <c r="H263" s="132">
        <f t="shared" si="209"/>
        <v>0</v>
      </c>
      <c r="I263" s="132">
        <f t="shared" si="209"/>
        <v>0</v>
      </c>
      <c r="J263" s="132">
        <f t="shared" si="209"/>
        <v>0</v>
      </c>
      <c r="K263" s="132">
        <f t="shared" si="209"/>
        <v>0</v>
      </c>
      <c r="L263" s="132">
        <f t="shared" si="209"/>
        <v>0</v>
      </c>
      <c r="M263" s="132">
        <f t="shared" si="209"/>
        <v>0</v>
      </c>
      <c r="N263" s="132">
        <f t="shared" si="209"/>
        <v>0</v>
      </c>
      <c r="O263" s="132">
        <f t="shared" si="209"/>
        <v>0</v>
      </c>
      <c r="P263" s="132">
        <f t="shared" si="209"/>
        <v>0</v>
      </c>
      <c r="Q263" s="18"/>
      <c r="R263" s="48"/>
    </row>
    <row r="264" spans="1:18" ht="54" hidden="1" thickTop="1" thickBot="1" x14ac:dyDescent="0.25">
      <c r="A264" s="119" t="s">
        <v>1016</v>
      </c>
      <c r="B264" s="119" t="s">
        <v>306</v>
      </c>
      <c r="C264" s="119" t="s">
        <v>298</v>
      </c>
      <c r="D264" s="119" t="s">
        <v>1115</v>
      </c>
      <c r="E264" s="118">
        <f t="shared" ref="E264" si="210">F264</f>
        <v>0</v>
      </c>
      <c r="F264" s="125"/>
      <c r="G264" s="125"/>
      <c r="H264" s="125"/>
      <c r="I264" s="125"/>
      <c r="J264" s="118">
        <f t="shared" ref="J264" si="211">L264+O264</f>
        <v>0</v>
      </c>
      <c r="K264" s="125">
        <f>49500-49500</f>
        <v>0</v>
      </c>
      <c r="L264" s="125"/>
      <c r="M264" s="125"/>
      <c r="N264" s="125"/>
      <c r="O264" s="123">
        <f t="shared" ref="O264" si="212">K264</f>
        <v>0</v>
      </c>
      <c r="P264" s="118">
        <f>E264+J264</f>
        <v>0</v>
      </c>
      <c r="Q264" s="18"/>
      <c r="R264" s="48"/>
    </row>
    <row r="265" spans="1:18" ht="47.25" hidden="1" thickTop="1" thickBot="1" x14ac:dyDescent="0.25">
      <c r="A265" s="127" t="s">
        <v>751</v>
      </c>
      <c r="B265" s="127" t="s">
        <v>659</v>
      </c>
      <c r="C265" s="127"/>
      <c r="D265" s="127" t="s">
        <v>657</v>
      </c>
      <c r="E265" s="148">
        <f>E267+E266</f>
        <v>0</v>
      </c>
      <c r="F265" s="148">
        <f t="shared" ref="F265:H265" si="213">F267+F266</f>
        <v>0</v>
      </c>
      <c r="G265" s="148">
        <f t="shared" si="213"/>
        <v>0</v>
      </c>
      <c r="H265" s="148">
        <f t="shared" si="213"/>
        <v>0</v>
      </c>
      <c r="I265" s="148">
        <f>I267+I266</f>
        <v>0</v>
      </c>
      <c r="J265" s="148">
        <f>J267+J266</f>
        <v>0</v>
      </c>
      <c r="K265" s="148">
        <f>K267+K266</f>
        <v>0</v>
      </c>
      <c r="L265" s="148">
        <f t="shared" ref="L265:O265" si="214">L267+L266</f>
        <v>0</v>
      </c>
      <c r="M265" s="148">
        <f t="shared" si="214"/>
        <v>0</v>
      </c>
      <c r="N265" s="148">
        <f t="shared" si="214"/>
        <v>0</v>
      </c>
      <c r="O265" s="148">
        <f t="shared" si="214"/>
        <v>0</v>
      </c>
      <c r="P265" s="148">
        <f>P267+P266</f>
        <v>0</v>
      </c>
      <c r="Q265" s="18"/>
      <c r="R265" s="48"/>
    </row>
    <row r="266" spans="1:18" ht="48" hidden="1" thickTop="1" thickBot="1" x14ac:dyDescent="0.25">
      <c r="A266" s="282" t="s">
        <v>1164</v>
      </c>
      <c r="B266" s="282" t="s">
        <v>207</v>
      </c>
      <c r="C266" s="282"/>
      <c r="D266" s="119" t="s">
        <v>40</v>
      </c>
      <c r="E266" s="142">
        <f>F266</f>
        <v>0</v>
      </c>
      <c r="F266" s="120"/>
      <c r="G266" s="125"/>
      <c r="H266" s="125"/>
      <c r="I266" s="125"/>
      <c r="J266" s="118">
        <f t="shared" ref="J266" si="215">L266+O266</f>
        <v>0</v>
      </c>
      <c r="K266" s="125"/>
      <c r="L266" s="125"/>
      <c r="M266" s="125"/>
      <c r="N266" s="125"/>
      <c r="O266" s="123">
        <f t="shared" ref="O266" si="216">K266</f>
        <v>0</v>
      </c>
      <c r="P266" s="118">
        <f t="shared" ref="P266" si="217">E266+J266</f>
        <v>0</v>
      </c>
      <c r="Q266" s="18"/>
      <c r="R266" s="48"/>
    </row>
    <row r="267" spans="1:18" ht="48" hidden="1" thickTop="1" thickBot="1" x14ac:dyDescent="0.25">
      <c r="A267" s="119" t="s">
        <v>581</v>
      </c>
      <c r="B267" s="119" t="s">
        <v>192</v>
      </c>
      <c r="C267" s="119" t="s">
        <v>165</v>
      </c>
      <c r="D267" s="119" t="s">
        <v>33</v>
      </c>
      <c r="E267" s="118"/>
      <c r="F267" s="125"/>
      <c r="G267" s="125"/>
      <c r="H267" s="125"/>
      <c r="I267" s="125"/>
      <c r="J267" s="118">
        <f t="shared" si="191"/>
        <v>0</v>
      </c>
      <c r="K267" s="125"/>
      <c r="L267" s="125"/>
      <c r="M267" s="125"/>
      <c r="N267" s="125"/>
      <c r="O267" s="123">
        <f t="shared" si="192"/>
        <v>0</v>
      </c>
      <c r="P267" s="118">
        <f t="shared" si="195"/>
        <v>0</v>
      </c>
      <c r="Q267" s="18"/>
      <c r="R267" s="44"/>
    </row>
    <row r="268" spans="1:18" ht="47.25" hidden="1" thickTop="1" thickBot="1" x14ac:dyDescent="0.25">
      <c r="A268" s="116" t="s">
        <v>1020</v>
      </c>
      <c r="B268" s="116" t="s">
        <v>669</v>
      </c>
      <c r="C268" s="116"/>
      <c r="D268" s="116" t="s">
        <v>670</v>
      </c>
      <c r="E268" s="118">
        <f>E269</f>
        <v>0</v>
      </c>
      <c r="F268" s="118">
        <f t="shared" ref="F268:P269" si="218">F269</f>
        <v>0</v>
      </c>
      <c r="G268" s="118">
        <f t="shared" si="218"/>
        <v>0</v>
      </c>
      <c r="H268" s="118">
        <f t="shared" si="218"/>
        <v>0</v>
      </c>
      <c r="I268" s="118">
        <f t="shared" si="218"/>
        <v>0</v>
      </c>
      <c r="J268" s="118">
        <f t="shared" si="218"/>
        <v>0</v>
      </c>
      <c r="K268" s="118">
        <f t="shared" si="218"/>
        <v>0</v>
      </c>
      <c r="L268" s="118">
        <f t="shared" si="218"/>
        <v>0</v>
      </c>
      <c r="M268" s="118">
        <f t="shared" si="218"/>
        <v>0</v>
      </c>
      <c r="N268" s="118">
        <f t="shared" si="218"/>
        <v>0</v>
      </c>
      <c r="O268" s="118">
        <f t="shared" si="218"/>
        <v>0</v>
      </c>
      <c r="P268" s="118">
        <f t="shared" si="218"/>
        <v>0</v>
      </c>
      <c r="Q268" s="18"/>
      <c r="R268" s="44"/>
    </row>
    <row r="269" spans="1:18" ht="91.5" hidden="1" thickTop="1" thickBot="1" x14ac:dyDescent="0.25">
      <c r="A269" s="127" t="s">
        <v>1021</v>
      </c>
      <c r="B269" s="127" t="s">
        <v>672</v>
      </c>
      <c r="C269" s="127"/>
      <c r="D269" s="127" t="s">
        <v>673</v>
      </c>
      <c r="E269" s="128">
        <f>E270</f>
        <v>0</v>
      </c>
      <c r="F269" s="128">
        <f t="shared" si="218"/>
        <v>0</v>
      </c>
      <c r="G269" s="128">
        <f t="shared" si="218"/>
        <v>0</v>
      </c>
      <c r="H269" s="128">
        <f t="shared" si="218"/>
        <v>0</v>
      </c>
      <c r="I269" s="128">
        <f t="shared" si="218"/>
        <v>0</v>
      </c>
      <c r="J269" s="128">
        <f t="shared" si="218"/>
        <v>0</v>
      </c>
      <c r="K269" s="128">
        <f t="shared" si="218"/>
        <v>0</v>
      </c>
      <c r="L269" s="128">
        <f t="shared" si="218"/>
        <v>0</v>
      </c>
      <c r="M269" s="128">
        <f t="shared" si="218"/>
        <v>0</v>
      </c>
      <c r="N269" s="128">
        <f t="shared" si="218"/>
        <v>0</v>
      </c>
      <c r="O269" s="128">
        <f t="shared" si="218"/>
        <v>0</v>
      </c>
      <c r="P269" s="128">
        <f t="shared" si="218"/>
        <v>0</v>
      </c>
      <c r="Q269" s="18"/>
      <c r="R269" s="44"/>
    </row>
    <row r="270" spans="1:18" ht="48" hidden="1" thickTop="1" thickBot="1" x14ac:dyDescent="0.25">
      <c r="A270" s="119" t="s">
        <v>1022</v>
      </c>
      <c r="B270" s="119" t="s">
        <v>353</v>
      </c>
      <c r="C270" s="119" t="s">
        <v>42</v>
      </c>
      <c r="D270" s="119" t="s">
        <v>354</v>
      </c>
      <c r="E270" s="118">
        <f t="shared" ref="E270" si="219">F270</f>
        <v>0</v>
      </c>
      <c r="F270" s="125"/>
      <c r="G270" s="125"/>
      <c r="H270" s="125"/>
      <c r="I270" s="125"/>
      <c r="J270" s="118">
        <f>L270+O270</f>
        <v>0</v>
      </c>
      <c r="K270" s="125"/>
      <c r="L270" s="125"/>
      <c r="M270" s="125"/>
      <c r="N270" s="125"/>
      <c r="O270" s="123">
        <f>K270</f>
        <v>0</v>
      </c>
      <c r="P270" s="118">
        <f>E270+J270</f>
        <v>0</v>
      </c>
      <c r="Q270" s="18"/>
      <c r="R270" s="44"/>
    </row>
    <row r="271" spans="1:18" ht="91.5" thickTop="1" thickBot="1" x14ac:dyDescent="0.25">
      <c r="A271" s="514" t="s">
        <v>153</v>
      </c>
      <c r="B271" s="514"/>
      <c r="C271" s="514"/>
      <c r="D271" s="515" t="s">
        <v>537</v>
      </c>
      <c r="E271" s="516">
        <f>E272</f>
        <v>52938094.669999994</v>
      </c>
      <c r="F271" s="517">
        <f t="shared" ref="F271:G271" si="220">F272</f>
        <v>34792561.670000002</v>
      </c>
      <c r="G271" s="517">
        <f t="shared" si="220"/>
        <v>9009267</v>
      </c>
      <c r="H271" s="517">
        <f>H272</f>
        <v>236135</v>
      </c>
      <c r="I271" s="517">
        <f t="shared" ref="I271" si="221">I272</f>
        <v>18145533</v>
      </c>
      <c r="J271" s="516">
        <f>J272</f>
        <v>10248493.630000001</v>
      </c>
      <c r="K271" s="517">
        <f>K272</f>
        <v>9664770</v>
      </c>
      <c r="L271" s="517">
        <f>L272</f>
        <v>583723.63</v>
      </c>
      <c r="M271" s="517">
        <f t="shared" ref="M271" si="222">M272</f>
        <v>0</v>
      </c>
      <c r="N271" s="517">
        <f>N272</f>
        <v>0</v>
      </c>
      <c r="O271" s="516">
        <f>O272</f>
        <v>9664770</v>
      </c>
      <c r="P271" s="517">
        <f>P272</f>
        <v>63186588.299999997</v>
      </c>
      <c r="Q271" s="18"/>
      <c r="R271" s="48"/>
    </row>
    <row r="272" spans="1:18" ht="144.75" customHeight="1" thickTop="1" thickBot="1" x14ac:dyDescent="0.25">
      <c r="A272" s="511" t="s">
        <v>154</v>
      </c>
      <c r="B272" s="511"/>
      <c r="C272" s="511"/>
      <c r="D272" s="512" t="s">
        <v>538</v>
      </c>
      <c r="E272" s="513">
        <f>E273+E280+E290+E298+E277</f>
        <v>52938094.669999994</v>
      </c>
      <c r="F272" s="513">
        <f>F273+F280+F290+F298+F277</f>
        <v>34792561.670000002</v>
      </c>
      <c r="G272" s="513">
        <f>G273+G280+G290+G298+G277</f>
        <v>9009267</v>
      </c>
      <c r="H272" s="513">
        <f>H273+H280+H290+H298+H277</f>
        <v>236135</v>
      </c>
      <c r="I272" s="513">
        <f>I273+I280+I290+I298+I277</f>
        <v>18145533</v>
      </c>
      <c r="J272" s="513">
        <f>L272+O272</f>
        <v>10248493.630000001</v>
      </c>
      <c r="K272" s="513">
        <f>K273+K280+K290+K298+K277</f>
        <v>9664770</v>
      </c>
      <c r="L272" s="513">
        <f>L273+L280+L290+L298+L277</f>
        <v>583723.63</v>
      </c>
      <c r="M272" s="513">
        <f>M273+M280+M290+M298+M277</f>
        <v>0</v>
      </c>
      <c r="N272" s="513">
        <f>N273+N280+N290+N298+N277</f>
        <v>0</v>
      </c>
      <c r="O272" s="513">
        <f>O273+O280+O290+O298+O277</f>
        <v>9664770</v>
      </c>
      <c r="P272" s="513">
        <f>E272+J272</f>
        <v>63186588.299999997</v>
      </c>
      <c r="Q272" s="546" t="b">
        <f>P272=P274+P279+P282+P284+P285+P286+P287+P288+P300+P297+P294</f>
        <v>1</v>
      </c>
      <c r="R272" s="52"/>
    </row>
    <row r="273" spans="1:18" ht="93.75" customHeight="1" thickTop="1" thickBot="1" x14ac:dyDescent="0.25">
      <c r="A273" s="239" t="s">
        <v>752</v>
      </c>
      <c r="B273" s="239" t="s">
        <v>652</v>
      </c>
      <c r="C273" s="239"/>
      <c r="D273" s="483" t="s">
        <v>653</v>
      </c>
      <c r="E273" s="501">
        <f>SUM(E274:E276)</f>
        <v>13066608</v>
      </c>
      <c r="F273" s="501">
        <f t="shared" ref="F273:N273" si="223">SUM(F274:F276)</f>
        <v>13066608</v>
      </c>
      <c r="G273" s="501">
        <f t="shared" si="223"/>
        <v>9009267</v>
      </c>
      <c r="H273" s="501">
        <f t="shared" si="223"/>
        <v>236135</v>
      </c>
      <c r="I273" s="501">
        <f t="shared" si="223"/>
        <v>0</v>
      </c>
      <c r="J273" s="501">
        <f t="shared" si="223"/>
        <v>0</v>
      </c>
      <c r="K273" s="501">
        <f t="shared" si="223"/>
        <v>0</v>
      </c>
      <c r="L273" s="501">
        <f t="shared" si="223"/>
        <v>0</v>
      </c>
      <c r="M273" s="501">
        <f t="shared" si="223"/>
        <v>0</v>
      </c>
      <c r="N273" s="501">
        <f t="shared" si="223"/>
        <v>0</v>
      </c>
      <c r="O273" s="501">
        <f>SUM(O274:O276)</f>
        <v>0</v>
      </c>
      <c r="P273" s="501">
        <f>SUM(P274:P276)</f>
        <v>13066608</v>
      </c>
      <c r="Q273" s="45"/>
      <c r="R273" s="52"/>
    </row>
    <row r="274" spans="1:18" ht="144.75" customHeight="1" thickTop="1" thickBot="1" x14ac:dyDescent="0.25">
      <c r="A274" s="94" t="s">
        <v>410</v>
      </c>
      <c r="B274" s="94" t="s">
        <v>231</v>
      </c>
      <c r="C274" s="94" t="s">
        <v>229</v>
      </c>
      <c r="D274" s="469" t="s">
        <v>1515</v>
      </c>
      <c r="E274" s="471">
        <f>F274+I274</f>
        <v>13066608</v>
      </c>
      <c r="F274" s="520">
        <v>13066608</v>
      </c>
      <c r="G274" s="520">
        <v>9009267</v>
      </c>
      <c r="H274" s="520">
        <v>236135</v>
      </c>
      <c r="I274" s="520"/>
      <c r="J274" s="501">
        <f t="shared" ref="J274:J297" si="224">L274+O274</f>
        <v>0</v>
      </c>
      <c r="K274" s="520"/>
      <c r="L274" s="522"/>
      <c r="M274" s="522"/>
      <c r="N274" s="522"/>
      <c r="O274" s="502">
        <f t="shared" ref="O274:O295" si="225">K274</f>
        <v>0</v>
      </c>
      <c r="P274" s="501">
        <f t="shared" ref="P274:P286" si="226">+J274+E274</f>
        <v>13066608</v>
      </c>
      <c r="Q274" s="18"/>
      <c r="R274" s="52"/>
    </row>
    <row r="275" spans="1:18" ht="93" hidden="1" thickTop="1" thickBot="1" x14ac:dyDescent="0.25">
      <c r="A275" s="119" t="s">
        <v>600</v>
      </c>
      <c r="B275" s="119" t="s">
        <v>352</v>
      </c>
      <c r="C275" s="119" t="s">
        <v>598</v>
      </c>
      <c r="D275" s="119" t="s">
        <v>599</v>
      </c>
      <c r="E275" s="118">
        <f t="shared" ref="E275:E276" si="227">F275</f>
        <v>0</v>
      </c>
      <c r="F275" s="120">
        <v>0</v>
      </c>
      <c r="G275" s="120"/>
      <c r="H275" s="120"/>
      <c r="I275" s="120"/>
      <c r="J275" s="118">
        <f t="shared" si="224"/>
        <v>0</v>
      </c>
      <c r="K275" s="120"/>
      <c r="L275" s="121"/>
      <c r="M275" s="122"/>
      <c r="N275" s="122"/>
      <c r="O275" s="123">
        <f t="shared" si="225"/>
        <v>0</v>
      </c>
      <c r="P275" s="118">
        <f>+J275+E275</f>
        <v>0</v>
      </c>
      <c r="Q275" s="18"/>
      <c r="R275" s="52"/>
    </row>
    <row r="276" spans="1:18" ht="48" hidden="1" thickTop="1" thickBot="1" x14ac:dyDescent="0.25">
      <c r="A276" s="119" t="s">
        <v>1033</v>
      </c>
      <c r="B276" s="119" t="s">
        <v>42</v>
      </c>
      <c r="C276" s="119" t="s">
        <v>41</v>
      </c>
      <c r="D276" s="119" t="s">
        <v>242</v>
      </c>
      <c r="E276" s="118">
        <f t="shared" si="227"/>
        <v>0</v>
      </c>
      <c r="F276" s="120"/>
      <c r="G276" s="120"/>
      <c r="H276" s="120"/>
      <c r="I276" s="120"/>
      <c r="J276" s="118">
        <f t="shared" si="224"/>
        <v>0</v>
      </c>
      <c r="K276" s="120"/>
      <c r="L276" s="121"/>
      <c r="M276" s="122"/>
      <c r="N276" s="122"/>
      <c r="O276" s="123"/>
      <c r="P276" s="118">
        <f>+J276+E276</f>
        <v>0</v>
      </c>
      <c r="Q276" s="18"/>
      <c r="R276" s="52"/>
    </row>
    <row r="277" spans="1:18" ht="123" customHeight="1" thickTop="1" thickBot="1" x14ac:dyDescent="0.25">
      <c r="A277" s="483" t="s">
        <v>1452</v>
      </c>
      <c r="B277" s="483" t="s">
        <v>678</v>
      </c>
      <c r="C277" s="483"/>
      <c r="D277" s="483" t="s">
        <v>679</v>
      </c>
      <c r="E277" s="485">
        <f t="shared" ref="E277:P277" si="228">SUM(E278:E279)</f>
        <v>0</v>
      </c>
      <c r="F277" s="485">
        <f t="shared" si="228"/>
        <v>0</v>
      </c>
      <c r="G277" s="485">
        <f t="shared" si="228"/>
        <v>0</v>
      </c>
      <c r="H277" s="485">
        <f t="shared" si="228"/>
        <v>0</v>
      </c>
      <c r="I277" s="485">
        <f t="shared" si="228"/>
        <v>0</v>
      </c>
      <c r="J277" s="485">
        <f t="shared" si="228"/>
        <v>9664770</v>
      </c>
      <c r="K277" s="485">
        <f t="shared" si="228"/>
        <v>9664770</v>
      </c>
      <c r="L277" s="485">
        <f t="shared" si="228"/>
        <v>0</v>
      </c>
      <c r="M277" s="485">
        <f t="shared" si="228"/>
        <v>0</v>
      </c>
      <c r="N277" s="485">
        <f t="shared" si="228"/>
        <v>0</v>
      </c>
      <c r="O277" s="485">
        <f t="shared" si="228"/>
        <v>9664770</v>
      </c>
      <c r="P277" s="485">
        <f t="shared" si="228"/>
        <v>9664770</v>
      </c>
      <c r="Q277" s="18"/>
      <c r="R277" s="52"/>
    </row>
    <row r="278" spans="1:18" ht="45" hidden="1" customHeight="1" thickTop="1" thickBot="1" x14ac:dyDescent="0.25">
      <c r="A278" s="119" t="s">
        <v>1453</v>
      </c>
      <c r="B278" s="119" t="s">
        <v>1080</v>
      </c>
      <c r="C278" s="119" t="s">
        <v>201</v>
      </c>
      <c r="D278" s="277" t="s">
        <v>1081</v>
      </c>
      <c r="E278" s="118"/>
      <c r="F278" s="125"/>
      <c r="G278" s="125"/>
      <c r="H278" s="125"/>
      <c r="I278" s="125"/>
      <c r="J278" s="118">
        <f>L278+O278</f>
        <v>0</v>
      </c>
      <c r="K278" s="125"/>
      <c r="L278" s="125"/>
      <c r="M278" s="125"/>
      <c r="N278" s="125"/>
      <c r="O278" s="123">
        <f>K278</f>
        <v>0</v>
      </c>
      <c r="P278" s="118">
        <f>E278+J278</f>
        <v>0</v>
      </c>
      <c r="Q278" s="18"/>
      <c r="R278" s="52"/>
    </row>
    <row r="279" spans="1:18" ht="194.25" customHeight="1" thickTop="1" thickBot="1" x14ac:dyDescent="0.25">
      <c r="A279" s="469" t="s">
        <v>1506</v>
      </c>
      <c r="B279" s="469" t="s">
        <v>1377</v>
      </c>
      <c r="C279" s="469" t="s">
        <v>186</v>
      </c>
      <c r="D279" s="486" t="s">
        <v>1505</v>
      </c>
      <c r="E279" s="118"/>
      <c r="F279" s="125"/>
      <c r="G279" s="125"/>
      <c r="H279" s="125"/>
      <c r="I279" s="125"/>
      <c r="J279" s="485">
        <f>L279+O279</f>
        <v>9664770</v>
      </c>
      <c r="K279" s="487">
        <v>9664770</v>
      </c>
      <c r="L279" s="125"/>
      <c r="M279" s="125"/>
      <c r="N279" s="125"/>
      <c r="O279" s="488">
        <f>K279</f>
        <v>9664770</v>
      </c>
      <c r="P279" s="485">
        <f>E279+J279</f>
        <v>9664770</v>
      </c>
      <c r="Q279" s="18"/>
      <c r="R279" s="52"/>
    </row>
    <row r="280" spans="1:18" ht="104.25" customHeight="1" thickTop="1" thickBot="1" x14ac:dyDescent="0.25">
      <c r="A280" s="483" t="s">
        <v>753</v>
      </c>
      <c r="B280" s="483" t="s">
        <v>707</v>
      </c>
      <c r="C280" s="116"/>
      <c r="D280" s="484" t="s">
        <v>708</v>
      </c>
      <c r="E280" s="485">
        <f>SUM(E281:E289)-E281</f>
        <v>29154244.369999997</v>
      </c>
      <c r="F280" s="485">
        <f t="shared" ref="F280:P280" si="229">SUM(F281:F289)-F281</f>
        <v>18008711.370000001</v>
      </c>
      <c r="G280" s="485">
        <f t="shared" si="229"/>
        <v>0</v>
      </c>
      <c r="H280" s="485">
        <f t="shared" si="229"/>
        <v>0</v>
      </c>
      <c r="I280" s="485">
        <f t="shared" si="229"/>
        <v>11145533</v>
      </c>
      <c r="J280" s="485">
        <f t="shared" si="229"/>
        <v>0</v>
      </c>
      <c r="K280" s="485">
        <f t="shared" si="229"/>
        <v>0</v>
      </c>
      <c r="L280" s="485">
        <f t="shared" si="229"/>
        <v>0</v>
      </c>
      <c r="M280" s="485">
        <f t="shared" si="229"/>
        <v>0</v>
      </c>
      <c r="N280" s="485">
        <f t="shared" si="229"/>
        <v>0</v>
      </c>
      <c r="O280" s="485">
        <f t="shared" si="229"/>
        <v>0</v>
      </c>
      <c r="P280" s="485">
        <f t="shared" si="229"/>
        <v>29154244.369999997</v>
      </c>
      <c r="Q280" s="18"/>
      <c r="R280" s="52"/>
    </row>
    <row r="281" spans="1:18" s="31" customFormat="1" ht="129" customHeight="1" thickTop="1" thickBot="1" x14ac:dyDescent="0.25">
      <c r="A281" s="481" t="s">
        <v>754</v>
      </c>
      <c r="B281" s="481" t="s">
        <v>755</v>
      </c>
      <c r="C281" s="131"/>
      <c r="D281" s="481" t="s">
        <v>1504</v>
      </c>
      <c r="E281" s="482">
        <f>SUM(E282:E285)</f>
        <v>14359033</v>
      </c>
      <c r="F281" s="482">
        <f t="shared" ref="F281:P281" si="230">SUM(F282:F285)</f>
        <v>3213500</v>
      </c>
      <c r="G281" s="482">
        <f t="shared" si="230"/>
        <v>0</v>
      </c>
      <c r="H281" s="482">
        <f t="shared" si="230"/>
        <v>0</v>
      </c>
      <c r="I281" s="482">
        <f t="shared" si="230"/>
        <v>11145533</v>
      </c>
      <c r="J281" s="482">
        <f t="shared" si="230"/>
        <v>0</v>
      </c>
      <c r="K281" s="482">
        <f t="shared" si="230"/>
        <v>0</v>
      </c>
      <c r="L281" s="482">
        <f t="shared" si="230"/>
        <v>0</v>
      </c>
      <c r="M281" s="482">
        <f t="shared" si="230"/>
        <v>0</v>
      </c>
      <c r="N281" s="482">
        <f t="shared" si="230"/>
        <v>0</v>
      </c>
      <c r="O281" s="482">
        <f t="shared" si="230"/>
        <v>0</v>
      </c>
      <c r="P281" s="482">
        <f t="shared" si="230"/>
        <v>14359033</v>
      </c>
      <c r="Q281" s="34"/>
      <c r="R281" s="52"/>
    </row>
    <row r="282" spans="1:18" ht="88.5" customHeight="1" thickTop="1" thickBot="1" x14ac:dyDescent="0.25">
      <c r="A282" s="469" t="s">
        <v>274</v>
      </c>
      <c r="B282" s="469" t="s">
        <v>275</v>
      </c>
      <c r="C282" s="469" t="s">
        <v>331</v>
      </c>
      <c r="D282" s="469" t="s">
        <v>276</v>
      </c>
      <c r="E282" s="471">
        <f>F282+I282</f>
        <v>6180533</v>
      </c>
      <c r="F282" s="470">
        <v>2035000</v>
      </c>
      <c r="G282" s="120"/>
      <c r="H282" s="120"/>
      <c r="I282" s="470">
        <f>(2007403)+2138130</f>
        <v>4145533</v>
      </c>
      <c r="J282" s="485">
        <f t="shared" si="224"/>
        <v>0</v>
      </c>
      <c r="K282" s="470"/>
      <c r="L282" s="494"/>
      <c r="M282" s="494"/>
      <c r="N282" s="494"/>
      <c r="O282" s="488">
        <f t="shared" si="225"/>
        <v>0</v>
      </c>
      <c r="P282" s="485">
        <f t="shared" si="226"/>
        <v>6180533</v>
      </c>
      <c r="Q282" s="18"/>
      <c r="R282" s="52"/>
    </row>
    <row r="283" spans="1:18" ht="48" hidden="1" thickTop="1" thickBot="1" x14ac:dyDescent="0.25">
      <c r="A283" s="119" t="s">
        <v>1340</v>
      </c>
      <c r="B283" s="119" t="s">
        <v>280</v>
      </c>
      <c r="C283" s="119" t="s">
        <v>277</v>
      </c>
      <c r="D283" s="119" t="s">
        <v>281</v>
      </c>
      <c r="E283" s="142">
        <f>F283</f>
        <v>0</v>
      </c>
      <c r="F283" s="120"/>
      <c r="G283" s="120"/>
      <c r="H283" s="120"/>
      <c r="I283" s="120"/>
      <c r="J283" s="118">
        <f t="shared" si="224"/>
        <v>0</v>
      </c>
      <c r="K283" s="120"/>
      <c r="L283" s="121"/>
      <c r="M283" s="121"/>
      <c r="N283" s="121"/>
      <c r="O283" s="123">
        <f t="shared" si="225"/>
        <v>0</v>
      </c>
      <c r="P283" s="118">
        <f t="shared" si="226"/>
        <v>0</v>
      </c>
      <c r="Q283" s="18"/>
      <c r="R283" s="52"/>
    </row>
    <row r="284" spans="1:18" ht="82.5" customHeight="1" thickTop="1" thickBot="1" x14ac:dyDescent="0.25">
      <c r="A284" s="469" t="s">
        <v>295</v>
      </c>
      <c r="B284" s="469" t="s">
        <v>296</v>
      </c>
      <c r="C284" s="469" t="s">
        <v>277</v>
      </c>
      <c r="D284" s="469" t="s">
        <v>297</v>
      </c>
      <c r="E284" s="471">
        <f>F284+I284</f>
        <v>7000000</v>
      </c>
      <c r="F284" s="120"/>
      <c r="G284" s="120"/>
      <c r="H284" s="120"/>
      <c r="I284" s="470">
        <v>7000000</v>
      </c>
      <c r="J284" s="485">
        <f t="shared" si="224"/>
        <v>0</v>
      </c>
      <c r="K284" s="470"/>
      <c r="L284" s="494"/>
      <c r="M284" s="494"/>
      <c r="N284" s="494"/>
      <c r="O284" s="488">
        <f t="shared" si="225"/>
        <v>0</v>
      </c>
      <c r="P284" s="485">
        <f t="shared" si="226"/>
        <v>7000000</v>
      </c>
      <c r="Q284" s="18"/>
      <c r="R284" s="52"/>
    </row>
    <row r="285" spans="1:18" ht="150" customHeight="1" thickTop="1" thickBot="1" x14ac:dyDescent="0.25">
      <c r="A285" s="469" t="s">
        <v>278</v>
      </c>
      <c r="B285" s="469" t="s">
        <v>279</v>
      </c>
      <c r="C285" s="469" t="s">
        <v>277</v>
      </c>
      <c r="D285" s="469" t="s">
        <v>1502</v>
      </c>
      <c r="E285" s="471">
        <f>F285+I285</f>
        <v>1178500</v>
      </c>
      <c r="F285" s="470">
        <f>(178500)+1000000</f>
        <v>1178500</v>
      </c>
      <c r="G285" s="120"/>
      <c r="H285" s="120"/>
      <c r="I285" s="120"/>
      <c r="J285" s="485">
        <f t="shared" si="224"/>
        <v>0</v>
      </c>
      <c r="K285" s="470"/>
      <c r="L285" s="494"/>
      <c r="M285" s="494"/>
      <c r="N285" s="494"/>
      <c r="O285" s="488">
        <f t="shared" si="225"/>
        <v>0</v>
      </c>
      <c r="P285" s="485">
        <f t="shared" si="226"/>
        <v>1178500</v>
      </c>
      <c r="Q285" s="18"/>
      <c r="R285" s="52"/>
    </row>
    <row r="286" spans="1:18" ht="150.75" customHeight="1" thickTop="1" thickBot="1" x14ac:dyDescent="0.25">
      <c r="A286" s="469" t="s">
        <v>880</v>
      </c>
      <c r="B286" s="469" t="s">
        <v>291</v>
      </c>
      <c r="C286" s="469" t="s">
        <v>277</v>
      </c>
      <c r="D286" s="469" t="s">
        <v>292</v>
      </c>
      <c r="E286" s="471">
        <f>F286+I286</f>
        <v>1159200</v>
      </c>
      <c r="F286" s="470">
        <v>1159200</v>
      </c>
      <c r="G286" s="120"/>
      <c r="H286" s="120"/>
      <c r="I286" s="120"/>
      <c r="J286" s="485">
        <f t="shared" si="224"/>
        <v>0</v>
      </c>
      <c r="K286" s="470"/>
      <c r="L286" s="494"/>
      <c r="M286" s="494"/>
      <c r="N286" s="494"/>
      <c r="O286" s="488">
        <f t="shared" si="225"/>
        <v>0</v>
      </c>
      <c r="P286" s="485">
        <f t="shared" si="226"/>
        <v>1159200</v>
      </c>
      <c r="Q286" s="18"/>
      <c r="R286" s="52"/>
    </row>
    <row r="287" spans="1:18" ht="72.75" customHeight="1" thickTop="1" thickBot="1" x14ac:dyDescent="0.25">
      <c r="A287" s="469" t="s">
        <v>282</v>
      </c>
      <c r="B287" s="469" t="s">
        <v>283</v>
      </c>
      <c r="C287" s="469" t="s">
        <v>277</v>
      </c>
      <c r="D287" s="469" t="s">
        <v>284</v>
      </c>
      <c r="E287" s="471">
        <f>F287+I287</f>
        <v>12000000</v>
      </c>
      <c r="F287" s="470">
        <v>12000000</v>
      </c>
      <c r="G287" s="120"/>
      <c r="H287" s="120"/>
      <c r="I287" s="120"/>
      <c r="J287" s="485">
        <f t="shared" si="224"/>
        <v>0</v>
      </c>
      <c r="K287" s="487"/>
      <c r="L287" s="470"/>
      <c r="M287" s="470"/>
      <c r="N287" s="470"/>
      <c r="O287" s="488">
        <f t="shared" si="225"/>
        <v>0</v>
      </c>
      <c r="P287" s="485">
        <f t="shared" ref="P287:P289" si="231">E287+J287</f>
        <v>12000000</v>
      </c>
      <c r="Q287" s="18"/>
      <c r="R287" s="48"/>
    </row>
    <row r="288" spans="1:18" ht="85.5" customHeight="1" thickTop="1" thickBot="1" x14ac:dyDescent="0.25">
      <c r="A288" s="469" t="s">
        <v>1130</v>
      </c>
      <c r="B288" s="469" t="s">
        <v>1038</v>
      </c>
      <c r="C288" s="469" t="s">
        <v>1039</v>
      </c>
      <c r="D288" s="469" t="s">
        <v>1036</v>
      </c>
      <c r="E288" s="471">
        <f>F288+I288</f>
        <v>1636011.37</v>
      </c>
      <c r="F288" s="470">
        <f>(1542648)+93363.37</f>
        <v>1636011.37</v>
      </c>
      <c r="G288" s="120"/>
      <c r="H288" s="120"/>
      <c r="I288" s="120"/>
      <c r="J288" s="485">
        <f t="shared" si="224"/>
        <v>0</v>
      </c>
      <c r="K288" s="487"/>
      <c r="L288" s="470"/>
      <c r="M288" s="470"/>
      <c r="N288" s="470"/>
      <c r="O288" s="488">
        <f t="shared" si="225"/>
        <v>0</v>
      </c>
      <c r="P288" s="485">
        <f t="shared" si="231"/>
        <v>1636011.37</v>
      </c>
      <c r="Q288" s="18"/>
      <c r="R288" s="48"/>
    </row>
    <row r="289" spans="1:18" ht="54" hidden="1" thickTop="1" thickBot="1" x14ac:dyDescent="0.25">
      <c r="A289" s="119" t="s">
        <v>1353</v>
      </c>
      <c r="B289" s="119" t="s">
        <v>1354</v>
      </c>
      <c r="C289" s="119" t="s">
        <v>1039</v>
      </c>
      <c r="D289" s="119" t="s">
        <v>1278</v>
      </c>
      <c r="E289" s="142"/>
      <c r="F289" s="120"/>
      <c r="G289" s="120"/>
      <c r="H289" s="120"/>
      <c r="I289" s="120"/>
      <c r="J289" s="118">
        <f t="shared" si="224"/>
        <v>0</v>
      </c>
      <c r="K289" s="125"/>
      <c r="L289" s="120"/>
      <c r="M289" s="120"/>
      <c r="N289" s="120"/>
      <c r="O289" s="123">
        <f t="shared" si="225"/>
        <v>0</v>
      </c>
      <c r="P289" s="118">
        <f t="shared" si="231"/>
        <v>0</v>
      </c>
      <c r="Q289" s="18"/>
      <c r="R289" s="48"/>
    </row>
    <row r="290" spans="1:18" ht="122.25" customHeight="1" thickTop="1" thickBot="1" x14ac:dyDescent="0.25">
      <c r="A290" s="483" t="s">
        <v>756</v>
      </c>
      <c r="B290" s="483" t="s">
        <v>713</v>
      </c>
      <c r="C290" s="483"/>
      <c r="D290" s="483" t="s">
        <v>757</v>
      </c>
      <c r="E290" s="471">
        <f>E293+E291</f>
        <v>3717242.3</v>
      </c>
      <c r="F290" s="471">
        <f t="shared" ref="F290:P290" si="232">F293+F291</f>
        <v>3717242.3</v>
      </c>
      <c r="G290" s="471">
        <f t="shared" si="232"/>
        <v>0</v>
      </c>
      <c r="H290" s="471">
        <f t="shared" si="232"/>
        <v>0</v>
      </c>
      <c r="I290" s="471">
        <f t="shared" si="232"/>
        <v>0</v>
      </c>
      <c r="J290" s="471">
        <f t="shared" si="232"/>
        <v>583723.63</v>
      </c>
      <c r="K290" s="471">
        <f t="shared" si="232"/>
        <v>0</v>
      </c>
      <c r="L290" s="471">
        <f t="shared" si="232"/>
        <v>583723.63</v>
      </c>
      <c r="M290" s="471">
        <f t="shared" si="232"/>
        <v>0</v>
      </c>
      <c r="N290" s="471">
        <f t="shared" si="232"/>
        <v>0</v>
      </c>
      <c r="O290" s="471">
        <f t="shared" si="232"/>
        <v>0</v>
      </c>
      <c r="P290" s="471">
        <f t="shared" si="232"/>
        <v>4300965.93</v>
      </c>
      <c r="Q290" s="18"/>
      <c r="R290" s="48"/>
    </row>
    <row r="291" spans="1:18" ht="102.75" hidden="1" customHeight="1" thickTop="1" thickBot="1" x14ac:dyDescent="0.25">
      <c r="A291" s="127" t="s">
        <v>1432</v>
      </c>
      <c r="B291" s="127" t="s">
        <v>800</v>
      </c>
      <c r="C291" s="127"/>
      <c r="D291" s="127" t="s">
        <v>801</v>
      </c>
      <c r="E291" s="128">
        <f>SUM(E292)</f>
        <v>0</v>
      </c>
      <c r="F291" s="128">
        <f t="shared" ref="F291:P291" si="233">SUM(F292)</f>
        <v>0</v>
      </c>
      <c r="G291" s="128">
        <f t="shared" si="233"/>
        <v>0</v>
      </c>
      <c r="H291" s="128">
        <f t="shared" si="233"/>
        <v>0</v>
      </c>
      <c r="I291" s="128">
        <f t="shared" si="233"/>
        <v>0</v>
      </c>
      <c r="J291" s="128">
        <f t="shared" si="233"/>
        <v>0</v>
      </c>
      <c r="K291" s="128">
        <f t="shared" si="233"/>
        <v>0</v>
      </c>
      <c r="L291" s="128">
        <f t="shared" si="233"/>
        <v>0</v>
      </c>
      <c r="M291" s="128">
        <f t="shared" si="233"/>
        <v>0</v>
      </c>
      <c r="N291" s="128">
        <f t="shared" si="233"/>
        <v>0</v>
      </c>
      <c r="O291" s="128">
        <f t="shared" si="233"/>
        <v>0</v>
      </c>
      <c r="P291" s="128">
        <f t="shared" si="233"/>
        <v>0</v>
      </c>
      <c r="Q291" s="18"/>
      <c r="R291" s="48"/>
    </row>
    <row r="292" spans="1:18" ht="48" hidden="1" thickTop="1" thickBot="1" x14ac:dyDescent="0.25">
      <c r="A292" s="119" t="s">
        <v>1433</v>
      </c>
      <c r="B292" s="119" t="s">
        <v>301</v>
      </c>
      <c r="C292" s="119" t="s">
        <v>302</v>
      </c>
      <c r="D292" s="119" t="s">
        <v>448</v>
      </c>
      <c r="E292" s="118"/>
      <c r="F292" s="125"/>
      <c r="G292" s="125"/>
      <c r="H292" s="125"/>
      <c r="I292" s="125"/>
      <c r="J292" s="118">
        <f>L292+O292</f>
        <v>0</v>
      </c>
      <c r="K292" s="125"/>
      <c r="L292" s="125"/>
      <c r="M292" s="125"/>
      <c r="N292" s="125"/>
      <c r="O292" s="123">
        <f>(K292)</f>
        <v>0</v>
      </c>
      <c r="P292" s="118">
        <f>E292+J292</f>
        <v>0</v>
      </c>
      <c r="Q292" s="18"/>
      <c r="R292" s="48"/>
    </row>
    <row r="293" spans="1:18" ht="96" customHeight="1" thickTop="1" thickBot="1" x14ac:dyDescent="0.25">
      <c r="A293" s="496" t="s">
        <v>758</v>
      </c>
      <c r="B293" s="496" t="s">
        <v>659</v>
      </c>
      <c r="C293" s="496"/>
      <c r="D293" s="496" t="s">
        <v>657</v>
      </c>
      <c r="E293" s="530">
        <f>E294+E296+E295</f>
        <v>3717242.3</v>
      </c>
      <c r="F293" s="530">
        <f t="shared" ref="F293:P293" si="234">F294+F296+F295</f>
        <v>3717242.3</v>
      </c>
      <c r="G293" s="530">
        <f t="shared" si="234"/>
        <v>0</v>
      </c>
      <c r="H293" s="530">
        <f t="shared" si="234"/>
        <v>0</v>
      </c>
      <c r="I293" s="530">
        <f t="shared" si="234"/>
        <v>0</v>
      </c>
      <c r="J293" s="530">
        <f>J294+J296+J295</f>
        <v>583723.63</v>
      </c>
      <c r="K293" s="530">
        <f t="shared" si="234"/>
        <v>0</v>
      </c>
      <c r="L293" s="530">
        <f t="shared" si="234"/>
        <v>583723.63</v>
      </c>
      <c r="M293" s="530">
        <f t="shared" si="234"/>
        <v>0</v>
      </c>
      <c r="N293" s="530">
        <f t="shared" si="234"/>
        <v>0</v>
      </c>
      <c r="O293" s="530">
        <f t="shared" si="234"/>
        <v>0</v>
      </c>
      <c r="P293" s="530">
        <f t="shared" si="234"/>
        <v>4300965.93</v>
      </c>
      <c r="Q293" s="18"/>
      <c r="R293" s="48"/>
    </row>
    <row r="294" spans="1:18" ht="116.25" customHeight="1" thickTop="1" thickBot="1" x14ac:dyDescent="0.25">
      <c r="A294" s="469" t="s">
        <v>290</v>
      </c>
      <c r="B294" s="469" t="s">
        <v>207</v>
      </c>
      <c r="C294" s="469" t="s">
        <v>208</v>
      </c>
      <c r="D294" s="469" t="s">
        <v>40</v>
      </c>
      <c r="E294" s="471">
        <f>F294+I294</f>
        <v>3717242.3</v>
      </c>
      <c r="F294" s="470">
        <v>3717242.3</v>
      </c>
      <c r="G294" s="470"/>
      <c r="H294" s="470"/>
      <c r="I294" s="470"/>
      <c r="J294" s="485">
        <f t="shared" si="224"/>
        <v>0</v>
      </c>
      <c r="K294" s="487"/>
      <c r="L294" s="470"/>
      <c r="M294" s="470"/>
      <c r="N294" s="470"/>
      <c r="O294" s="488">
        <f t="shared" si="225"/>
        <v>0</v>
      </c>
      <c r="P294" s="485">
        <f>E294+J294</f>
        <v>3717242.3</v>
      </c>
      <c r="Q294" s="18"/>
      <c r="R294" s="52"/>
    </row>
    <row r="295" spans="1:18" ht="48" hidden="1" thickTop="1" thickBot="1" x14ac:dyDescent="0.25">
      <c r="A295" s="119" t="s">
        <v>874</v>
      </c>
      <c r="B295" s="119" t="s">
        <v>192</v>
      </c>
      <c r="C295" s="119" t="s">
        <v>165</v>
      </c>
      <c r="D295" s="119" t="s">
        <v>33</v>
      </c>
      <c r="E295" s="351">
        <f t="shared" ref="E295" si="235">F295</f>
        <v>0</v>
      </c>
      <c r="F295" s="352"/>
      <c r="G295" s="352"/>
      <c r="H295" s="352"/>
      <c r="I295" s="352"/>
      <c r="J295" s="335">
        <f t="shared" si="224"/>
        <v>0</v>
      </c>
      <c r="K295" s="336">
        <f>((10000000)+20000000)-30000000</f>
        <v>0</v>
      </c>
      <c r="L295" s="352"/>
      <c r="M295" s="352"/>
      <c r="N295" s="352"/>
      <c r="O295" s="337">
        <f t="shared" si="225"/>
        <v>0</v>
      </c>
      <c r="P295" s="335">
        <f>E295+J295</f>
        <v>0</v>
      </c>
      <c r="Q295" s="18"/>
      <c r="R295" s="52"/>
    </row>
    <row r="296" spans="1:18" ht="93.75" customHeight="1" thickTop="1" thickBot="1" x14ac:dyDescent="0.25">
      <c r="A296" s="481" t="s">
        <v>759</v>
      </c>
      <c r="B296" s="481" t="s">
        <v>662</v>
      </c>
      <c r="C296" s="481"/>
      <c r="D296" s="481" t="s">
        <v>660</v>
      </c>
      <c r="E296" s="697">
        <f>E297</f>
        <v>0</v>
      </c>
      <c r="F296" s="697">
        <f t="shared" ref="F296:P296" si="236">F297</f>
        <v>0</v>
      </c>
      <c r="G296" s="697">
        <f t="shared" si="236"/>
        <v>0</v>
      </c>
      <c r="H296" s="697">
        <f t="shared" si="236"/>
        <v>0</v>
      </c>
      <c r="I296" s="697">
        <f t="shared" si="236"/>
        <v>0</v>
      </c>
      <c r="J296" s="697">
        <f t="shared" si="236"/>
        <v>583723.63</v>
      </c>
      <c r="K296" s="697">
        <f t="shared" si="236"/>
        <v>0</v>
      </c>
      <c r="L296" s="697">
        <f t="shared" si="236"/>
        <v>583723.63</v>
      </c>
      <c r="M296" s="697">
        <f t="shared" si="236"/>
        <v>0</v>
      </c>
      <c r="N296" s="697">
        <f t="shared" si="236"/>
        <v>0</v>
      </c>
      <c r="O296" s="697">
        <f t="shared" si="236"/>
        <v>0</v>
      </c>
      <c r="P296" s="697">
        <f t="shared" si="236"/>
        <v>583723.63</v>
      </c>
      <c r="Q296" s="18"/>
      <c r="R296" s="48"/>
    </row>
    <row r="297" spans="1:18" ht="321.75" customHeight="1" thickTop="1" thickBot="1" x14ac:dyDescent="0.25">
      <c r="A297" s="469" t="s">
        <v>413</v>
      </c>
      <c r="B297" s="469" t="s">
        <v>329</v>
      </c>
      <c r="C297" s="469" t="s">
        <v>165</v>
      </c>
      <c r="D297" s="698" t="s">
        <v>1456</v>
      </c>
      <c r="E297" s="471">
        <f>F297+I297</f>
        <v>0</v>
      </c>
      <c r="F297" s="478"/>
      <c r="G297" s="478"/>
      <c r="H297" s="478"/>
      <c r="I297" s="478"/>
      <c r="J297" s="485">
        <f t="shared" si="224"/>
        <v>583723.63</v>
      </c>
      <c r="K297" s="478"/>
      <c r="L297" s="478">
        <v>583723.63</v>
      </c>
      <c r="M297" s="478"/>
      <c r="N297" s="478"/>
      <c r="O297" s="488">
        <f>((K297+884000)-450000)-434000</f>
        <v>0</v>
      </c>
      <c r="P297" s="699">
        <f>E297+J297</f>
        <v>583723.63</v>
      </c>
      <c r="Q297" s="18"/>
      <c r="R297" s="48"/>
    </row>
    <row r="298" spans="1:18" ht="104.25" customHeight="1" thickTop="1" thickBot="1" x14ac:dyDescent="0.25">
      <c r="A298" s="483" t="s">
        <v>1108</v>
      </c>
      <c r="B298" s="483" t="s">
        <v>664</v>
      </c>
      <c r="C298" s="483"/>
      <c r="D298" s="483" t="s">
        <v>665</v>
      </c>
      <c r="E298" s="485">
        <f>E301+E299</f>
        <v>7000000</v>
      </c>
      <c r="F298" s="485">
        <f t="shared" ref="F298:I298" si="237">F301+F299</f>
        <v>0</v>
      </c>
      <c r="G298" s="485">
        <f t="shared" si="237"/>
        <v>0</v>
      </c>
      <c r="H298" s="485">
        <f t="shared" si="237"/>
        <v>0</v>
      </c>
      <c r="I298" s="485">
        <f t="shared" si="237"/>
        <v>7000000</v>
      </c>
      <c r="J298" s="485">
        <f>J301+J299</f>
        <v>0</v>
      </c>
      <c r="K298" s="485">
        <f t="shared" ref="K298:N298" si="238">K301+K299</f>
        <v>0</v>
      </c>
      <c r="L298" s="485">
        <f t="shared" si="238"/>
        <v>0</v>
      </c>
      <c r="M298" s="485">
        <f t="shared" si="238"/>
        <v>0</v>
      </c>
      <c r="N298" s="485">
        <f t="shared" si="238"/>
        <v>0</v>
      </c>
      <c r="O298" s="485">
        <f>O301+O299</f>
        <v>0</v>
      </c>
      <c r="P298" s="485">
        <f>P301+P299</f>
        <v>7000000</v>
      </c>
      <c r="Q298" s="18"/>
      <c r="R298" s="48"/>
    </row>
    <row r="299" spans="1:18" ht="101.25" customHeight="1" thickTop="1" thickBot="1" x14ac:dyDescent="0.25">
      <c r="A299" s="496" t="s">
        <v>1280</v>
      </c>
      <c r="B299" s="496" t="s">
        <v>774</v>
      </c>
      <c r="C299" s="496"/>
      <c r="D299" s="497" t="s">
        <v>1140</v>
      </c>
      <c r="E299" s="495">
        <f>SUM(E300:E302)</f>
        <v>7000000</v>
      </c>
      <c r="F299" s="495">
        <f t="shared" ref="F299:P299" si="239">SUM(F300:F302)</f>
        <v>0</v>
      </c>
      <c r="G299" s="495">
        <f t="shared" si="239"/>
        <v>0</v>
      </c>
      <c r="H299" s="495">
        <f t="shared" si="239"/>
        <v>0</v>
      </c>
      <c r="I299" s="495">
        <f t="shared" si="239"/>
        <v>7000000</v>
      </c>
      <c r="J299" s="495">
        <f t="shared" si="239"/>
        <v>0</v>
      </c>
      <c r="K299" s="495">
        <f t="shared" si="239"/>
        <v>0</v>
      </c>
      <c r="L299" s="495">
        <f t="shared" si="239"/>
        <v>0</v>
      </c>
      <c r="M299" s="495">
        <f t="shared" si="239"/>
        <v>0</v>
      </c>
      <c r="N299" s="495">
        <f t="shared" si="239"/>
        <v>0</v>
      </c>
      <c r="O299" s="495">
        <f t="shared" si="239"/>
        <v>0</v>
      </c>
      <c r="P299" s="495">
        <f t="shared" si="239"/>
        <v>7000000</v>
      </c>
      <c r="Q299" s="18"/>
      <c r="R299" s="48"/>
    </row>
    <row r="300" spans="1:18" ht="125.25" customHeight="1" thickTop="1" thickBot="1" x14ac:dyDescent="0.25">
      <c r="A300" s="469" t="s">
        <v>1281</v>
      </c>
      <c r="B300" s="469" t="s">
        <v>499</v>
      </c>
      <c r="C300" s="469" t="s">
        <v>245</v>
      </c>
      <c r="D300" s="469" t="s">
        <v>500</v>
      </c>
      <c r="E300" s="471">
        <f>F300+I300</f>
        <v>7000000</v>
      </c>
      <c r="F300" s="120"/>
      <c r="G300" s="120"/>
      <c r="H300" s="120"/>
      <c r="I300" s="470">
        <f>(5000000)+2000000</f>
        <v>7000000</v>
      </c>
      <c r="J300" s="485">
        <f>L300+O300</f>
        <v>0</v>
      </c>
      <c r="K300" s="125"/>
      <c r="L300" s="120"/>
      <c r="M300" s="120"/>
      <c r="N300" s="120"/>
      <c r="O300" s="488">
        <f>K300</f>
        <v>0</v>
      </c>
      <c r="P300" s="485">
        <f>E300+J300</f>
        <v>7000000</v>
      </c>
      <c r="Q300" s="18"/>
      <c r="R300" s="48"/>
    </row>
    <row r="301" spans="1:18" ht="47.25" hidden="1" thickTop="1" thickBot="1" x14ac:dyDescent="0.25">
      <c r="A301" s="127" t="s">
        <v>1109</v>
      </c>
      <c r="B301" s="127" t="s">
        <v>1066</v>
      </c>
      <c r="C301" s="127"/>
      <c r="D301" s="127" t="s">
        <v>1064</v>
      </c>
      <c r="E301" s="128">
        <f t="shared" ref="E301:P301" si="240">SUM(E302:E302)</f>
        <v>0</v>
      </c>
      <c r="F301" s="128">
        <f t="shared" si="240"/>
        <v>0</v>
      </c>
      <c r="G301" s="128">
        <f t="shared" si="240"/>
        <v>0</v>
      </c>
      <c r="H301" s="128">
        <f t="shared" si="240"/>
        <v>0</v>
      </c>
      <c r="I301" s="128">
        <f t="shared" si="240"/>
        <v>0</v>
      </c>
      <c r="J301" s="128">
        <f t="shared" si="240"/>
        <v>0</v>
      </c>
      <c r="K301" s="128">
        <f t="shared" si="240"/>
        <v>0</v>
      </c>
      <c r="L301" s="128">
        <f t="shared" si="240"/>
        <v>0</v>
      </c>
      <c r="M301" s="128">
        <f t="shared" si="240"/>
        <v>0</v>
      </c>
      <c r="N301" s="128">
        <f t="shared" si="240"/>
        <v>0</v>
      </c>
      <c r="O301" s="128">
        <f t="shared" si="240"/>
        <v>0</v>
      </c>
      <c r="P301" s="128">
        <f t="shared" si="240"/>
        <v>0</v>
      </c>
      <c r="Q301" s="18"/>
      <c r="R301" s="48"/>
    </row>
    <row r="302" spans="1:18" ht="48" hidden="1" thickTop="1" thickBot="1" x14ac:dyDescent="0.25">
      <c r="A302" s="119" t="s">
        <v>1110</v>
      </c>
      <c r="B302" s="119" t="s">
        <v>1093</v>
      </c>
      <c r="C302" s="119" t="s">
        <v>1068</v>
      </c>
      <c r="D302" s="119" t="s">
        <v>1094</v>
      </c>
      <c r="E302" s="118">
        <f>F302</f>
        <v>0</v>
      </c>
      <c r="F302" s="125"/>
      <c r="G302" s="125"/>
      <c r="H302" s="125"/>
      <c r="I302" s="125"/>
      <c r="J302" s="118">
        <f>L302+O302</f>
        <v>0</v>
      </c>
      <c r="K302" s="125"/>
      <c r="L302" s="125"/>
      <c r="M302" s="125"/>
      <c r="N302" s="125"/>
      <c r="O302" s="123">
        <f>K302</f>
        <v>0</v>
      </c>
      <c r="P302" s="118">
        <f>E302+J302</f>
        <v>0</v>
      </c>
      <c r="Q302" s="18"/>
      <c r="R302" s="48"/>
    </row>
    <row r="303" spans="1:18" ht="120" customHeight="1" thickTop="1" thickBot="1" x14ac:dyDescent="0.25">
      <c r="A303" s="514" t="s">
        <v>518</v>
      </c>
      <c r="B303" s="514"/>
      <c r="C303" s="514"/>
      <c r="D303" s="515" t="s">
        <v>535</v>
      </c>
      <c r="E303" s="516">
        <f>E304</f>
        <v>651921808.15999997</v>
      </c>
      <c r="F303" s="517">
        <f t="shared" ref="F303:G303" si="241">F304</f>
        <v>651524678.15999997</v>
      </c>
      <c r="G303" s="517">
        <f t="shared" si="241"/>
        <v>10319222</v>
      </c>
      <c r="H303" s="517">
        <f>H304</f>
        <v>419370</v>
      </c>
      <c r="I303" s="517">
        <f t="shared" ref="I303" si="242">I304</f>
        <v>397130</v>
      </c>
      <c r="J303" s="516">
        <f>J304</f>
        <v>35021117.370000005</v>
      </c>
      <c r="K303" s="517">
        <f>K304</f>
        <v>35021117.370000005</v>
      </c>
      <c r="L303" s="517">
        <f>L304</f>
        <v>0</v>
      </c>
      <c r="M303" s="517">
        <f t="shared" ref="M303" si="243">M304</f>
        <v>0</v>
      </c>
      <c r="N303" s="517">
        <f>N304</f>
        <v>0</v>
      </c>
      <c r="O303" s="516">
        <f>O304</f>
        <v>35021117.370000005</v>
      </c>
      <c r="P303" s="517">
        <f>P304</f>
        <v>686942925.52999997</v>
      </c>
      <c r="Q303" s="18"/>
      <c r="R303" s="48"/>
    </row>
    <row r="304" spans="1:18" ht="120" customHeight="1" thickTop="1" thickBot="1" x14ac:dyDescent="0.25">
      <c r="A304" s="511" t="s">
        <v>519</v>
      </c>
      <c r="B304" s="511"/>
      <c r="C304" s="511"/>
      <c r="D304" s="512" t="s">
        <v>536</v>
      </c>
      <c r="E304" s="513">
        <f>E305+E309+E318+E330+E335</f>
        <v>651921808.15999997</v>
      </c>
      <c r="F304" s="513">
        <f>F305+F309+F318+F330+F335</f>
        <v>651524678.15999997</v>
      </c>
      <c r="G304" s="513">
        <f>G305+G309+G318+G330+G335</f>
        <v>10319222</v>
      </c>
      <c r="H304" s="513">
        <f>H305+H309+H318+H330+H335</f>
        <v>419370</v>
      </c>
      <c r="I304" s="513">
        <f>I305+I309+I318+I330+I335</f>
        <v>397130</v>
      </c>
      <c r="J304" s="513">
        <f t="shared" ref="J304:J327" si="244">L304+O304</f>
        <v>35021117.370000005</v>
      </c>
      <c r="K304" s="513">
        <f>K305+K309+K318+K330+K335</f>
        <v>35021117.370000005</v>
      </c>
      <c r="L304" s="513">
        <f>L305+L309+L318+L330+L335</f>
        <v>0</v>
      </c>
      <c r="M304" s="513">
        <f>M305+M309+M318+M330+M335</f>
        <v>0</v>
      </c>
      <c r="N304" s="513">
        <f>N305+N309+N318+N330+N335</f>
        <v>0</v>
      </c>
      <c r="O304" s="513">
        <f>O305+O309+O318+O330+O335</f>
        <v>35021117.370000005</v>
      </c>
      <c r="P304" s="513">
        <f>E304+J304</f>
        <v>686942925.52999997</v>
      </c>
      <c r="Q304" s="546" t="b">
        <f>P304=P306+P308+P311+P312+P314+P315+P316+P317+P322+P325+P332+P333+P337</f>
        <v>1</v>
      </c>
      <c r="R304" s="43"/>
    </row>
    <row r="305" spans="1:18" ht="113.25" customHeight="1" thickTop="1" thickBot="1" x14ac:dyDescent="0.25">
      <c r="A305" s="239" t="s">
        <v>761</v>
      </c>
      <c r="B305" s="239" t="s">
        <v>652</v>
      </c>
      <c r="C305" s="239"/>
      <c r="D305" s="239" t="s">
        <v>653</v>
      </c>
      <c r="E305" s="501">
        <f>SUM(E306:E308)</f>
        <v>10827772</v>
      </c>
      <c r="F305" s="501">
        <f t="shared" ref="F305:P305" si="245">SUM(F306:F308)</f>
        <v>10827772</v>
      </c>
      <c r="G305" s="501">
        <f t="shared" si="245"/>
        <v>8289570</v>
      </c>
      <c r="H305" s="501">
        <f t="shared" si="245"/>
        <v>357705</v>
      </c>
      <c r="I305" s="501">
        <f t="shared" si="245"/>
        <v>0</v>
      </c>
      <c r="J305" s="501">
        <f t="shared" si="245"/>
        <v>0</v>
      </c>
      <c r="K305" s="501">
        <f t="shared" si="245"/>
        <v>0</v>
      </c>
      <c r="L305" s="501">
        <f t="shared" si="245"/>
        <v>0</v>
      </c>
      <c r="M305" s="501">
        <f t="shared" si="245"/>
        <v>0</v>
      </c>
      <c r="N305" s="501">
        <f t="shared" si="245"/>
        <v>0</v>
      </c>
      <c r="O305" s="501">
        <f t="shared" si="245"/>
        <v>0</v>
      </c>
      <c r="P305" s="501">
        <f t="shared" si="245"/>
        <v>10827772</v>
      </c>
      <c r="Q305" s="45"/>
      <c r="R305" s="43"/>
    </row>
    <row r="306" spans="1:18" ht="168" customHeight="1" thickTop="1" thickBot="1" x14ac:dyDescent="0.25">
      <c r="A306" s="94" t="s">
        <v>520</v>
      </c>
      <c r="B306" s="94" t="s">
        <v>231</v>
      </c>
      <c r="C306" s="94" t="s">
        <v>229</v>
      </c>
      <c r="D306" s="94" t="s">
        <v>1515</v>
      </c>
      <c r="E306" s="521">
        <f>F306+I306</f>
        <v>10797154</v>
      </c>
      <c r="F306" s="520">
        <f>(10767154)+30000</f>
        <v>10797154</v>
      </c>
      <c r="G306" s="520">
        <v>8289570</v>
      </c>
      <c r="H306" s="520">
        <f>((304058)+23647)+30000</f>
        <v>357705</v>
      </c>
      <c r="I306" s="520"/>
      <c r="J306" s="501">
        <f t="shared" si="244"/>
        <v>0</v>
      </c>
      <c r="K306" s="520"/>
      <c r="L306" s="522"/>
      <c r="M306" s="522"/>
      <c r="N306" s="522"/>
      <c r="O306" s="502">
        <f t="shared" ref="O306:O325" si="246">K306</f>
        <v>0</v>
      </c>
      <c r="P306" s="501">
        <f t="shared" ref="P306:P313" si="247">+J306+E306</f>
        <v>10797154</v>
      </c>
      <c r="Q306" s="18"/>
      <c r="R306" s="43"/>
    </row>
    <row r="307" spans="1:18" ht="93" hidden="1" thickTop="1" thickBot="1" x14ac:dyDescent="0.25">
      <c r="A307" s="119" t="s">
        <v>602</v>
      </c>
      <c r="B307" s="119" t="s">
        <v>352</v>
      </c>
      <c r="C307" s="119" t="s">
        <v>598</v>
      </c>
      <c r="D307" s="119" t="s">
        <v>599</v>
      </c>
      <c r="E307" s="142">
        <f>F307</f>
        <v>0</v>
      </c>
      <c r="F307" s="120"/>
      <c r="G307" s="120"/>
      <c r="H307" s="120"/>
      <c r="I307" s="120"/>
      <c r="J307" s="118">
        <f t="shared" si="244"/>
        <v>0</v>
      </c>
      <c r="K307" s="120"/>
      <c r="L307" s="121"/>
      <c r="M307" s="121"/>
      <c r="N307" s="121"/>
      <c r="O307" s="123">
        <f t="shared" si="246"/>
        <v>0</v>
      </c>
      <c r="P307" s="118">
        <f t="shared" si="247"/>
        <v>0</v>
      </c>
      <c r="Q307" s="18"/>
      <c r="R307" s="43"/>
    </row>
    <row r="308" spans="1:18" ht="108" customHeight="1" thickTop="1" thickBot="1" x14ac:dyDescent="0.25">
      <c r="A308" s="94" t="s">
        <v>521</v>
      </c>
      <c r="B308" s="94" t="s">
        <v>42</v>
      </c>
      <c r="C308" s="94" t="s">
        <v>41</v>
      </c>
      <c r="D308" s="94" t="s">
        <v>242</v>
      </c>
      <c r="E308" s="471">
        <f>F308+I308</f>
        <v>30618</v>
      </c>
      <c r="F308" s="520">
        <v>30618</v>
      </c>
      <c r="G308" s="120"/>
      <c r="H308" s="120"/>
      <c r="I308" s="120"/>
      <c r="J308" s="501">
        <f t="shared" si="244"/>
        <v>0</v>
      </c>
      <c r="K308" s="520"/>
      <c r="L308" s="522"/>
      <c r="M308" s="522"/>
      <c r="N308" s="522"/>
      <c r="O308" s="502">
        <f t="shared" si="246"/>
        <v>0</v>
      </c>
      <c r="P308" s="501">
        <f t="shared" si="247"/>
        <v>30618</v>
      </c>
      <c r="Q308" s="18"/>
      <c r="R308" s="48"/>
    </row>
    <row r="309" spans="1:18" ht="113.25" customHeight="1" thickTop="1" thickBot="1" x14ac:dyDescent="0.25">
      <c r="A309" s="239" t="s">
        <v>762</v>
      </c>
      <c r="B309" s="239" t="s">
        <v>707</v>
      </c>
      <c r="C309" s="239"/>
      <c r="D309" s="542" t="s">
        <v>708</v>
      </c>
      <c r="E309" s="521">
        <f t="shared" ref="E309:P309" si="248">SUM(E310:E317)-E310</f>
        <v>634545560.15999997</v>
      </c>
      <c r="F309" s="521">
        <f t="shared" si="248"/>
        <v>634545560.15999997</v>
      </c>
      <c r="G309" s="521">
        <f t="shared" si="248"/>
        <v>0</v>
      </c>
      <c r="H309" s="521">
        <f t="shared" si="248"/>
        <v>1000</v>
      </c>
      <c r="I309" s="521">
        <f t="shared" si="248"/>
        <v>0</v>
      </c>
      <c r="J309" s="521">
        <f t="shared" si="248"/>
        <v>19059339.370000001</v>
      </c>
      <c r="K309" s="521">
        <f t="shared" si="248"/>
        <v>19059339.370000001</v>
      </c>
      <c r="L309" s="521">
        <f t="shared" si="248"/>
        <v>0</v>
      </c>
      <c r="M309" s="521">
        <f t="shared" si="248"/>
        <v>0</v>
      </c>
      <c r="N309" s="521">
        <f t="shared" si="248"/>
        <v>0</v>
      </c>
      <c r="O309" s="521">
        <f t="shared" si="248"/>
        <v>19059339.370000001</v>
      </c>
      <c r="P309" s="521">
        <f t="shared" si="248"/>
        <v>653604899.52999997</v>
      </c>
      <c r="Q309" s="18"/>
      <c r="R309" s="48"/>
    </row>
    <row r="310" spans="1:18" ht="171" customHeight="1" thickTop="1" thickBot="1" x14ac:dyDescent="0.25">
      <c r="A310" s="518" t="s">
        <v>763</v>
      </c>
      <c r="B310" s="518" t="s">
        <v>755</v>
      </c>
      <c r="C310" s="518"/>
      <c r="D310" s="518" t="s">
        <v>1504</v>
      </c>
      <c r="E310" s="543">
        <f>SUM(E311:E313)</f>
        <v>160600240</v>
      </c>
      <c r="F310" s="543">
        <f t="shared" ref="F310:P310" si="249">SUM(F311:F313)</f>
        <v>160600240</v>
      </c>
      <c r="G310" s="543">
        <f t="shared" si="249"/>
        <v>0</v>
      </c>
      <c r="H310" s="543">
        <f t="shared" si="249"/>
        <v>0</v>
      </c>
      <c r="I310" s="543">
        <f t="shared" si="249"/>
        <v>0</v>
      </c>
      <c r="J310" s="543">
        <f t="shared" si="249"/>
        <v>0</v>
      </c>
      <c r="K310" s="543">
        <f t="shared" si="249"/>
        <v>0</v>
      </c>
      <c r="L310" s="543">
        <f t="shared" si="249"/>
        <v>0</v>
      </c>
      <c r="M310" s="543">
        <f t="shared" si="249"/>
        <v>0</v>
      </c>
      <c r="N310" s="543">
        <f t="shared" si="249"/>
        <v>0</v>
      </c>
      <c r="O310" s="543">
        <f t="shared" si="249"/>
        <v>0</v>
      </c>
      <c r="P310" s="543">
        <f t="shared" si="249"/>
        <v>160600240</v>
      </c>
      <c r="Q310" s="18"/>
      <c r="R310" s="48"/>
    </row>
    <row r="311" spans="1:18" ht="162" customHeight="1" thickTop="1" thickBot="1" x14ac:dyDescent="0.25">
      <c r="A311" s="94" t="s">
        <v>522</v>
      </c>
      <c r="B311" s="94" t="s">
        <v>366</v>
      </c>
      <c r="C311" s="94" t="s">
        <v>277</v>
      </c>
      <c r="D311" s="94" t="s">
        <v>367</v>
      </c>
      <c r="E311" s="471">
        <f>F311+I311</f>
        <v>90000000</v>
      </c>
      <c r="F311" s="520">
        <f>(50000000)+40000000</f>
        <v>90000000</v>
      </c>
      <c r="G311" s="120"/>
      <c r="H311" s="120"/>
      <c r="I311" s="120"/>
      <c r="J311" s="501">
        <f t="shared" si="244"/>
        <v>0</v>
      </c>
      <c r="K311" s="520"/>
      <c r="L311" s="522"/>
      <c r="M311" s="522"/>
      <c r="N311" s="522"/>
      <c r="O311" s="502">
        <f t="shared" si="246"/>
        <v>0</v>
      </c>
      <c r="P311" s="501">
        <f t="shared" si="247"/>
        <v>90000000</v>
      </c>
      <c r="Q311" s="18"/>
      <c r="R311" s="48"/>
    </row>
    <row r="312" spans="1:18" ht="123" customHeight="1" thickTop="1" thickBot="1" x14ac:dyDescent="0.25">
      <c r="A312" s="94" t="s">
        <v>523</v>
      </c>
      <c r="B312" s="94" t="s">
        <v>280</v>
      </c>
      <c r="C312" s="94" t="s">
        <v>277</v>
      </c>
      <c r="D312" s="94" t="s">
        <v>281</v>
      </c>
      <c r="E312" s="471">
        <f>F312+I312</f>
        <v>70600240</v>
      </c>
      <c r="F312" s="520">
        <f>(30600240)+40000000</f>
        <v>70600240</v>
      </c>
      <c r="G312" s="120"/>
      <c r="H312" s="120"/>
      <c r="I312" s="120"/>
      <c r="J312" s="501">
        <f t="shared" si="244"/>
        <v>0</v>
      </c>
      <c r="K312" s="520"/>
      <c r="L312" s="522"/>
      <c r="M312" s="522"/>
      <c r="N312" s="522"/>
      <c r="O312" s="502">
        <f t="shared" si="246"/>
        <v>0</v>
      </c>
      <c r="P312" s="501">
        <f t="shared" si="247"/>
        <v>70600240</v>
      </c>
      <c r="Q312" s="18"/>
      <c r="R312" s="48"/>
    </row>
    <row r="313" spans="1:18" ht="93" hidden="1" thickTop="1" thickBot="1" x14ac:dyDescent="0.25">
      <c r="A313" s="119" t="s">
        <v>1220</v>
      </c>
      <c r="B313" s="119" t="s">
        <v>1221</v>
      </c>
      <c r="C313" s="119" t="s">
        <v>277</v>
      </c>
      <c r="D313" s="119" t="s">
        <v>1222</v>
      </c>
      <c r="E313" s="142">
        <f t="shared" ref="E313" si="250">F313</f>
        <v>0</v>
      </c>
      <c r="F313" s="120">
        <v>0</v>
      </c>
      <c r="G313" s="120"/>
      <c r="H313" s="120"/>
      <c r="I313" s="120"/>
      <c r="J313" s="118">
        <f t="shared" si="244"/>
        <v>0</v>
      </c>
      <c r="K313" s="120"/>
      <c r="L313" s="121"/>
      <c r="M313" s="121"/>
      <c r="N313" s="121"/>
      <c r="O313" s="123">
        <f t="shared" si="246"/>
        <v>0</v>
      </c>
      <c r="P313" s="118">
        <f t="shared" si="247"/>
        <v>0</v>
      </c>
      <c r="Q313" s="18"/>
      <c r="R313" s="48"/>
    </row>
    <row r="314" spans="1:18" ht="171" customHeight="1" thickTop="1" thickBot="1" x14ac:dyDescent="0.25">
      <c r="A314" s="94" t="s">
        <v>524</v>
      </c>
      <c r="B314" s="94" t="s">
        <v>291</v>
      </c>
      <c r="C314" s="94" t="s">
        <v>277</v>
      </c>
      <c r="D314" s="94" t="s">
        <v>292</v>
      </c>
      <c r="E314" s="471">
        <f>F314+I314</f>
        <v>68765426.620000005</v>
      </c>
      <c r="F314" s="520">
        <v>68765426.620000005</v>
      </c>
      <c r="G314" s="120"/>
      <c r="H314" s="120"/>
      <c r="I314" s="120"/>
      <c r="J314" s="501">
        <f t="shared" si="244"/>
        <v>0</v>
      </c>
      <c r="K314" s="504"/>
      <c r="L314" s="520"/>
      <c r="M314" s="520"/>
      <c r="N314" s="520"/>
      <c r="O314" s="502">
        <f t="shared" si="246"/>
        <v>0</v>
      </c>
      <c r="P314" s="501">
        <f t="shared" ref="P314:P317" si="251">E314+J314</f>
        <v>68765426.620000005</v>
      </c>
      <c r="Q314" s="18"/>
      <c r="R314" s="48"/>
    </row>
    <row r="315" spans="1:18" ht="104.25" customHeight="1" thickTop="1" thickBot="1" x14ac:dyDescent="0.25">
      <c r="A315" s="94" t="s">
        <v>525</v>
      </c>
      <c r="B315" s="94" t="s">
        <v>283</v>
      </c>
      <c r="C315" s="94" t="s">
        <v>277</v>
      </c>
      <c r="D315" s="94" t="s">
        <v>1522</v>
      </c>
      <c r="E315" s="471">
        <f>F315+I315</f>
        <v>401770832.36000001</v>
      </c>
      <c r="F315" s="520">
        <f>(350671588.98)+51099243.38</f>
        <v>401770832.36000001</v>
      </c>
      <c r="G315" s="120"/>
      <c r="H315" s="520">
        <v>1000</v>
      </c>
      <c r="I315" s="120"/>
      <c r="J315" s="501">
        <f t="shared" si="244"/>
        <v>0</v>
      </c>
      <c r="K315" s="504"/>
      <c r="L315" s="520"/>
      <c r="M315" s="520"/>
      <c r="N315" s="520"/>
      <c r="O315" s="502">
        <f t="shared" si="246"/>
        <v>0</v>
      </c>
      <c r="P315" s="501">
        <f t="shared" si="251"/>
        <v>401770832.36000001</v>
      </c>
      <c r="Q315" s="18"/>
      <c r="R315" s="43"/>
    </row>
    <row r="316" spans="1:18" ht="98.25" customHeight="1" thickTop="1" thickBot="1" x14ac:dyDescent="0.25">
      <c r="A316" s="94" t="s">
        <v>1037</v>
      </c>
      <c r="B316" s="94" t="s">
        <v>1038</v>
      </c>
      <c r="C316" s="94" t="s">
        <v>1039</v>
      </c>
      <c r="D316" s="94" t="s">
        <v>1036</v>
      </c>
      <c r="E316" s="471">
        <f>F316+I316</f>
        <v>3409061.18</v>
      </c>
      <c r="F316" s="471">
        <v>3409061.18</v>
      </c>
      <c r="G316" s="120"/>
      <c r="H316" s="120"/>
      <c r="I316" s="120"/>
      <c r="J316" s="501">
        <f t="shared" si="244"/>
        <v>0</v>
      </c>
      <c r="K316" s="504"/>
      <c r="L316" s="520"/>
      <c r="M316" s="520"/>
      <c r="N316" s="520"/>
      <c r="O316" s="502">
        <f t="shared" si="246"/>
        <v>0</v>
      </c>
      <c r="P316" s="501">
        <f t="shared" si="251"/>
        <v>3409061.18</v>
      </c>
      <c r="Q316" s="18"/>
      <c r="R316" s="43"/>
    </row>
    <row r="317" spans="1:18" ht="186" customHeight="1" thickTop="1" thickBot="1" x14ac:dyDescent="0.25">
      <c r="A317" s="94" t="s">
        <v>1355</v>
      </c>
      <c r="B317" s="94" t="s">
        <v>1354</v>
      </c>
      <c r="C317" s="94" t="s">
        <v>1039</v>
      </c>
      <c r="D317" s="94" t="s">
        <v>1742</v>
      </c>
      <c r="E317" s="142"/>
      <c r="F317" s="120"/>
      <c r="G317" s="120"/>
      <c r="H317" s="120"/>
      <c r="I317" s="120"/>
      <c r="J317" s="501">
        <f t="shared" si="244"/>
        <v>19059339.370000001</v>
      </c>
      <c r="K317" s="504">
        <f>(1000000+427391.2)+16631948.17+1000000</f>
        <v>19059339.370000001</v>
      </c>
      <c r="L317" s="120"/>
      <c r="M317" s="120"/>
      <c r="N317" s="120"/>
      <c r="O317" s="502">
        <f t="shared" si="246"/>
        <v>19059339.370000001</v>
      </c>
      <c r="P317" s="501">
        <f t="shared" si="251"/>
        <v>19059339.370000001</v>
      </c>
      <c r="Q317" s="18"/>
      <c r="R317" s="43"/>
    </row>
    <row r="318" spans="1:18" ht="103.5" customHeight="1" thickTop="1" thickBot="1" x14ac:dyDescent="0.25">
      <c r="A318" s="483" t="s">
        <v>764</v>
      </c>
      <c r="B318" s="483" t="s">
        <v>713</v>
      </c>
      <c r="C318" s="483"/>
      <c r="D318" s="483" t="s">
        <v>757</v>
      </c>
      <c r="E318" s="471">
        <f>E319+E323</f>
        <v>0</v>
      </c>
      <c r="F318" s="471">
        <f t="shared" ref="F318:P318" si="252">F319+F323</f>
        <v>0</v>
      </c>
      <c r="G318" s="471">
        <f t="shared" si="252"/>
        <v>0</v>
      </c>
      <c r="H318" s="471">
        <f t="shared" si="252"/>
        <v>0</v>
      </c>
      <c r="I318" s="471">
        <f t="shared" si="252"/>
        <v>0</v>
      </c>
      <c r="J318" s="471">
        <f t="shared" si="252"/>
        <v>15961778</v>
      </c>
      <c r="K318" s="471">
        <f t="shared" si="252"/>
        <v>15961778</v>
      </c>
      <c r="L318" s="471">
        <f t="shared" si="252"/>
        <v>0</v>
      </c>
      <c r="M318" s="471">
        <f t="shared" si="252"/>
        <v>0</v>
      </c>
      <c r="N318" s="471">
        <f t="shared" si="252"/>
        <v>0</v>
      </c>
      <c r="O318" s="471">
        <f t="shared" si="252"/>
        <v>15961778</v>
      </c>
      <c r="P318" s="471">
        <f t="shared" si="252"/>
        <v>15961778</v>
      </c>
      <c r="Q318" s="18"/>
      <c r="R318" s="48"/>
    </row>
    <row r="319" spans="1:18" ht="106.5" customHeight="1" thickTop="1" thickBot="1" x14ac:dyDescent="0.25">
      <c r="A319" s="496" t="s">
        <v>767</v>
      </c>
      <c r="B319" s="496" t="s">
        <v>768</v>
      </c>
      <c r="C319" s="496"/>
      <c r="D319" s="496" t="s">
        <v>769</v>
      </c>
      <c r="E319" s="530">
        <f>E320+E322</f>
        <v>0</v>
      </c>
      <c r="F319" s="530">
        <f t="shared" ref="F319:P319" si="253">F320+F322</f>
        <v>0</v>
      </c>
      <c r="G319" s="530">
        <f t="shared" si="253"/>
        <v>0</v>
      </c>
      <c r="H319" s="530">
        <f t="shared" si="253"/>
        <v>0</v>
      </c>
      <c r="I319" s="530">
        <f t="shared" si="253"/>
        <v>0</v>
      </c>
      <c r="J319" s="530">
        <f t="shared" si="253"/>
        <v>10000000</v>
      </c>
      <c r="K319" s="530">
        <f t="shared" si="253"/>
        <v>10000000</v>
      </c>
      <c r="L319" s="530">
        <f t="shared" si="253"/>
        <v>0</v>
      </c>
      <c r="M319" s="530">
        <f t="shared" si="253"/>
        <v>0</v>
      </c>
      <c r="N319" s="530">
        <f t="shared" si="253"/>
        <v>0</v>
      </c>
      <c r="O319" s="530">
        <f t="shared" si="253"/>
        <v>10000000</v>
      </c>
      <c r="P319" s="530">
        <f t="shared" si="253"/>
        <v>10000000</v>
      </c>
      <c r="Q319" s="18"/>
      <c r="R319" s="48"/>
    </row>
    <row r="320" spans="1:18" ht="93" hidden="1" thickTop="1" thickBot="1" x14ac:dyDescent="0.25">
      <c r="A320" s="119" t="s">
        <v>897</v>
      </c>
      <c r="B320" s="131" t="s">
        <v>898</v>
      </c>
      <c r="C320" s="127"/>
      <c r="D320" s="131" t="s">
        <v>899</v>
      </c>
      <c r="E320" s="147">
        <f t="shared" ref="E320:P320" si="254">E321</f>
        <v>0</v>
      </c>
      <c r="F320" s="147">
        <f t="shared" si="254"/>
        <v>0</v>
      </c>
      <c r="G320" s="147">
        <f t="shared" si="254"/>
        <v>0</v>
      </c>
      <c r="H320" s="147">
        <f t="shared" si="254"/>
        <v>0</v>
      </c>
      <c r="I320" s="147">
        <f t="shared" si="254"/>
        <v>0</v>
      </c>
      <c r="J320" s="147">
        <f t="shared" si="254"/>
        <v>0</v>
      </c>
      <c r="K320" s="147">
        <f t="shared" si="254"/>
        <v>0</v>
      </c>
      <c r="L320" s="147">
        <f t="shared" si="254"/>
        <v>0</v>
      </c>
      <c r="M320" s="147">
        <f t="shared" si="254"/>
        <v>0</v>
      </c>
      <c r="N320" s="147">
        <f t="shared" si="254"/>
        <v>0</v>
      </c>
      <c r="O320" s="147">
        <f t="shared" si="254"/>
        <v>0</v>
      </c>
      <c r="P320" s="147">
        <f t="shared" si="254"/>
        <v>0</v>
      </c>
      <c r="Q320" s="18"/>
      <c r="R320" s="48"/>
    </row>
    <row r="321" spans="1:18" ht="93" hidden="1" thickTop="1" thickBot="1" x14ac:dyDescent="0.25">
      <c r="A321" s="119" t="s">
        <v>526</v>
      </c>
      <c r="B321" s="119" t="s">
        <v>287</v>
      </c>
      <c r="C321" s="119" t="s">
        <v>289</v>
      </c>
      <c r="D321" s="119" t="s">
        <v>288</v>
      </c>
      <c r="E321" s="142"/>
      <c r="F321" s="120">
        <f>(18000000-3000000-3000000)-12000000</f>
        <v>0</v>
      </c>
      <c r="G321" s="120"/>
      <c r="H321" s="120"/>
      <c r="I321" s="120"/>
      <c r="J321" s="118">
        <f t="shared" si="244"/>
        <v>0</v>
      </c>
      <c r="K321" s="120"/>
      <c r="L321" s="121"/>
      <c r="M321" s="121"/>
      <c r="N321" s="121"/>
      <c r="O321" s="123">
        <f>K321</f>
        <v>0</v>
      </c>
      <c r="P321" s="118">
        <f>+J321+E321</f>
        <v>0</v>
      </c>
      <c r="Q321" s="18"/>
      <c r="R321" s="43"/>
    </row>
    <row r="322" spans="1:18" ht="179.25" customHeight="1" thickTop="1" thickBot="1" x14ac:dyDescent="0.25">
      <c r="A322" s="469" t="s">
        <v>1533</v>
      </c>
      <c r="B322" s="469" t="s">
        <v>1534</v>
      </c>
      <c r="C322" s="469" t="s">
        <v>289</v>
      </c>
      <c r="D322" s="469" t="s">
        <v>1532</v>
      </c>
      <c r="E322" s="142"/>
      <c r="F322" s="120"/>
      <c r="G322" s="120"/>
      <c r="H322" s="120"/>
      <c r="I322" s="120"/>
      <c r="J322" s="485">
        <f t="shared" si="244"/>
        <v>10000000</v>
      </c>
      <c r="K322" s="470">
        <f>10427391.2-427391.2</f>
        <v>10000000</v>
      </c>
      <c r="L322" s="121"/>
      <c r="M322" s="121"/>
      <c r="N322" s="121"/>
      <c r="O322" s="488">
        <f>K322</f>
        <v>10000000</v>
      </c>
      <c r="P322" s="485">
        <f>+J322+E322</f>
        <v>10000000</v>
      </c>
      <c r="Q322" s="18"/>
      <c r="R322" s="43"/>
    </row>
    <row r="323" spans="1:18" ht="84.75" customHeight="1" thickTop="1" thickBot="1" x14ac:dyDescent="0.25">
      <c r="A323" s="496" t="s">
        <v>770</v>
      </c>
      <c r="B323" s="496" t="s">
        <v>659</v>
      </c>
      <c r="C323" s="496"/>
      <c r="D323" s="496" t="s">
        <v>657</v>
      </c>
      <c r="E323" s="530">
        <f>SUM(E324:E329)-E326</f>
        <v>0</v>
      </c>
      <c r="F323" s="530">
        <f t="shared" ref="F323:P323" si="255">SUM(F324:F329)-F326</f>
        <v>0</v>
      </c>
      <c r="G323" s="530">
        <f t="shared" si="255"/>
        <v>0</v>
      </c>
      <c r="H323" s="530">
        <f t="shared" si="255"/>
        <v>0</v>
      </c>
      <c r="I323" s="530">
        <f t="shared" si="255"/>
        <v>0</v>
      </c>
      <c r="J323" s="530">
        <f t="shared" si="255"/>
        <v>5961778</v>
      </c>
      <c r="K323" s="530">
        <f t="shared" si="255"/>
        <v>5961778</v>
      </c>
      <c r="L323" s="530">
        <f t="shared" si="255"/>
        <v>0</v>
      </c>
      <c r="M323" s="530">
        <f t="shared" si="255"/>
        <v>0</v>
      </c>
      <c r="N323" s="530">
        <f t="shared" si="255"/>
        <v>0</v>
      </c>
      <c r="O323" s="530">
        <f t="shared" si="255"/>
        <v>5961778</v>
      </c>
      <c r="P323" s="530">
        <f t="shared" si="255"/>
        <v>5961778</v>
      </c>
      <c r="Q323" s="18"/>
      <c r="R323" s="43"/>
    </row>
    <row r="324" spans="1:18" ht="48" hidden="1" thickTop="1" thickBot="1" x14ac:dyDescent="0.25">
      <c r="A324" s="119" t="s">
        <v>527</v>
      </c>
      <c r="B324" s="119" t="s">
        <v>207</v>
      </c>
      <c r="C324" s="119" t="s">
        <v>208</v>
      </c>
      <c r="D324" s="119" t="s">
        <v>40</v>
      </c>
      <c r="E324" s="142">
        <f t="shared" ref="E324" si="256">F324</f>
        <v>0</v>
      </c>
      <c r="F324" s="120"/>
      <c r="G324" s="120"/>
      <c r="H324" s="120"/>
      <c r="I324" s="120"/>
      <c r="J324" s="118">
        <f t="shared" si="244"/>
        <v>0</v>
      </c>
      <c r="K324" s="125"/>
      <c r="L324" s="120"/>
      <c r="M324" s="120"/>
      <c r="N324" s="120"/>
      <c r="O324" s="123">
        <f t="shared" si="246"/>
        <v>0</v>
      </c>
      <c r="P324" s="118">
        <f>E324+J324</f>
        <v>0</v>
      </c>
      <c r="Q324" s="18"/>
      <c r="R324" s="43"/>
    </row>
    <row r="325" spans="1:18" ht="107.25" customHeight="1" thickTop="1" thickBot="1" x14ac:dyDescent="0.25">
      <c r="A325" s="469" t="s">
        <v>528</v>
      </c>
      <c r="B325" s="469" t="s">
        <v>192</v>
      </c>
      <c r="C325" s="469" t="s">
        <v>165</v>
      </c>
      <c r="D325" s="469" t="s">
        <v>1059</v>
      </c>
      <c r="E325" s="142"/>
      <c r="F325" s="120"/>
      <c r="G325" s="120"/>
      <c r="H325" s="120"/>
      <c r="I325" s="120"/>
      <c r="J325" s="485">
        <f t="shared" si="244"/>
        <v>5961778</v>
      </c>
      <c r="K325" s="487">
        <f>(4032228)+1929550</f>
        <v>5961778</v>
      </c>
      <c r="L325" s="470"/>
      <c r="M325" s="470"/>
      <c r="N325" s="470"/>
      <c r="O325" s="488">
        <f t="shared" si="246"/>
        <v>5961778</v>
      </c>
      <c r="P325" s="485">
        <f>E325+J325</f>
        <v>5961778</v>
      </c>
      <c r="Q325" s="18"/>
      <c r="R325" s="43"/>
    </row>
    <row r="326" spans="1:18" ht="48" hidden="1" thickTop="1" thickBot="1" x14ac:dyDescent="0.25">
      <c r="A326" s="131" t="s">
        <v>771</v>
      </c>
      <c r="B326" s="131" t="s">
        <v>662</v>
      </c>
      <c r="C326" s="131"/>
      <c r="D326" s="131" t="s">
        <v>760</v>
      </c>
      <c r="E326" s="147">
        <f t="shared" ref="E326:P326" si="257">E327+E329</f>
        <v>0</v>
      </c>
      <c r="F326" s="147">
        <f t="shared" si="257"/>
        <v>0</v>
      </c>
      <c r="G326" s="147">
        <f t="shared" si="257"/>
        <v>0</v>
      </c>
      <c r="H326" s="147">
        <f t="shared" si="257"/>
        <v>0</v>
      </c>
      <c r="I326" s="147">
        <f t="shared" si="257"/>
        <v>0</v>
      </c>
      <c r="J326" s="147">
        <f t="shared" si="257"/>
        <v>0</v>
      </c>
      <c r="K326" s="147">
        <f t="shared" si="257"/>
        <v>0</v>
      </c>
      <c r="L326" s="147">
        <f t="shared" si="257"/>
        <v>0</v>
      </c>
      <c r="M326" s="147">
        <f t="shared" si="257"/>
        <v>0</v>
      </c>
      <c r="N326" s="147">
        <f t="shared" si="257"/>
        <v>0</v>
      </c>
      <c r="O326" s="147">
        <f t="shared" si="257"/>
        <v>0</v>
      </c>
      <c r="P326" s="147">
        <f t="shared" si="257"/>
        <v>0</v>
      </c>
      <c r="Q326" s="18"/>
      <c r="R326" s="48"/>
    </row>
    <row r="327" spans="1:18" ht="184.5" hidden="1" thickTop="1" thickBot="1" x14ac:dyDescent="0.7">
      <c r="A327" s="805" t="s">
        <v>529</v>
      </c>
      <c r="B327" s="805" t="s">
        <v>329</v>
      </c>
      <c r="C327" s="805" t="s">
        <v>165</v>
      </c>
      <c r="D327" s="276" t="s">
        <v>429</v>
      </c>
      <c r="E327" s="778"/>
      <c r="F327" s="772"/>
      <c r="G327" s="772"/>
      <c r="H327" s="772"/>
      <c r="I327" s="772"/>
      <c r="J327" s="778">
        <f t="shared" si="244"/>
        <v>0</v>
      </c>
      <c r="K327" s="772"/>
      <c r="L327" s="772"/>
      <c r="M327" s="772"/>
      <c r="N327" s="772"/>
      <c r="O327" s="775"/>
      <c r="P327" s="806">
        <f>E327+J327</f>
        <v>0</v>
      </c>
      <c r="Q327" s="18"/>
      <c r="R327" s="48"/>
    </row>
    <row r="328" spans="1:18" ht="93" hidden="1" thickTop="1" thickBot="1" x14ac:dyDescent="0.25">
      <c r="A328" s="805"/>
      <c r="B328" s="805"/>
      <c r="C328" s="805"/>
      <c r="D328" s="145" t="s">
        <v>430</v>
      </c>
      <c r="E328" s="778"/>
      <c r="F328" s="772"/>
      <c r="G328" s="772"/>
      <c r="H328" s="772"/>
      <c r="I328" s="772"/>
      <c r="J328" s="778"/>
      <c r="K328" s="772"/>
      <c r="L328" s="772"/>
      <c r="M328" s="772"/>
      <c r="N328" s="772"/>
      <c r="O328" s="775"/>
      <c r="P328" s="806"/>
      <c r="Q328" s="18"/>
      <c r="R328" s="48"/>
    </row>
    <row r="329" spans="1:18" ht="48" hidden="1" thickTop="1" thickBot="1" x14ac:dyDescent="0.25">
      <c r="A329" s="119" t="s">
        <v>1063</v>
      </c>
      <c r="B329" s="119" t="s">
        <v>251</v>
      </c>
      <c r="C329" s="119" t="s">
        <v>165</v>
      </c>
      <c r="D329" s="119" t="s">
        <v>249</v>
      </c>
      <c r="E329" s="142">
        <f t="shared" ref="E329" si="258">F329</f>
        <v>0</v>
      </c>
      <c r="F329" s="120"/>
      <c r="G329" s="120"/>
      <c r="H329" s="120"/>
      <c r="I329" s="120"/>
      <c r="J329" s="118">
        <f t="shared" ref="J329" si="259">L329+O329</f>
        <v>0</v>
      </c>
      <c r="K329" s="125"/>
      <c r="L329" s="120"/>
      <c r="M329" s="120"/>
      <c r="N329" s="120"/>
      <c r="O329" s="123">
        <f t="shared" ref="O329" si="260">K329</f>
        <v>0</v>
      </c>
      <c r="P329" s="118">
        <f>E329+J329</f>
        <v>0</v>
      </c>
      <c r="Q329" s="18"/>
      <c r="R329" s="48"/>
    </row>
    <row r="330" spans="1:18" ht="94.5" customHeight="1" thickTop="1" thickBot="1" x14ac:dyDescent="0.25">
      <c r="A330" s="239" t="s">
        <v>772</v>
      </c>
      <c r="B330" s="239" t="s">
        <v>664</v>
      </c>
      <c r="C330" s="239"/>
      <c r="D330" s="544" t="s">
        <v>665</v>
      </c>
      <c r="E330" s="501">
        <f>E331</f>
        <v>4548476</v>
      </c>
      <c r="F330" s="501">
        <f t="shared" ref="F330:P330" si="261">F331</f>
        <v>4151346</v>
      </c>
      <c r="G330" s="501">
        <f t="shared" si="261"/>
        <v>2029652</v>
      </c>
      <c r="H330" s="501">
        <f t="shared" si="261"/>
        <v>60665</v>
      </c>
      <c r="I330" s="501">
        <f t="shared" si="261"/>
        <v>397130</v>
      </c>
      <c r="J330" s="501">
        <f t="shared" si="261"/>
        <v>0</v>
      </c>
      <c r="K330" s="501">
        <f t="shared" si="261"/>
        <v>0</v>
      </c>
      <c r="L330" s="501">
        <f t="shared" si="261"/>
        <v>0</v>
      </c>
      <c r="M330" s="501">
        <f t="shared" si="261"/>
        <v>0</v>
      </c>
      <c r="N330" s="501">
        <f t="shared" si="261"/>
        <v>0</v>
      </c>
      <c r="O330" s="501">
        <f t="shared" si="261"/>
        <v>0</v>
      </c>
      <c r="P330" s="501">
        <f t="shared" si="261"/>
        <v>4548476</v>
      </c>
      <c r="Q330" s="18"/>
      <c r="R330" s="48"/>
    </row>
    <row r="331" spans="1:18" ht="100.5" customHeight="1" thickTop="1" thickBot="1" x14ac:dyDescent="0.25">
      <c r="A331" s="508" t="s">
        <v>773</v>
      </c>
      <c r="B331" s="508" t="s">
        <v>774</v>
      </c>
      <c r="C331" s="508"/>
      <c r="D331" s="545" t="s">
        <v>1140</v>
      </c>
      <c r="E331" s="524">
        <f>SUM(E332:E334)</f>
        <v>4548476</v>
      </c>
      <c r="F331" s="524">
        <f t="shared" ref="F331:P331" si="262">SUM(F332:F334)</f>
        <v>4151346</v>
      </c>
      <c r="G331" s="524">
        <f t="shared" si="262"/>
        <v>2029652</v>
      </c>
      <c r="H331" s="524">
        <f t="shared" si="262"/>
        <v>60665</v>
      </c>
      <c r="I331" s="524">
        <f t="shared" si="262"/>
        <v>397130</v>
      </c>
      <c r="J331" s="524">
        <f t="shared" si="262"/>
        <v>0</v>
      </c>
      <c r="K331" s="524">
        <f t="shared" si="262"/>
        <v>0</v>
      </c>
      <c r="L331" s="524">
        <f t="shared" si="262"/>
        <v>0</v>
      </c>
      <c r="M331" s="524">
        <f t="shared" si="262"/>
        <v>0</v>
      </c>
      <c r="N331" s="524">
        <f t="shared" si="262"/>
        <v>0</v>
      </c>
      <c r="O331" s="524">
        <f t="shared" si="262"/>
        <v>0</v>
      </c>
      <c r="P331" s="524">
        <f t="shared" si="262"/>
        <v>4548476</v>
      </c>
      <c r="Q331" s="18"/>
      <c r="R331" s="48"/>
    </row>
    <row r="332" spans="1:18" ht="140.25" customHeight="1" thickTop="1" thickBot="1" x14ac:dyDescent="0.25">
      <c r="A332" s="94" t="s">
        <v>530</v>
      </c>
      <c r="B332" s="94" t="s">
        <v>499</v>
      </c>
      <c r="C332" s="94" t="s">
        <v>245</v>
      </c>
      <c r="D332" s="94" t="s">
        <v>500</v>
      </c>
      <c r="E332" s="471">
        <f>F332+I332</f>
        <v>1500000</v>
      </c>
      <c r="F332" s="520">
        <f>(500000)+1000000</f>
        <v>1500000</v>
      </c>
      <c r="G332" s="120"/>
      <c r="H332" s="120"/>
      <c r="I332" s="120"/>
      <c r="J332" s="501">
        <f>L332+O332</f>
        <v>0</v>
      </c>
      <c r="K332" s="504">
        <v>0</v>
      </c>
      <c r="L332" s="520"/>
      <c r="M332" s="520"/>
      <c r="N332" s="520"/>
      <c r="O332" s="502">
        <f>K332</f>
        <v>0</v>
      </c>
      <c r="P332" s="501">
        <f>E332+J332</f>
        <v>1500000</v>
      </c>
      <c r="Q332" s="18"/>
      <c r="R332" s="48"/>
    </row>
    <row r="333" spans="1:18" ht="100.5" customHeight="1" thickTop="1" thickBot="1" x14ac:dyDescent="0.25">
      <c r="A333" s="469" t="s">
        <v>531</v>
      </c>
      <c r="B333" s="469" t="s">
        <v>244</v>
      </c>
      <c r="C333" s="469" t="s">
        <v>245</v>
      </c>
      <c r="D333" s="469" t="s">
        <v>243</v>
      </c>
      <c r="E333" s="471">
        <f>F333+I333</f>
        <v>3048476</v>
      </c>
      <c r="F333" s="470">
        <v>2651346</v>
      </c>
      <c r="G333" s="470">
        <v>2029652</v>
      </c>
      <c r="H333" s="470">
        <f>1025+43200+16440</f>
        <v>60665</v>
      </c>
      <c r="I333" s="470">
        <f>(355530)+41600</f>
        <v>397130</v>
      </c>
      <c r="J333" s="501">
        <f>L333+O333</f>
        <v>0</v>
      </c>
      <c r="K333" s="125"/>
      <c r="L333" s="120"/>
      <c r="M333" s="120"/>
      <c r="N333" s="120"/>
      <c r="O333" s="502">
        <f>K333</f>
        <v>0</v>
      </c>
      <c r="P333" s="501">
        <f>E333+J333</f>
        <v>3048476</v>
      </c>
      <c r="Q333" s="18"/>
      <c r="R333" s="44"/>
    </row>
    <row r="334" spans="1:18" ht="48" hidden="1" thickTop="1" thickBot="1" x14ac:dyDescent="0.25">
      <c r="A334" s="39" t="s">
        <v>532</v>
      </c>
      <c r="B334" s="39" t="s">
        <v>533</v>
      </c>
      <c r="C334" s="39" t="s">
        <v>245</v>
      </c>
      <c r="D334" s="39" t="s">
        <v>534</v>
      </c>
      <c r="E334" s="149">
        <f t="shared" ref="E334" si="263">F334</f>
        <v>0</v>
      </c>
      <c r="F334" s="150">
        <f>(1219000)-1219000</f>
        <v>0</v>
      </c>
      <c r="G334" s="150">
        <f>(354000+540000)-894000</f>
        <v>0</v>
      </c>
      <c r="H334" s="150">
        <f>(6000+3000)-9000</f>
        <v>0</v>
      </c>
      <c r="I334" s="150"/>
      <c r="J334" s="40">
        <f>L334+O334</f>
        <v>0</v>
      </c>
      <c r="K334" s="41"/>
      <c r="L334" s="150"/>
      <c r="M334" s="150"/>
      <c r="N334" s="150"/>
      <c r="O334" s="42">
        <f>K334</f>
        <v>0</v>
      </c>
      <c r="P334" s="40">
        <f>E334+J334</f>
        <v>0</v>
      </c>
      <c r="Q334" s="18"/>
      <c r="R334" s="48"/>
    </row>
    <row r="335" spans="1:18" ht="66" customHeight="1" thickTop="1" thickBot="1" x14ac:dyDescent="0.25">
      <c r="A335" s="239" t="s">
        <v>1271</v>
      </c>
      <c r="B335" s="239" t="s">
        <v>669</v>
      </c>
      <c r="C335" s="239"/>
      <c r="D335" s="239" t="s">
        <v>670</v>
      </c>
      <c r="E335" s="501">
        <f>E336</f>
        <v>2000000</v>
      </c>
      <c r="F335" s="501">
        <f t="shared" ref="F335:P336" si="264">F336</f>
        <v>2000000</v>
      </c>
      <c r="G335" s="501">
        <f t="shared" si="264"/>
        <v>0</v>
      </c>
      <c r="H335" s="501">
        <f t="shared" si="264"/>
        <v>0</v>
      </c>
      <c r="I335" s="501">
        <f t="shared" si="264"/>
        <v>0</v>
      </c>
      <c r="J335" s="501">
        <f t="shared" si="264"/>
        <v>0</v>
      </c>
      <c r="K335" s="501">
        <f t="shared" si="264"/>
        <v>0</v>
      </c>
      <c r="L335" s="501">
        <f t="shared" si="264"/>
        <v>0</v>
      </c>
      <c r="M335" s="501">
        <f t="shared" si="264"/>
        <v>0</v>
      </c>
      <c r="N335" s="501">
        <f t="shared" si="264"/>
        <v>0</v>
      </c>
      <c r="O335" s="501">
        <f t="shared" si="264"/>
        <v>0</v>
      </c>
      <c r="P335" s="501">
        <f t="shared" si="264"/>
        <v>2000000</v>
      </c>
      <c r="Q335" s="18"/>
      <c r="R335" s="48"/>
    </row>
    <row r="336" spans="1:18" ht="113.25" customHeight="1" thickTop="1" thickBot="1" x14ac:dyDescent="0.25">
      <c r="A336" s="508" t="s">
        <v>1272</v>
      </c>
      <c r="B336" s="508" t="s">
        <v>672</v>
      </c>
      <c r="C336" s="508"/>
      <c r="D336" s="508" t="s">
        <v>673</v>
      </c>
      <c r="E336" s="524">
        <f>E337</f>
        <v>2000000</v>
      </c>
      <c r="F336" s="524">
        <f t="shared" si="264"/>
        <v>2000000</v>
      </c>
      <c r="G336" s="524">
        <f t="shared" si="264"/>
        <v>0</v>
      </c>
      <c r="H336" s="524">
        <f t="shared" si="264"/>
        <v>0</v>
      </c>
      <c r="I336" s="524">
        <f t="shared" si="264"/>
        <v>0</v>
      </c>
      <c r="J336" s="524">
        <f t="shared" si="264"/>
        <v>0</v>
      </c>
      <c r="K336" s="524">
        <f t="shared" si="264"/>
        <v>0</v>
      </c>
      <c r="L336" s="524">
        <f t="shared" si="264"/>
        <v>0</v>
      </c>
      <c r="M336" s="524">
        <f t="shared" si="264"/>
        <v>0</v>
      </c>
      <c r="N336" s="524">
        <f t="shared" si="264"/>
        <v>0</v>
      </c>
      <c r="O336" s="524">
        <f t="shared" si="264"/>
        <v>0</v>
      </c>
      <c r="P336" s="524">
        <f t="shared" si="264"/>
        <v>2000000</v>
      </c>
      <c r="Q336" s="18"/>
      <c r="R336" s="48"/>
    </row>
    <row r="337" spans="1:18" ht="72.75" customHeight="1" thickTop="1" thickBot="1" x14ac:dyDescent="0.25">
      <c r="A337" s="94" t="s">
        <v>1273</v>
      </c>
      <c r="B337" s="94" t="s">
        <v>353</v>
      </c>
      <c r="C337" s="94" t="s">
        <v>42</v>
      </c>
      <c r="D337" s="94" t="s">
        <v>354</v>
      </c>
      <c r="E337" s="521">
        <f>F337+I337</f>
        <v>2000000</v>
      </c>
      <c r="F337" s="504">
        <f>(500000)+1500000</f>
        <v>2000000</v>
      </c>
      <c r="G337" s="504"/>
      <c r="H337" s="504"/>
      <c r="I337" s="504"/>
      <c r="J337" s="501">
        <f>L337+O337</f>
        <v>0</v>
      </c>
      <c r="K337" s="504">
        <v>0</v>
      </c>
      <c r="L337" s="504"/>
      <c r="M337" s="504"/>
      <c r="N337" s="504"/>
      <c r="O337" s="502">
        <f>K337</f>
        <v>0</v>
      </c>
      <c r="P337" s="501">
        <f>E337+J337</f>
        <v>2000000</v>
      </c>
      <c r="Q337" s="18"/>
      <c r="R337" s="48"/>
    </row>
    <row r="338" spans="1:18" ht="189" customHeight="1" thickTop="1" thickBot="1" x14ac:dyDescent="0.25">
      <c r="A338" s="514" t="s">
        <v>25</v>
      </c>
      <c r="B338" s="514"/>
      <c r="C338" s="514"/>
      <c r="D338" s="515" t="s">
        <v>1169</v>
      </c>
      <c r="E338" s="516">
        <f>E339</f>
        <v>6515534</v>
      </c>
      <c r="F338" s="517">
        <f t="shared" ref="F338:G338" si="265">F339</f>
        <v>6515534</v>
      </c>
      <c r="G338" s="517">
        <f t="shared" si="265"/>
        <v>3243030</v>
      </c>
      <c r="H338" s="517">
        <f>H339</f>
        <v>147710</v>
      </c>
      <c r="I338" s="517">
        <f t="shared" ref="I338" si="266">I339</f>
        <v>0</v>
      </c>
      <c r="J338" s="516">
        <f>J339</f>
        <v>45926049</v>
      </c>
      <c r="K338" s="517">
        <f>K339</f>
        <v>45926049</v>
      </c>
      <c r="L338" s="517">
        <f>L339</f>
        <v>0</v>
      </c>
      <c r="M338" s="517">
        <f t="shared" ref="M338" si="267">M339</f>
        <v>0</v>
      </c>
      <c r="N338" s="517">
        <f>N339</f>
        <v>0</v>
      </c>
      <c r="O338" s="516">
        <f>O339</f>
        <v>45926049</v>
      </c>
      <c r="P338" s="517">
        <f t="shared" ref="P338" si="268">P339</f>
        <v>52441583</v>
      </c>
      <c r="Q338" s="18"/>
    </row>
    <row r="339" spans="1:18" ht="167.25" customHeight="1" thickTop="1" thickBot="1" x14ac:dyDescent="0.25">
      <c r="A339" s="511" t="s">
        <v>26</v>
      </c>
      <c r="B339" s="511"/>
      <c r="C339" s="511"/>
      <c r="D339" s="512" t="s">
        <v>849</v>
      </c>
      <c r="E339" s="513">
        <f>E340+E355+E363+E346+E350+E344+E359</f>
        <v>6515534</v>
      </c>
      <c r="F339" s="513">
        <f t="shared" ref="F339:P339" si="269">F340+F355+F363+F346+F350+F344+F359</f>
        <v>6515534</v>
      </c>
      <c r="G339" s="513">
        <f t="shared" si="269"/>
        <v>3243030</v>
      </c>
      <c r="H339" s="513">
        <f t="shared" si="269"/>
        <v>147710</v>
      </c>
      <c r="I339" s="513">
        <f t="shared" si="269"/>
        <v>0</v>
      </c>
      <c r="J339" s="513">
        <f t="shared" si="269"/>
        <v>45926049</v>
      </c>
      <c r="K339" s="513">
        <f t="shared" si="269"/>
        <v>45926049</v>
      </c>
      <c r="L339" s="513">
        <f t="shared" si="269"/>
        <v>0</v>
      </c>
      <c r="M339" s="513">
        <f t="shared" si="269"/>
        <v>0</v>
      </c>
      <c r="N339" s="513">
        <f t="shared" si="269"/>
        <v>0</v>
      </c>
      <c r="O339" s="513">
        <f t="shared" si="269"/>
        <v>45926049</v>
      </c>
      <c r="P339" s="513">
        <f t="shared" si="269"/>
        <v>52441583</v>
      </c>
      <c r="Q339" s="546" t="b">
        <f>P339=P341+P345+P348+P352+P358+P365+P343+P371</f>
        <v>1</v>
      </c>
      <c r="R339" s="44"/>
    </row>
    <row r="340" spans="1:18" ht="103.5" customHeight="1" thickTop="1" thickBot="1" x14ac:dyDescent="0.25">
      <c r="A340" s="483" t="s">
        <v>775</v>
      </c>
      <c r="B340" s="483" t="s">
        <v>652</v>
      </c>
      <c r="C340" s="483"/>
      <c r="D340" s="483" t="s">
        <v>653</v>
      </c>
      <c r="E340" s="485">
        <f t="shared" ref="E340:P340" si="270">SUM(E341:E343)</f>
        <v>6215534</v>
      </c>
      <c r="F340" s="485">
        <f t="shared" si="270"/>
        <v>6215534</v>
      </c>
      <c r="G340" s="485">
        <f t="shared" si="270"/>
        <v>3243030</v>
      </c>
      <c r="H340" s="485">
        <f t="shared" si="270"/>
        <v>147710</v>
      </c>
      <c r="I340" s="485">
        <f t="shared" si="270"/>
        <v>0</v>
      </c>
      <c r="J340" s="485">
        <f t="shared" si="270"/>
        <v>0</v>
      </c>
      <c r="K340" s="485">
        <f t="shared" si="270"/>
        <v>0</v>
      </c>
      <c r="L340" s="485">
        <f t="shared" si="270"/>
        <v>0</v>
      </c>
      <c r="M340" s="485">
        <f t="shared" si="270"/>
        <v>0</v>
      </c>
      <c r="N340" s="485">
        <f t="shared" si="270"/>
        <v>0</v>
      </c>
      <c r="O340" s="485">
        <f t="shared" si="270"/>
        <v>0</v>
      </c>
      <c r="P340" s="485">
        <f t="shared" si="270"/>
        <v>6215534</v>
      </c>
      <c r="Q340" s="45"/>
      <c r="R340" s="44"/>
    </row>
    <row r="341" spans="1:18" ht="146.25" customHeight="1" thickTop="1" thickBot="1" x14ac:dyDescent="0.25">
      <c r="A341" s="469" t="s">
        <v>406</v>
      </c>
      <c r="B341" s="469" t="s">
        <v>231</v>
      </c>
      <c r="C341" s="469" t="s">
        <v>229</v>
      </c>
      <c r="D341" s="469" t="s">
        <v>1515</v>
      </c>
      <c r="E341" s="471">
        <f>F341+I341</f>
        <v>4531349</v>
      </c>
      <c r="F341" s="487">
        <v>4531349</v>
      </c>
      <c r="G341" s="487">
        <v>3243030</v>
      </c>
      <c r="H341" s="487">
        <v>147710</v>
      </c>
      <c r="I341" s="487"/>
      <c r="J341" s="485">
        <f t="shared" ref="J341:J366" si="271">L341+O341</f>
        <v>0</v>
      </c>
      <c r="K341" s="487"/>
      <c r="L341" s="487"/>
      <c r="M341" s="487"/>
      <c r="N341" s="487"/>
      <c r="O341" s="488">
        <f>K341</f>
        <v>0</v>
      </c>
      <c r="P341" s="485">
        <f t="shared" ref="P341:P366" si="272">E341+J341</f>
        <v>4531349</v>
      </c>
      <c r="Q341" s="45"/>
      <c r="R341" s="48"/>
    </row>
    <row r="342" spans="1:18" ht="93" hidden="1" thickTop="1" thickBot="1" x14ac:dyDescent="0.25">
      <c r="A342" s="119" t="s">
        <v>603</v>
      </c>
      <c r="B342" s="119" t="s">
        <v>352</v>
      </c>
      <c r="C342" s="119" t="s">
        <v>598</v>
      </c>
      <c r="D342" s="119" t="s">
        <v>599</v>
      </c>
      <c r="E342" s="142">
        <f>F342</f>
        <v>0</v>
      </c>
      <c r="F342" s="120">
        <v>0</v>
      </c>
      <c r="G342" s="120"/>
      <c r="H342" s="120"/>
      <c r="I342" s="120"/>
      <c r="J342" s="118">
        <f t="shared" si="271"/>
        <v>0</v>
      </c>
      <c r="K342" s="120"/>
      <c r="L342" s="121"/>
      <c r="M342" s="121"/>
      <c r="N342" s="121"/>
      <c r="O342" s="123">
        <f t="shared" ref="O342:O343" si="273">K342</f>
        <v>0</v>
      </c>
      <c r="P342" s="118">
        <f t="shared" ref="P342:P343" si="274">+J342+E342</f>
        <v>0</v>
      </c>
      <c r="Q342" s="45"/>
      <c r="R342" s="48"/>
    </row>
    <row r="343" spans="1:18" ht="103.5" customHeight="1" thickTop="1" thickBot="1" x14ac:dyDescent="0.25">
      <c r="A343" s="469" t="s">
        <v>879</v>
      </c>
      <c r="B343" s="469" t="s">
        <v>42</v>
      </c>
      <c r="C343" s="469" t="s">
        <v>41</v>
      </c>
      <c r="D343" s="469" t="s">
        <v>242</v>
      </c>
      <c r="E343" s="471">
        <f>F343+I343</f>
        <v>1684185</v>
      </c>
      <c r="F343" s="487">
        <v>1684185</v>
      </c>
      <c r="G343" s="487"/>
      <c r="H343" s="487"/>
      <c r="I343" s="487"/>
      <c r="J343" s="485">
        <f t="shared" si="271"/>
        <v>0</v>
      </c>
      <c r="K343" s="470"/>
      <c r="L343" s="494"/>
      <c r="M343" s="494"/>
      <c r="N343" s="494"/>
      <c r="O343" s="488">
        <f t="shared" si="273"/>
        <v>0</v>
      </c>
      <c r="P343" s="485">
        <f t="shared" si="274"/>
        <v>1684185</v>
      </c>
      <c r="Q343" s="45"/>
      <c r="R343" s="48"/>
    </row>
    <row r="344" spans="1:18" ht="63" customHeight="1" thickTop="1" thickBot="1" x14ac:dyDescent="0.25">
      <c r="A344" s="239" t="s">
        <v>1357</v>
      </c>
      <c r="B344" s="239" t="s">
        <v>675</v>
      </c>
      <c r="C344" s="239"/>
      <c r="D344" s="239" t="s">
        <v>676</v>
      </c>
      <c r="E344" s="485">
        <f>E345</f>
        <v>0</v>
      </c>
      <c r="F344" s="485">
        <f t="shared" ref="F344:P344" si="275">F345</f>
        <v>0</v>
      </c>
      <c r="G344" s="485">
        <f t="shared" si="275"/>
        <v>0</v>
      </c>
      <c r="H344" s="485">
        <f t="shared" si="275"/>
        <v>0</v>
      </c>
      <c r="I344" s="485">
        <f t="shared" si="275"/>
        <v>0</v>
      </c>
      <c r="J344" s="485">
        <f t="shared" si="275"/>
        <v>16300000</v>
      </c>
      <c r="K344" s="485">
        <f t="shared" si="275"/>
        <v>16300000</v>
      </c>
      <c r="L344" s="485">
        <f t="shared" si="275"/>
        <v>0</v>
      </c>
      <c r="M344" s="485">
        <f t="shared" si="275"/>
        <v>0</v>
      </c>
      <c r="N344" s="485">
        <f t="shared" si="275"/>
        <v>0</v>
      </c>
      <c r="O344" s="485">
        <f t="shared" si="275"/>
        <v>16300000</v>
      </c>
      <c r="P344" s="485">
        <f t="shared" si="275"/>
        <v>16300000</v>
      </c>
      <c r="Q344" s="45"/>
      <c r="R344" s="48"/>
    </row>
    <row r="345" spans="1:18" ht="165" customHeight="1" thickTop="1" thickBot="1" x14ac:dyDescent="0.25">
      <c r="A345" s="94" t="s">
        <v>1358</v>
      </c>
      <c r="B345" s="94" t="s">
        <v>1359</v>
      </c>
      <c r="C345" s="94" t="s">
        <v>205</v>
      </c>
      <c r="D345" s="94" t="s">
        <v>1538</v>
      </c>
      <c r="E345" s="142"/>
      <c r="F345" s="120"/>
      <c r="G345" s="120"/>
      <c r="H345" s="120"/>
      <c r="I345" s="120"/>
      <c r="J345" s="501">
        <f t="shared" ref="J345" si="276">L345+O345</f>
        <v>16300000</v>
      </c>
      <c r="K345" s="520">
        <v>16300000</v>
      </c>
      <c r="L345" s="121"/>
      <c r="M345" s="121"/>
      <c r="N345" s="121"/>
      <c r="O345" s="502">
        <f t="shared" ref="O345" si="277">K345</f>
        <v>16300000</v>
      </c>
      <c r="P345" s="501">
        <f t="shared" ref="P345" si="278">+J345+E345</f>
        <v>16300000</v>
      </c>
      <c r="Q345" s="45"/>
      <c r="R345" s="48"/>
    </row>
    <row r="346" spans="1:18" s="340" customFormat="1" ht="109.5" customHeight="1" thickTop="1" thickBot="1" x14ac:dyDescent="0.25">
      <c r="A346" s="239" t="s">
        <v>1113</v>
      </c>
      <c r="B346" s="239" t="s">
        <v>678</v>
      </c>
      <c r="C346" s="239"/>
      <c r="D346" s="239" t="s">
        <v>679</v>
      </c>
      <c r="E346" s="485">
        <f>SUM(E349:E349)+E347</f>
        <v>0</v>
      </c>
      <c r="F346" s="485">
        <f t="shared" ref="F346:P346" si="279">SUM(F349:F349)+F347</f>
        <v>0</v>
      </c>
      <c r="G346" s="485">
        <f t="shared" si="279"/>
        <v>0</v>
      </c>
      <c r="H346" s="485">
        <f t="shared" si="279"/>
        <v>0</v>
      </c>
      <c r="I346" s="485">
        <f t="shared" si="279"/>
        <v>0</v>
      </c>
      <c r="J346" s="485">
        <f t="shared" si="279"/>
        <v>500000</v>
      </c>
      <c r="K346" s="485">
        <f t="shared" si="279"/>
        <v>500000</v>
      </c>
      <c r="L346" s="485">
        <f t="shared" si="279"/>
        <v>0</v>
      </c>
      <c r="M346" s="485">
        <f t="shared" si="279"/>
        <v>0</v>
      </c>
      <c r="N346" s="485">
        <f t="shared" si="279"/>
        <v>0</v>
      </c>
      <c r="O346" s="485">
        <f t="shared" si="279"/>
        <v>500000</v>
      </c>
      <c r="P346" s="485">
        <f t="shared" si="279"/>
        <v>500000</v>
      </c>
      <c r="Q346" s="338"/>
      <c r="R346" s="339"/>
    </row>
    <row r="347" spans="1:18" s="340" customFormat="1" ht="109.5" customHeight="1" thickTop="1" thickBot="1" x14ac:dyDescent="0.25">
      <c r="A347" s="518" t="s">
        <v>1554</v>
      </c>
      <c r="B347" s="518" t="s">
        <v>705</v>
      </c>
      <c r="C347" s="518"/>
      <c r="D347" s="507" t="s">
        <v>1520</v>
      </c>
      <c r="E347" s="524">
        <f>SUM(E348:E349)</f>
        <v>0</v>
      </c>
      <c r="F347" s="524">
        <f t="shared" ref="F347:P347" si="280">SUM(F348:F349)</f>
        <v>0</v>
      </c>
      <c r="G347" s="524">
        <f t="shared" si="280"/>
        <v>0</v>
      </c>
      <c r="H347" s="524">
        <f t="shared" si="280"/>
        <v>0</v>
      </c>
      <c r="I347" s="524">
        <f t="shared" si="280"/>
        <v>0</v>
      </c>
      <c r="J347" s="524">
        <f t="shared" si="280"/>
        <v>500000</v>
      </c>
      <c r="K347" s="524">
        <f t="shared" si="280"/>
        <v>500000</v>
      </c>
      <c r="L347" s="524">
        <f t="shared" si="280"/>
        <v>0</v>
      </c>
      <c r="M347" s="524">
        <f t="shared" si="280"/>
        <v>0</v>
      </c>
      <c r="N347" s="524">
        <f t="shared" si="280"/>
        <v>0</v>
      </c>
      <c r="O347" s="524">
        <f t="shared" si="280"/>
        <v>500000</v>
      </c>
      <c r="P347" s="524">
        <f t="shared" si="280"/>
        <v>500000</v>
      </c>
      <c r="Q347" s="338"/>
      <c r="R347" s="339"/>
    </row>
    <row r="348" spans="1:18" s="340" customFormat="1" ht="192.75" customHeight="1" thickTop="1" thickBot="1" x14ac:dyDescent="0.25">
      <c r="A348" s="94" t="s">
        <v>1555</v>
      </c>
      <c r="B348" s="94" t="s">
        <v>1459</v>
      </c>
      <c r="C348" s="94" t="s">
        <v>180</v>
      </c>
      <c r="D348" s="507" t="s">
        <v>1709</v>
      </c>
      <c r="E348" s="128"/>
      <c r="F348" s="128"/>
      <c r="G348" s="128"/>
      <c r="H348" s="128"/>
      <c r="I348" s="128"/>
      <c r="J348" s="501">
        <f t="shared" ref="J348" si="281">L348+O348</f>
        <v>500000</v>
      </c>
      <c r="K348" s="504">
        <v>500000</v>
      </c>
      <c r="L348" s="504"/>
      <c r="M348" s="504"/>
      <c r="N348" s="504"/>
      <c r="O348" s="502">
        <f>K348</f>
        <v>500000</v>
      </c>
      <c r="P348" s="501">
        <f t="shared" ref="P348" si="282">E348+J348</f>
        <v>500000</v>
      </c>
      <c r="Q348" s="338"/>
      <c r="R348" s="339"/>
    </row>
    <row r="349" spans="1:18" s="340" customFormat="1" ht="93" hidden="1" thickTop="1" thickBot="1" x14ac:dyDescent="0.25">
      <c r="A349" s="313" t="s">
        <v>1114</v>
      </c>
      <c r="B349" s="313" t="s">
        <v>1080</v>
      </c>
      <c r="C349" s="313" t="s">
        <v>201</v>
      </c>
      <c r="D349" s="353" t="s">
        <v>1434</v>
      </c>
      <c r="E349" s="335">
        <f t="shared" ref="E349" si="283">F349</f>
        <v>0</v>
      </c>
      <c r="F349" s="336">
        <v>0</v>
      </c>
      <c r="G349" s="336"/>
      <c r="H349" s="336"/>
      <c r="I349" s="336"/>
      <c r="J349" s="335">
        <f>L349+O349</f>
        <v>0</v>
      </c>
      <c r="K349" s="336">
        <f>((0)+1000000)-1000000</f>
        <v>0</v>
      </c>
      <c r="L349" s="336"/>
      <c r="M349" s="336"/>
      <c r="N349" s="336"/>
      <c r="O349" s="337">
        <f>K349</f>
        <v>0</v>
      </c>
      <c r="P349" s="335">
        <f>E349+J349</f>
        <v>0</v>
      </c>
      <c r="Q349" s="338"/>
      <c r="R349" s="339"/>
    </row>
    <row r="350" spans="1:18" ht="87.75" customHeight="1" thickTop="1" thickBot="1" x14ac:dyDescent="0.25">
      <c r="A350" s="239" t="s">
        <v>1360</v>
      </c>
      <c r="B350" s="239" t="s">
        <v>720</v>
      </c>
      <c r="C350" s="239"/>
      <c r="D350" s="239" t="s">
        <v>721</v>
      </c>
      <c r="E350" s="501">
        <f>E351</f>
        <v>0</v>
      </c>
      <c r="F350" s="501">
        <f t="shared" ref="F350:P350" si="284">F351</f>
        <v>0</v>
      </c>
      <c r="G350" s="501">
        <f t="shared" si="284"/>
        <v>0</v>
      </c>
      <c r="H350" s="501">
        <f t="shared" si="284"/>
        <v>0</v>
      </c>
      <c r="I350" s="501">
        <f t="shared" si="284"/>
        <v>0</v>
      </c>
      <c r="J350" s="501">
        <f t="shared" si="284"/>
        <v>2836296</v>
      </c>
      <c r="K350" s="501">
        <f t="shared" si="284"/>
        <v>2836296</v>
      </c>
      <c r="L350" s="501">
        <f t="shared" si="284"/>
        <v>0</v>
      </c>
      <c r="M350" s="501">
        <f t="shared" si="284"/>
        <v>0</v>
      </c>
      <c r="N350" s="501">
        <f t="shared" si="284"/>
        <v>0</v>
      </c>
      <c r="O350" s="501">
        <f t="shared" si="284"/>
        <v>2836296</v>
      </c>
      <c r="P350" s="501">
        <f t="shared" si="284"/>
        <v>2836296</v>
      </c>
      <c r="Q350" s="45"/>
      <c r="R350" s="48"/>
    </row>
    <row r="351" spans="1:18" ht="134.25" customHeight="1" thickTop="1" thickBot="1" x14ac:dyDescent="0.25">
      <c r="A351" s="518" t="s">
        <v>1361</v>
      </c>
      <c r="B351" s="518" t="s">
        <v>723</v>
      </c>
      <c r="C351" s="518"/>
      <c r="D351" s="507" t="s">
        <v>724</v>
      </c>
      <c r="E351" s="524">
        <f>SUM(E352:E353)</f>
        <v>0</v>
      </c>
      <c r="F351" s="524">
        <f t="shared" ref="F351:P351" si="285">SUM(F352:F353)</f>
        <v>0</v>
      </c>
      <c r="G351" s="524">
        <f t="shared" si="285"/>
        <v>0</v>
      </c>
      <c r="H351" s="524">
        <f t="shared" si="285"/>
        <v>0</v>
      </c>
      <c r="I351" s="524">
        <f t="shared" si="285"/>
        <v>0</v>
      </c>
      <c r="J351" s="524">
        <f t="shared" si="285"/>
        <v>2836296</v>
      </c>
      <c r="K351" s="524">
        <f t="shared" si="285"/>
        <v>2836296</v>
      </c>
      <c r="L351" s="524">
        <f t="shared" si="285"/>
        <v>0</v>
      </c>
      <c r="M351" s="524">
        <f t="shared" si="285"/>
        <v>0</v>
      </c>
      <c r="N351" s="524">
        <f t="shared" si="285"/>
        <v>0</v>
      </c>
      <c r="O351" s="524">
        <f t="shared" si="285"/>
        <v>2836296</v>
      </c>
      <c r="P351" s="524">
        <f t="shared" si="285"/>
        <v>2836296</v>
      </c>
      <c r="Q351" s="45"/>
      <c r="R351" s="48"/>
    </row>
    <row r="352" spans="1:18" ht="175.5" customHeight="1" thickTop="1" thickBot="1" x14ac:dyDescent="0.25">
      <c r="A352" s="94" t="s">
        <v>1544</v>
      </c>
      <c r="B352" s="94" t="s">
        <v>1545</v>
      </c>
      <c r="C352" s="94" t="s">
        <v>177</v>
      </c>
      <c r="D352" s="507" t="s">
        <v>1543</v>
      </c>
      <c r="E352" s="128"/>
      <c r="F352" s="128"/>
      <c r="G352" s="128"/>
      <c r="H352" s="128"/>
      <c r="I352" s="128"/>
      <c r="J352" s="501">
        <f t="shared" ref="J352:J353" si="286">L352+O352</f>
        <v>2836296</v>
      </c>
      <c r="K352" s="504">
        <f>(1000000)+1836296</f>
        <v>2836296</v>
      </c>
      <c r="L352" s="504"/>
      <c r="M352" s="504"/>
      <c r="N352" s="504"/>
      <c r="O352" s="502">
        <f>K352</f>
        <v>2836296</v>
      </c>
      <c r="P352" s="501">
        <f t="shared" ref="P352:P353" si="287">E352+J352</f>
        <v>2836296</v>
      </c>
      <c r="Q352" s="45"/>
      <c r="R352" s="48"/>
    </row>
    <row r="353" spans="1:18" ht="72.75" hidden="1" customHeight="1" thickTop="1" thickBot="1" x14ac:dyDescent="0.25">
      <c r="A353" s="119" t="s">
        <v>1363</v>
      </c>
      <c r="B353" s="119" t="s">
        <v>1364</v>
      </c>
      <c r="C353" s="119" t="s">
        <v>177</v>
      </c>
      <c r="D353" s="277" t="s">
        <v>1362</v>
      </c>
      <c r="E353" s="118"/>
      <c r="F353" s="125"/>
      <c r="G353" s="125"/>
      <c r="H353" s="125"/>
      <c r="I353" s="125"/>
      <c r="J353" s="118">
        <f t="shared" si="286"/>
        <v>0</v>
      </c>
      <c r="K353" s="125"/>
      <c r="L353" s="125"/>
      <c r="M353" s="125"/>
      <c r="N353" s="125"/>
      <c r="O353" s="123">
        <f>K353</f>
        <v>0</v>
      </c>
      <c r="P353" s="118">
        <f t="shared" si="287"/>
        <v>0</v>
      </c>
      <c r="Q353" s="45"/>
      <c r="R353" s="48"/>
    </row>
    <row r="354" spans="1:18" ht="48" hidden="1" thickTop="1" thickBot="1" x14ac:dyDescent="0.25">
      <c r="A354" s="119"/>
      <c r="B354" s="119"/>
      <c r="C354" s="119"/>
      <c r="D354" s="277"/>
      <c r="E354" s="118"/>
      <c r="F354" s="125"/>
      <c r="G354" s="125"/>
      <c r="H354" s="125"/>
      <c r="I354" s="125"/>
      <c r="J354" s="118"/>
      <c r="K354" s="125"/>
      <c r="L354" s="125"/>
      <c r="M354" s="125"/>
      <c r="N354" s="125"/>
      <c r="O354" s="123"/>
      <c r="P354" s="118"/>
      <c r="Q354" s="45"/>
      <c r="R354" s="48"/>
    </row>
    <row r="355" spans="1:18" ht="103.5" customHeight="1" thickTop="1" thickBot="1" x14ac:dyDescent="0.25">
      <c r="A355" s="239" t="s">
        <v>776</v>
      </c>
      <c r="B355" s="239" t="s">
        <v>734</v>
      </c>
      <c r="C355" s="94"/>
      <c r="D355" s="239" t="s">
        <v>735</v>
      </c>
      <c r="E355" s="521">
        <f>E356+E358</f>
        <v>0</v>
      </c>
      <c r="F355" s="521">
        <f t="shared" ref="F355:P355" si="288">F356+F358</f>
        <v>0</v>
      </c>
      <c r="G355" s="521">
        <f t="shared" si="288"/>
        <v>0</v>
      </c>
      <c r="H355" s="521">
        <f t="shared" si="288"/>
        <v>0</v>
      </c>
      <c r="I355" s="521">
        <f t="shared" si="288"/>
        <v>0</v>
      </c>
      <c r="J355" s="521">
        <f t="shared" si="288"/>
        <v>3315815</v>
      </c>
      <c r="K355" s="521">
        <f t="shared" si="288"/>
        <v>3315815</v>
      </c>
      <c r="L355" s="521">
        <f t="shared" si="288"/>
        <v>0</v>
      </c>
      <c r="M355" s="521">
        <f t="shared" si="288"/>
        <v>0</v>
      </c>
      <c r="N355" s="521">
        <f t="shared" si="288"/>
        <v>0</v>
      </c>
      <c r="O355" s="521">
        <f t="shared" si="288"/>
        <v>3315815</v>
      </c>
      <c r="P355" s="521">
        <f t="shared" si="288"/>
        <v>3315815</v>
      </c>
      <c r="Q355" s="45"/>
      <c r="R355" s="48"/>
    </row>
    <row r="356" spans="1:18" ht="82.5" hidden="1" customHeight="1" thickTop="1" thickBot="1" x14ac:dyDescent="0.25">
      <c r="A356" s="131" t="s">
        <v>777</v>
      </c>
      <c r="B356" s="131" t="s">
        <v>778</v>
      </c>
      <c r="C356" s="131"/>
      <c r="D356" s="131" t="s">
        <v>779</v>
      </c>
      <c r="E356" s="147">
        <f>E357</f>
        <v>0</v>
      </c>
      <c r="F356" s="147">
        <f t="shared" ref="F356:P356" si="289">F357</f>
        <v>0</v>
      </c>
      <c r="G356" s="147">
        <f t="shared" si="289"/>
        <v>0</v>
      </c>
      <c r="H356" s="147">
        <f t="shared" si="289"/>
        <v>0</v>
      </c>
      <c r="I356" s="147">
        <f t="shared" si="289"/>
        <v>0</v>
      </c>
      <c r="J356" s="147">
        <f t="shared" si="289"/>
        <v>0</v>
      </c>
      <c r="K356" s="147">
        <f t="shared" si="289"/>
        <v>0</v>
      </c>
      <c r="L356" s="147">
        <f t="shared" si="289"/>
        <v>0</v>
      </c>
      <c r="M356" s="147">
        <f t="shared" si="289"/>
        <v>0</v>
      </c>
      <c r="N356" s="147">
        <f t="shared" si="289"/>
        <v>0</v>
      </c>
      <c r="O356" s="147">
        <f t="shared" si="289"/>
        <v>0</v>
      </c>
      <c r="P356" s="147">
        <f t="shared" si="289"/>
        <v>0</v>
      </c>
      <c r="Q356" s="45"/>
      <c r="R356" s="48"/>
    </row>
    <row r="357" spans="1:18" ht="184.5" hidden="1" thickTop="1" thickBot="1" x14ac:dyDescent="0.25">
      <c r="A357" s="119" t="s">
        <v>422</v>
      </c>
      <c r="B357" s="119" t="s">
        <v>423</v>
      </c>
      <c r="C357" s="119" t="s">
        <v>190</v>
      </c>
      <c r="D357" s="119" t="s">
        <v>1062</v>
      </c>
      <c r="E357" s="118"/>
      <c r="F357" s="125"/>
      <c r="G357" s="125"/>
      <c r="H357" s="125"/>
      <c r="I357" s="125"/>
      <c r="J357" s="118">
        <f t="shared" si="271"/>
        <v>0</v>
      </c>
      <c r="K357" s="125"/>
      <c r="L357" s="125"/>
      <c r="M357" s="125"/>
      <c r="N357" s="125"/>
      <c r="O357" s="123">
        <f t="shared" ref="O357:O358" si="290">K357</f>
        <v>0</v>
      </c>
      <c r="P357" s="118">
        <f t="shared" si="272"/>
        <v>0</v>
      </c>
      <c r="Q357" s="45"/>
      <c r="R357" s="44"/>
    </row>
    <row r="358" spans="1:18" ht="195" customHeight="1" thickTop="1" thickBot="1" x14ac:dyDescent="0.25">
      <c r="A358" s="94" t="s">
        <v>1548</v>
      </c>
      <c r="B358" s="94" t="s">
        <v>1455</v>
      </c>
      <c r="C358" s="94" t="s">
        <v>190</v>
      </c>
      <c r="D358" s="94" t="s">
        <v>1549</v>
      </c>
      <c r="E358" s="118"/>
      <c r="F358" s="125"/>
      <c r="G358" s="125"/>
      <c r="H358" s="125"/>
      <c r="I358" s="125"/>
      <c r="J358" s="501">
        <f t="shared" si="271"/>
        <v>3315815</v>
      </c>
      <c r="K358" s="504">
        <f>(5000000)-1684185</f>
        <v>3315815</v>
      </c>
      <c r="L358" s="504"/>
      <c r="M358" s="504"/>
      <c r="N358" s="504"/>
      <c r="O358" s="502">
        <f t="shared" si="290"/>
        <v>3315815</v>
      </c>
      <c r="P358" s="501">
        <f t="shared" si="272"/>
        <v>3315815</v>
      </c>
      <c r="Q358" s="45"/>
      <c r="R358" s="44"/>
    </row>
    <row r="359" spans="1:18" ht="141.75" hidden="1" customHeight="1" thickTop="1" thickBot="1" x14ac:dyDescent="0.25">
      <c r="A359" s="239" t="s">
        <v>1559</v>
      </c>
      <c r="B359" s="239" t="s">
        <v>707</v>
      </c>
      <c r="C359" s="94"/>
      <c r="D359" s="239" t="s">
        <v>708</v>
      </c>
      <c r="E359" s="521">
        <f>E360+E362</f>
        <v>0</v>
      </c>
      <c r="F359" s="521">
        <f t="shared" ref="F359:P359" si="291">F360+F362</f>
        <v>0</v>
      </c>
      <c r="G359" s="521">
        <f t="shared" si="291"/>
        <v>0</v>
      </c>
      <c r="H359" s="521">
        <f t="shared" si="291"/>
        <v>0</v>
      </c>
      <c r="I359" s="521">
        <f t="shared" si="291"/>
        <v>0</v>
      </c>
      <c r="J359" s="521">
        <f t="shared" si="291"/>
        <v>0</v>
      </c>
      <c r="K359" s="521">
        <f t="shared" si="291"/>
        <v>0</v>
      </c>
      <c r="L359" s="521">
        <f t="shared" si="291"/>
        <v>0</v>
      </c>
      <c r="M359" s="521">
        <f t="shared" si="291"/>
        <v>0</v>
      </c>
      <c r="N359" s="521">
        <f t="shared" si="291"/>
        <v>0</v>
      </c>
      <c r="O359" s="521">
        <f t="shared" si="291"/>
        <v>0</v>
      </c>
      <c r="P359" s="521">
        <f t="shared" si="291"/>
        <v>0</v>
      </c>
      <c r="Q359" s="45"/>
      <c r="R359" s="44"/>
    </row>
    <row r="360" spans="1:18" ht="195" hidden="1" customHeight="1" thickTop="1" thickBot="1" x14ac:dyDescent="0.25">
      <c r="A360" s="94" t="s">
        <v>1560</v>
      </c>
      <c r="B360" s="94" t="s">
        <v>1354</v>
      </c>
      <c r="C360" s="94" t="s">
        <v>1039</v>
      </c>
      <c r="D360" s="94" t="s">
        <v>1529</v>
      </c>
      <c r="E360" s="118"/>
      <c r="F360" s="125"/>
      <c r="G360" s="125"/>
      <c r="H360" s="125"/>
      <c r="I360" s="125"/>
      <c r="J360" s="501">
        <f t="shared" ref="J360" si="292">L360+O360</f>
        <v>0</v>
      </c>
      <c r="K360" s="504">
        <v>0</v>
      </c>
      <c r="L360" s="504"/>
      <c r="M360" s="504"/>
      <c r="N360" s="504"/>
      <c r="O360" s="502">
        <f t="shared" ref="O360" si="293">K360</f>
        <v>0</v>
      </c>
      <c r="P360" s="501">
        <f t="shared" ref="P360" si="294">E360+J360</f>
        <v>0</v>
      </c>
      <c r="Q360" s="45"/>
      <c r="R360" s="44"/>
    </row>
    <row r="361" spans="1:18" ht="195" hidden="1" customHeight="1" thickTop="1" thickBot="1" x14ac:dyDescent="0.25">
      <c r="A361" s="94"/>
      <c r="B361" s="94"/>
      <c r="C361" s="94"/>
      <c r="D361" s="94"/>
      <c r="E361" s="118"/>
      <c r="F361" s="125"/>
      <c r="G361" s="125"/>
      <c r="H361" s="125"/>
      <c r="I361" s="125"/>
      <c r="J361" s="501"/>
      <c r="K361" s="504"/>
      <c r="L361" s="504"/>
      <c r="M361" s="504"/>
      <c r="N361" s="504"/>
      <c r="O361" s="502"/>
      <c r="P361" s="501"/>
      <c r="Q361" s="45"/>
      <c r="R361" s="44"/>
    </row>
    <row r="362" spans="1:18" ht="195" hidden="1" customHeight="1" thickTop="1" thickBot="1" x14ac:dyDescent="0.25">
      <c r="A362" s="94"/>
      <c r="B362" s="94"/>
      <c r="C362" s="94"/>
      <c r="D362" s="94"/>
      <c r="E362" s="118"/>
      <c r="F362" s="125"/>
      <c r="G362" s="125"/>
      <c r="H362" s="125"/>
      <c r="I362" s="125"/>
      <c r="J362" s="501"/>
      <c r="K362" s="504"/>
      <c r="L362" s="504"/>
      <c r="M362" s="504"/>
      <c r="N362" s="504"/>
      <c r="O362" s="502"/>
      <c r="P362" s="501"/>
      <c r="Q362" s="45"/>
      <c r="R362" s="44"/>
    </row>
    <row r="363" spans="1:18" ht="106.5" customHeight="1" thickTop="1" thickBot="1" x14ac:dyDescent="0.25">
      <c r="A363" s="483" t="s">
        <v>780</v>
      </c>
      <c r="B363" s="483" t="s">
        <v>713</v>
      </c>
      <c r="C363" s="469"/>
      <c r="D363" s="483" t="s">
        <v>757</v>
      </c>
      <c r="E363" s="485">
        <f t="shared" ref="E363:P363" si="295">E364+E367</f>
        <v>300000</v>
      </c>
      <c r="F363" s="485">
        <f t="shared" si="295"/>
        <v>300000</v>
      </c>
      <c r="G363" s="485">
        <f t="shared" si="295"/>
        <v>0</v>
      </c>
      <c r="H363" s="485">
        <f t="shared" si="295"/>
        <v>0</v>
      </c>
      <c r="I363" s="485">
        <f t="shared" si="295"/>
        <v>0</v>
      </c>
      <c r="J363" s="485">
        <f t="shared" si="295"/>
        <v>22973938</v>
      </c>
      <c r="K363" s="485">
        <f t="shared" si="295"/>
        <v>22973938</v>
      </c>
      <c r="L363" s="485">
        <f t="shared" si="295"/>
        <v>0</v>
      </c>
      <c r="M363" s="485">
        <f t="shared" si="295"/>
        <v>0</v>
      </c>
      <c r="N363" s="485">
        <f t="shared" si="295"/>
        <v>0</v>
      </c>
      <c r="O363" s="485">
        <f t="shared" si="295"/>
        <v>22973938</v>
      </c>
      <c r="P363" s="485">
        <f t="shared" si="295"/>
        <v>23273938</v>
      </c>
      <c r="Q363" s="43"/>
      <c r="R363" s="44"/>
    </row>
    <row r="364" spans="1:18" ht="109.5" customHeight="1" thickTop="1" thickBot="1" x14ac:dyDescent="0.25">
      <c r="A364" s="496" t="s">
        <v>781</v>
      </c>
      <c r="B364" s="496" t="s">
        <v>765</v>
      </c>
      <c r="C364" s="496"/>
      <c r="D364" s="496" t="s">
        <v>1711</v>
      </c>
      <c r="E364" s="495">
        <f>E365</f>
        <v>0</v>
      </c>
      <c r="F364" s="495">
        <f t="shared" ref="F364:P364" si="296">F365</f>
        <v>0</v>
      </c>
      <c r="G364" s="495">
        <f t="shared" si="296"/>
        <v>0</v>
      </c>
      <c r="H364" s="495">
        <f t="shared" si="296"/>
        <v>0</v>
      </c>
      <c r="I364" s="495">
        <f t="shared" si="296"/>
        <v>0</v>
      </c>
      <c r="J364" s="495">
        <f t="shared" si="296"/>
        <v>22973938</v>
      </c>
      <c r="K364" s="495">
        <f t="shared" si="296"/>
        <v>22973938</v>
      </c>
      <c r="L364" s="495">
        <f t="shared" si="296"/>
        <v>0</v>
      </c>
      <c r="M364" s="495">
        <f t="shared" si="296"/>
        <v>0</v>
      </c>
      <c r="N364" s="495">
        <f t="shared" si="296"/>
        <v>0</v>
      </c>
      <c r="O364" s="495">
        <f t="shared" si="296"/>
        <v>22973938</v>
      </c>
      <c r="P364" s="495">
        <f t="shared" si="296"/>
        <v>22973938</v>
      </c>
      <c r="Q364" s="43"/>
      <c r="R364" s="44"/>
    </row>
    <row r="365" spans="1:18" ht="197.25" customHeight="1" thickTop="1" thickBot="1" x14ac:dyDescent="0.3">
      <c r="A365" s="469" t="s">
        <v>307</v>
      </c>
      <c r="B365" s="469" t="s">
        <v>308</v>
      </c>
      <c r="C365" s="469" t="s">
        <v>165</v>
      </c>
      <c r="D365" s="469" t="s">
        <v>1525</v>
      </c>
      <c r="E365" s="118"/>
      <c r="F365" s="125"/>
      <c r="G365" s="125"/>
      <c r="H365" s="125"/>
      <c r="I365" s="125"/>
      <c r="J365" s="485">
        <f t="shared" si="271"/>
        <v>22973938</v>
      </c>
      <c r="K365" s="487">
        <f>(10900000)+12073938</f>
        <v>22973938</v>
      </c>
      <c r="L365" s="487"/>
      <c r="M365" s="487"/>
      <c r="N365" s="487"/>
      <c r="O365" s="488">
        <f>K365</f>
        <v>22973938</v>
      </c>
      <c r="P365" s="485">
        <f t="shared" si="272"/>
        <v>22973938</v>
      </c>
      <c r="Q365" s="151"/>
      <c r="R365" s="44"/>
    </row>
    <row r="366" spans="1:18" ht="48" hidden="1" thickTop="1" thickBot="1" x14ac:dyDescent="0.25">
      <c r="A366" s="39" t="s">
        <v>426</v>
      </c>
      <c r="B366" s="39" t="s">
        <v>341</v>
      </c>
      <c r="C366" s="39" t="s">
        <v>165</v>
      </c>
      <c r="D366" s="39" t="s">
        <v>256</v>
      </c>
      <c r="E366" s="40">
        <f>F366</f>
        <v>0</v>
      </c>
      <c r="F366" s="41"/>
      <c r="G366" s="41"/>
      <c r="H366" s="41"/>
      <c r="I366" s="41"/>
      <c r="J366" s="40">
        <f t="shared" si="271"/>
        <v>0</v>
      </c>
      <c r="K366" s="41">
        <v>0</v>
      </c>
      <c r="L366" s="41"/>
      <c r="M366" s="41"/>
      <c r="N366" s="41"/>
      <c r="O366" s="42">
        <f>K366</f>
        <v>0</v>
      </c>
      <c r="P366" s="40">
        <f t="shared" si="272"/>
        <v>0</v>
      </c>
      <c r="Q366" s="18"/>
      <c r="R366" s="44"/>
    </row>
    <row r="367" spans="1:18" ht="115.5" customHeight="1" thickTop="1" thickBot="1" x14ac:dyDescent="0.25">
      <c r="A367" s="496" t="s">
        <v>925</v>
      </c>
      <c r="B367" s="496" t="s">
        <v>659</v>
      </c>
      <c r="C367" s="496"/>
      <c r="D367" s="496" t="s">
        <v>657</v>
      </c>
      <c r="E367" s="530">
        <f>E368</f>
        <v>300000</v>
      </c>
      <c r="F367" s="530">
        <f>F368</f>
        <v>300000</v>
      </c>
      <c r="G367" s="530">
        <f>G368</f>
        <v>0</v>
      </c>
      <c r="H367" s="530">
        <f>H368</f>
        <v>0</v>
      </c>
      <c r="I367" s="530">
        <f>I368</f>
        <v>0</v>
      </c>
      <c r="J367" s="530">
        <f t="shared" ref="J367:O367" si="297">J368</f>
        <v>0</v>
      </c>
      <c r="K367" s="530">
        <f t="shared" si="297"/>
        <v>0</v>
      </c>
      <c r="L367" s="530">
        <f t="shared" si="297"/>
        <v>0</v>
      </c>
      <c r="M367" s="530">
        <f t="shared" si="297"/>
        <v>0</v>
      </c>
      <c r="N367" s="530">
        <f t="shared" si="297"/>
        <v>0</v>
      </c>
      <c r="O367" s="530">
        <f t="shared" si="297"/>
        <v>0</v>
      </c>
      <c r="P367" s="530">
        <f>P368</f>
        <v>300000</v>
      </c>
      <c r="Q367" s="18"/>
      <c r="R367" s="44"/>
    </row>
    <row r="368" spans="1:18" ht="116.25" customHeight="1" thickTop="1" thickBot="1" x14ac:dyDescent="0.25">
      <c r="A368" s="481" t="s">
        <v>926</v>
      </c>
      <c r="B368" s="481" t="s">
        <v>662</v>
      </c>
      <c r="C368" s="481"/>
      <c r="D368" s="481" t="s">
        <v>660</v>
      </c>
      <c r="E368" s="697">
        <f>E369+E371</f>
        <v>300000</v>
      </c>
      <c r="F368" s="697">
        <f t="shared" ref="F368:P368" si="298">F369+F371</f>
        <v>300000</v>
      </c>
      <c r="G368" s="697">
        <f t="shared" si="298"/>
        <v>0</v>
      </c>
      <c r="H368" s="697">
        <f t="shared" si="298"/>
        <v>0</v>
      </c>
      <c r="I368" s="697">
        <f t="shared" si="298"/>
        <v>0</v>
      </c>
      <c r="J368" s="697">
        <f t="shared" si="298"/>
        <v>0</v>
      </c>
      <c r="K368" s="697">
        <f t="shared" si="298"/>
        <v>0</v>
      </c>
      <c r="L368" s="697">
        <f t="shared" si="298"/>
        <v>0</v>
      </c>
      <c r="M368" s="697">
        <f t="shared" si="298"/>
        <v>0</v>
      </c>
      <c r="N368" s="697">
        <f t="shared" si="298"/>
        <v>0</v>
      </c>
      <c r="O368" s="697">
        <f t="shared" si="298"/>
        <v>0</v>
      </c>
      <c r="P368" s="697">
        <f t="shared" si="298"/>
        <v>300000</v>
      </c>
      <c r="Q368" s="18"/>
      <c r="R368" s="44"/>
    </row>
    <row r="369" spans="1:18" ht="184.5" hidden="1" thickTop="1" thickBot="1" x14ac:dyDescent="0.7">
      <c r="A369" s="803" t="s">
        <v>927</v>
      </c>
      <c r="B369" s="803" t="s">
        <v>329</v>
      </c>
      <c r="C369" s="803" t="s">
        <v>165</v>
      </c>
      <c r="D369" s="152" t="s">
        <v>429</v>
      </c>
      <c r="E369" s="804">
        <f t="shared" ref="E369" si="299">F369</f>
        <v>0</v>
      </c>
      <c r="F369" s="796"/>
      <c r="G369" s="796"/>
      <c r="H369" s="796"/>
      <c r="I369" s="796"/>
      <c r="J369" s="804">
        <f t="shared" ref="J369" si="300">L369+O369</f>
        <v>0</v>
      </c>
      <c r="K369" s="796"/>
      <c r="L369" s="796"/>
      <c r="M369" s="796"/>
      <c r="N369" s="796"/>
      <c r="O369" s="797">
        <f>K369</f>
        <v>0</v>
      </c>
      <c r="P369" s="802">
        <f>E369+J369</f>
        <v>0</v>
      </c>
      <c r="Q369" s="18"/>
      <c r="R369" s="44"/>
    </row>
    <row r="370" spans="1:18" ht="93" hidden="1" thickTop="1" thickBot="1" x14ac:dyDescent="0.25">
      <c r="A370" s="803"/>
      <c r="B370" s="803"/>
      <c r="C370" s="803"/>
      <c r="D370" s="153" t="s">
        <v>430</v>
      </c>
      <c r="E370" s="804"/>
      <c r="F370" s="796"/>
      <c r="G370" s="796"/>
      <c r="H370" s="796"/>
      <c r="I370" s="796"/>
      <c r="J370" s="804"/>
      <c r="K370" s="796"/>
      <c r="L370" s="796"/>
      <c r="M370" s="796"/>
      <c r="N370" s="796"/>
      <c r="O370" s="797"/>
      <c r="P370" s="802"/>
      <c r="Q370" s="18"/>
      <c r="R370" s="44"/>
    </row>
    <row r="371" spans="1:18" ht="106.5" customHeight="1" thickTop="1" thickBot="1" x14ac:dyDescent="0.25">
      <c r="A371" s="469" t="s">
        <v>1073</v>
      </c>
      <c r="B371" s="469" t="s">
        <v>251</v>
      </c>
      <c r="C371" s="469" t="s">
        <v>165</v>
      </c>
      <c r="D371" s="696" t="s">
        <v>249</v>
      </c>
      <c r="E371" s="471">
        <f>F371+I371</f>
        <v>300000</v>
      </c>
      <c r="F371" s="487">
        <v>300000</v>
      </c>
      <c r="G371" s="487"/>
      <c r="H371" s="487"/>
      <c r="I371" s="487"/>
      <c r="J371" s="485">
        <f t="shared" ref="J371" si="301">L371+O371</f>
        <v>0</v>
      </c>
      <c r="K371" s="487"/>
      <c r="L371" s="487"/>
      <c r="M371" s="487"/>
      <c r="N371" s="487"/>
      <c r="O371" s="488">
        <f>K371</f>
        <v>0</v>
      </c>
      <c r="P371" s="485">
        <f t="shared" ref="P371" si="302">E371+J371</f>
        <v>300000</v>
      </c>
      <c r="Q371" s="18"/>
      <c r="R371" s="44"/>
    </row>
    <row r="372" spans="1:18" ht="91.5" thickTop="1" thickBot="1" x14ac:dyDescent="0.25">
      <c r="A372" s="514" t="s">
        <v>155</v>
      </c>
      <c r="B372" s="514"/>
      <c r="C372" s="514"/>
      <c r="D372" s="515" t="s">
        <v>850</v>
      </c>
      <c r="E372" s="516">
        <f>E373</f>
        <v>12755783</v>
      </c>
      <c r="F372" s="517">
        <f t="shared" ref="F372:G372" si="303">F373</f>
        <v>12755783</v>
      </c>
      <c r="G372" s="517">
        <f t="shared" si="303"/>
        <v>9665347</v>
      </c>
      <c r="H372" s="517">
        <f>H373</f>
        <v>383080</v>
      </c>
      <c r="I372" s="517">
        <f t="shared" ref="I372" si="304">I373</f>
        <v>0</v>
      </c>
      <c r="J372" s="516">
        <f>J373</f>
        <v>1240000</v>
      </c>
      <c r="K372" s="517">
        <f>K373</f>
        <v>1240000</v>
      </c>
      <c r="L372" s="517">
        <f>L373</f>
        <v>0</v>
      </c>
      <c r="M372" s="517">
        <f t="shared" ref="M372" si="305">M373</f>
        <v>0</v>
      </c>
      <c r="N372" s="517">
        <f>N373</f>
        <v>0</v>
      </c>
      <c r="O372" s="516">
        <f>O373</f>
        <v>1240000</v>
      </c>
      <c r="P372" s="517">
        <f t="shared" ref="P372" si="306">P373</f>
        <v>13995783</v>
      </c>
      <c r="Q372" s="18"/>
    </row>
    <row r="373" spans="1:18" ht="148.5" customHeight="1" thickTop="1" thickBot="1" x14ac:dyDescent="0.25">
      <c r="A373" s="511" t="s">
        <v>156</v>
      </c>
      <c r="B373" s="511"/>
      <c r="C373" s="511"/>
      <c r="D373" s="512" t="s">
        <v>851</v>
      </c>
      <c r="E373" s="513">
        <f>E374+E378</f>
        <v>12755783</v>
      </c>
      <c r="F373" s="513">
        <f>F374+F378</f>
        <v>12755783</v>
      </c>
      <c r="G373" s="513">
        <f>G374+G378</f>
        <v>9665347</v>
      </c>
      <c r="H373" s="513">
        <f>H374+H378</f>
        <v>383080</v>
      </c>
      <c r="I373" s="513">
        <f>I374+I378</f>
        <v>0</v>
      </c>
      <c r="J373" s="513">
        <f>L373+O373</f>
        <v>1240000</v>
      </c>
      <c r="K373" s="513">
        <f>K374+K378</f>
        <v>1240000</v>
      </c>
      <c r="L373" s="513">
        <f>L374+L378</f>
        <v>0</v>
      </c>
      <c r="M373" s="513">
        <f>M374+M378</f>
        <v>0</v>
      </c>
      <c r="N373" s="513">
        <f>N374+N378</f>
        <v>0</v>
      </c>
      <c r="O373" s="513">
        <f>O374+O378</f>
        <v>1240000</v>
      </c>
      <c r="P373" s="513">
        <f>E373+J373</f>
        <v>13995783</v>
      </c>
      <c r="Q373" s="546" t="b">
        <f>P373=P375+P380+P381+P377</f>
        <v>1</v>
      </c>
      <c r="R373" s="44"/>
    </row>
    <row r="374" spans="1:18" ht="90.75" customHeight="1" thickTop="1" thickBot="1" x14ac:dyDescent="0.25">
      <c r="A374" s="239" t="s">
        <v>783</v>
      </c>
      <c r="B374" s="239" t="s">
        <v>652</v>
      </c>
      <c r="C374" s="239"/>
      <c r="D374" s="483" t="s">
        <v>653</v>
      </c>
      <c r="E374" s="501">
        <f>SUM(E375:E377)</f>
        <v>12755783</v>
      </c>
      <c r="F374" s="501">
        <f t="shared" ref="F374:N374" si="307">SUM(F375:F377)</f>
        <v>12755783</v>
      </c>
      <c r="G374" s="501">
        <f t="shared" si="307"/>
        <v>9665347</v>
      </c>
      <c r="H374" s="501">
        <f t="shared" si="307"/>
        <v>383080</v>
      </c>
      <c r="I374" s="501">
        <f t="shared" si="307"/>
        <v>0</v>
      </c>
      <c r="J374" s="501">
        <f t="shared" si="307"/>
        <v>0</v>
      </c>
      <c r="K374" s="501">
        <f t="shared" si="307"/>
        <v>0</v>
      </c>
      <c r="L374" s="501">
        <f t="shared" si="307"/>
        <v>0</v>
      </c>
      <c r="M374" s="501">
        <f t="shared" si="307"/>
        <v>0</v>
      </c>
      <c r="N374" s="501">
        <f t="shared" si="307"/>
        <v>0</v>
      </c>
      <c r="O374" s="501">
        <f>SUM(O375:O377)</f>
        <v>0</v>
      </c>
      <c r="P374" s="501">
        <f>SUM(P375:P377)</f>
        <v>12755783</v>
      </c>
      <c r="Q374" s="45"/>
      <c r="R374" s="44"/>
    </row>
    <row r="375" spans="1:18" ht="149.25" customHeight="1" thickTop="1" thickBot="1" x14ac:dyDescent="0.25">
      <c r="A375" s="94" t="s">
        <v>408</v>
      </c>
      <c r="B375" s="94" t="s">
        <v>231</v>
      </c>
      <c r="C375" s="94" t="s">
        <v>229</v>
      </c>
      <c r="D375" s="469" t="s">
        <v>1515</v>
      </c>
      <c r="E375" s="471">
        <f>F375+I375</f>
        <v>12655883</v>
      </c>
      <c r="F375" s="504">
        <f>(12580883)+30000+25000+20000</f>
        <v>12655883</v>
      </c>
      <c r="G375" s="504">
        <v>9665347</v>
      </c>
      <c r="H375" s="504">
        <v>383080</v>
      </c>
      <c r="I375" s="125"/>
      <c r="J375" s="501">
        <f>L375+O375</f>
        <v>0</v>
      </c>
      <c r="K375" s="125"/>
      <c r="L375" s="125"/>
      <c r="M375" s="125"/>
      <c r="N375" s="125"/>
      <c r="O375" s="502">
        <f>K375</f>
        <v>0</v>
      </c>
      <c r="P375" s="501">
        <f>E375+J375</f>
        <v>12655883</v>
      </c>
      <c r="Q375" s="45"/>
      <c r="R375" s="44"/>
    </row>
    <row r="376" spans="1:18" ht="93" hidden="1" thickTop="1" thickBot="1" x14ac:dyDescent="0.25">
      <c r="A376" s="119" t="s">
        <v>604</v>
      </c>
      <c r="B376" s="119" t="s">
        <v>352</v>
      </c>
      <c r="C376" s="119" t="s">
        <v>598</v>
      </c>
      <c r="D376" s="119" t="s">
        <v>599</v>
      </c>
      <c r="E376" s="142">
        <f>F376</f>
        <v>0</v>
      </c>
      <c r="F376" s="120"/>
      <c r="G376" s="120"/>
      <c r="H376" s="120"/>
      <c r="I376" s="120"/>
      <c r="J376" s="118">
        <f t="shared" ref="J376:J377" si="308">L376+O376</f>
        <v>0</v>
      </c>
      <c r="K376" s="120"/>
      <c r="L376" s="121"/>
      <c r="M376" s="121"/>
      <c r="N376" s="121"/>
      <c r="O376" s="123">
        <f t="shared" ref="O376:O377" si="309">K376</f>
        <v>0</v>
      </c>
      <c r="P376" s="118">
        <f t="shared" ref="P376" si="310">+J376+E376</f>
        <v>0</v>
      </c>
      <c r="Q376" s="45"/>
      <c r="R376" s="44"/>
    </row>
    <row r="377" spans="1:18" ht="96.75" customHeight="1" thickTop="1" thickBot="1" x14ac:dyDescent="0.25">
      <c r="A377" s="94" t="s">
        <v>1129</v>
      </c>
      <c r="B377" s="94" t="s">
        <v>42</v>
      </c>
      <c r="C377" s="94" t="s">
        <v>41</v>
      </c>
      <c r="D377" s="94" t="s">
        <v>242</v>
      </c>
      <c r="E377" s="471">
        <f>F377+I377</f>
        <v>99900</v>
      </c>
      <c r="F377" s="504">
        <v>99900</v>
      </c>
      <c r="G377" s="125"/>
      <c r="H377" s="125"/>
      <c r="I377" s="125"/>
      <c r="J377" s="501">
        <f t="shared" si="308"/>
        <v>0</v>
      </c>
      <c r="K377" s="504"/>
      <c r="L377" s="504"/>
      <c r="M377" s="504"/>
      <c r="N377" s="504"/>
      <c r="O377" s="502">
        <f t="shared" si="309"/>
        <v>0</v>
      </c>
      <c r="P377" s="501">
        <f>E377+J377</f>
        <v>99900</v>
      </c>
      <c r="Q377" s="45"/>
      <c r="R377" s="44"/>
    </row>
    <row r="378" spans="1:18" ht="87.75" customHeight="1" thickTop="1" thickBot="1" x14ac:dyDescent="0.25">
      <c r="A378" s="239" t="s">
        <v>865</v>
      </c>
      <c r="B378" s="239" t="s">
        <v>713</v>
      </c>
      <c r="C378" s="94"/>
      <c r="D378" s="239" t="s">
        <v>757</v>
      </c>
      <c r="E378" s="501">
        <f>E379</f>
        <v>0</v>
      </c>
      <c r="F378" s="501">
        <f t="shared" ref="F378:P378" si="311">F379</f>
        <v>0</v>
      </c>
      <c r="G378" s="501">
        <f t="shared" si="311"/>
        <v>0</v>
      </c>
      <c r="H378" s="501">
        <f t="shared" si="311"/>
        <v>0</v>
      </c>
      <c r="I378" s="501">
        <f t="shared" si="311"/>
        <v>0</v>
      </c>
      <c r="J378" s="501">
        <f t="shared" si="311"/>
        <v>1240000</v>
      </c>
      <c r="K378" s="501">
        <f t="shared" si="311"/>
        <v>1240000</v>
      </c>
      <c r="L378" s="501">
        <f t="shared" si="311"/>
        <v>0</v>
      </c>
      <c r="M378" s="501">
        <f t="shared" si="311"/>
        <v>0</v>
      </c>
      <c r="N378" s="501">
        <f t="shared" si="311"/>
        <v>0</v>
      </c>
      <c r="O378" s="501">
        <f t="shared" si="311"/>
        <v>1240000</v>
      </c>
      <c r="P378" s="501">
        <f t="shared" si="311"/>
        <v>1240000</v>
      </c>
      <c r="Q378" s="45"/>
      <c r="R378" s="44"/>
    </row>
    <row r="379" spans="1:18" ht="147" customHeight="1" thickTop="1" thickBot="1" x14ac:dyDescent="0.25">
      <c r="A379" s="508" t="s">
        <v>866</v>
      </c>
      <c r="B379" s="508" t="s">
        <v>765</v>
      </c>
      <c r="C379" s="508"/>
      <c r="D379" s="496" t="s">
        <v>1711</v>
      </c>
      <c r="E379" s="524">
        <f>SUM(E380:E382)</f>
        <v>0</v>
      </c>
      <c r="F379" s="524">
        <f t="shared" ref="F379:P379" si="312">SUM(F380:F382)</f>
        <v>0</v>
      </c>
      <c r="G379" s="524">
        <f t="shared" si="312"/>
        <v>0</v>
      </c>
      <c r="H379" s="524">
        <f t="shared" si="312"/>
        <v>0</v>
      </c>
      <c r="I379" s="524">
        <f t="shared" si="312"/>
        <v>0</v>
      </c>
      <c r="J379" s="524">
        <f t="shared" si="312"/>
        <v>1240000</v>
      </c>
      <c r="K379" s="524">
        <f t="shared" si="312"/>
        <v>1240000</v>
      </c>
      <c r="L379" s="524">
        <f t="shared" si="312"/>
        <v>0</v>
      </c>
      <c r="M379" s="524">
        <f t="shared" si="312"/>
        <v>0</v>
      </c>
      <c r="N379" s="524">
        <f t="shared" si="312"/>
        <v>0</v>
      </c>
      <c r="O379" s="524">
        <f t="shared" si="312"/>
        <v>1240000</v>
      </c>
      <c r="P379" s="524">
        <f t="shared" si="312"/>
        <v>1240000</v>
      </c>
      <c r="Q379" s="45"/>
      <c r="R379" s="44"/>
    </row>
    <row r="380" spans="1:18" ht="182.25" customHeight="1" thickTop="1" thickBot="1" x14ac:dyDescent="0.25">
      <c r="A380" s="94" t="s">
        <v>1524</v>
      </c>
      <c r="B380" s="94" t="s">
        <v>308</v>
      </c>
      <c r="C380" s="94" t="s">
        <v>165</v>
      </c>
      <c r="D380" s="94" t="s">
        <v>1525</v>
      </c>
      <c r="E380" s="521"/>
      <c r="F380" s="520"/>
      <c r="G380" s="520"/>
      <c r="H380" s="520"/>
      <c r="I380" s="520"/>
      <c r="J380" s="501">
        <f t="shared" ref="J380:J382" si="313">L380+O380</f>
        <v>1140000</v>
      </c>
      <c r="K380" s="520">
        <f>(500000)+640000</f>
        <v>1140000</v>
      </c>
      <c r="L380" s="522"/>
      <c r="M380" s="522"/>
      <c r="N380" s="522"/>
      <c r="O380" s="502">
        <f t="shared" ref="O380:O382" si="314">K380</f>
        <v>1140000</v>
      </c>
      <c r="P380" s="501">
        <f t="shared" ref="P380:P382" si="315">+J380+E380</f>
        <v>1140000</v>
      </c>
      <c r="Q380" s="45"/>
      <c r="R380" s="44"/>
    </row>
    <row r="381" spans="1:18" ht="127.5" customHeight="1" thickTop="1" thickBot="1" x14ac:dyDescent="0.25">
      <c r="A381" s="94" t="s">
        <v>867</v>
      </c>
      <c r="B381" s="94" t="s">
        <v>868</v>
      </c>
      <c r="C381" s="94" t="s">
        <v>298</v>
      </c>
      <c r="D381" s="94" t="s">
        <v>869</v>
      </c>
      <c r="E381" s="521"/>
      <c r="F381" s="520"/>
      <c r="G381" s="520"/>
      <c r="H381" s="520"/>
      <c r="I381" s="520"/>
      <c r="J381" s="501">
        <f t="shared" si="313"/>
        <v>100000</v>
      </c>
      <c r="K381" s="520">
        <f>(0)+100000</f>
        <v>100000</v>
      </c>
      <c r="L381" s="522"/>
      <c r="M381" s="522"/>
      <c r="N381" s="522"/>
      <c r="O381" s="502">
        <f t="shared" si="314"/>
        <v>100000</v>
      </c>
      <c r="P381" s="501">
        <f t="shared" si="315"/>
        <v>100000</v>
      </c>
      <c r="Q381" s="45"/>
      <c r="R381" s="44"/>
    </row>
    <row r="382" spans="1:18" ht="136.5" hidden="1" customHeight="1" thickTop="1" thickBot="1" x14ac:dyDescent="0.25">
      <c r="A382" s="94" t="s">
        <v>1366</v>
      </c>
      <c r="B382" s="94" t="s">
        <v>1368</v>
      </c>
      <c r="C382" s="94" t="s">
        <v>298</v>
      </c>
      <c r="D382" s="94" t="s">
        <v>1367</v>
      </c>
      <c r="E382" s="521"/>
      <c r="F382" s="520"/>
      <c r="G382" s="520"/>
      <c r="H382" s="520"/>
      <c r="I382" s="520"/>
      <c r="J382" s="501">
        <f t="shared" si="313"/>
        <v>0</v>
      </c>
      <c r="K382" s="520"/>
      <c r="L382" s="522"/>
      <c r="M382" s="522"/>
      <c r="N382" s="522"/>
      <c r="O382" s="502">
        <f t="shared" si="314"/>
        <v>0</v>
      </c>
      <c r="P382" s="501">
        <f t="shared" si="315"/>
        <v>0</v>
      </c>
      <c r="Q382" s="45"/>
      <c r="R382" s="44"/>
    </row>
    <row r="383" spans="1:18" ht="120" customHeight="1" thickTop="1" thickBot="1" x14ac:dyDescent="0.25">
      <c r="A383" s="514" t="s">
        <v>433</v>
      </c>
      <c r="B383" s="514"/>
      <c r="C383" s="514"/>
      <c r="D383" s="515" t="s">
        <v>435</v>
      </c>
      <c r="E383" s="516">
        <f>E384</f>
        <v>214248910.47999999</v>
      </c>
      <c r="F383" s="517">
        <f t="shared" ref="F383:G383" si="316">F384</f>
        <v>213913655.47999999</v>
      </c>
      <c r="G383" s="517">
        <f t="shared" si="316"/>
        <v>6665180</v>
      </c>
      <c r="H383" s="517">
        <f>H384</f>
        <v>222771</v>
      </c>
      <c r="I383" s="517">
        <f t="shared" ref="I383" si="317">I384</f>
        <v>335255</v>
      </c>
      <c r="J383" s="516">
        <f>J384</f>
        <v>3000000</v>
      </c>
      <c r="K383" s="517">
        <f>K384</f>
        <v>3000000</v>
      </c>
      <c r="L383" s="517">
        <f>L384</f>
        <v>0</v>
      </c>
      <c r="M383" s="517">
        <f t="shared" ref="M383" si="318">M384</f>
        <v>0</v>
      </c>
      <c r="N383" s="517">
        <f>N384</f>
        <v>0</v>
      </c>
      <c r="O383" s="516">
        <f>O384</f>
        <v>3000000</v>
      </c>
      <c r="P383" s="517">
        <f t="shared" ref="P383" si="319">P384</f>
        <v>217248910.47999999</v>
      </c>
      <c r="Q383" s="18"/>
    </row>
    <row r="384" spans="1:18" ht="120" customHeight="1" thickTop="1" thickBot="1" x14ac:dyDescent="0.25">
      <c r="A384" s="511" t="s">
        <v>434</v>
      </c>
      <c r="B384" s="511"/>
      <c r="C384" s="511"/>
      <c r="D384" s="512" t="s">
        <v>436</v>
      </c>
      <c r="E384" s="513">
        <f t="shared" ref="E384:O384" si="320">E385+E388+E400+E403</f>
        <v>214248910.47999999</v>
      </c>
      <c r="F384" s="513">
        <f t="shared" si="320"/>
        <v>213913655.47999999</v>
      </c>
      <c r="G384" s="513">
        <f t="shared" si="320"/>
        <v>6665180</v>
      </c>
      <c r="H384" s="513">
        <f t="shared" si="320"/>
        <v>222771</v>
      </c>
      <c r="I384" s="513">
        <f t="shared" si="320"/>
        <v>335255</v>
      </c>
      <c r="J384" s="513">
        <f t="shared" si="320"/>
        <v>3000000</v>
      </c>
      <c r="K384" s="513">
        <f t="shared" si="320"/>
        <v>3000000</v>
      </c>
      <c r="L384" s="513">
        <f t="shared" si="320"/>
        <v>0</v>
      </c>
      <c r="M384" s="513">
        <f t="shared" si="320"/>
        <v>0</v>
      </c>
      <c r="N384" s="513">
        <f t="shared" si="320"/>
        <v>0</v>
      </c>
      <c r="O384" s="513">
        <f t="shared" si="320"/>
        <v>3000000</v>
      </c>
      <c r="P384" s="513">
        <f>E384+J384</f>
        <v>217248910.47999999</v>
      </c>
      <c r="Q384" s="546" t="b">
        <f>P384=P386+P390+P393+P395+P402+P397+P396+P404</f>
        <v>1</v>
      </c>
      <c r="R384" s="44"/>
    </row>
    <row r="385" spans="1:18" ht="125.25" customHeight="1" thickTop="1" thickBot="1" x14ac:dyDescent="0.25">
      <c r="A385" s="483" t="s">
        <v>784</v>
      </c>
      <c r="B385" s="483" t="s">
        <v>652</v>
      </c>
      <c r="C385" s="483"/>
      <c r="D385" s="483" t="s">
        <v>653</v>
      </c>
      <c r="E385" s="485">
        <f>SUM(E386:E387)</f>
        <v>12035617</v>
      </c>
      <c r="F385" s="485">
        <f t="shared" ref="F385:P385" si="321">SUM(F386:F387)</f>
        <v>11980362</v>
      </c>
      <c r="G385" s="485">
        <f t="shared" si="321"/>
        <v>6665180</v>
      </c>
      <c r="H385" s="485">
        <f t="shared" si="321"/>
        <v>222771</v>
      </c>
      <c r="I385" s="485">
        <f t="shared" si="321"/>
        <v>55255</v>
      </c>
      <c r="J385" s="485">
        <f t="shared" si="321"/>
        <v>0</v>
      </c>
      <c r="K385" s="485">
        <f t="shared" si="321"/>
        <v>0</v>
      </c>
      <c r="L385" s="485">
        <f t="shared" si="321"/>
        <v>0</v>
      </c>
      <c r="M385" s="485">
        <f t="shared" si="321"/>
        <v>0</v>
      </c>
      <c r="N385" s="485">
        <f t="shared" si="321"/>
        <v>0</v>
      </c>
      <c r="O385" s="485">
        <f t="shared" si="321"/>
        <v>0</v>
      </c>
      <c r="P385" s="485">
        <f t="shared" si="321"/>
        <v>12035617</v>
      </c>
      <c r="Q385" s="45"/>
      <c r="R385" s="44"/>
    </row>
    <row r="386" spans="1:18" ht="165" customHeight="1" thickTop="1" thickBot="1" x14ac:dyDescent="0.25">
      <c r="A386" s="469" t="s">
        <v>437</v>
      </c>
      <c r="B386" s="469" t="s">
        <v>231</v>
      </c>
      <c r="C386" s="469" t="s">
        <v>229</v>
      </c>
      <c r="D386" s="469" t="s">
        <v>1515</v>
      </c>
      <c r="E386" s="471">
        <f>F386+I386</f>
        <v>12035617</v>
      </c>
      <c r="F386" s="487">
        <f>12035617-55255</f>
        <v>11980362</v>
      </c>
      <c r="G386" s="487">
        <v>6665180</v>
      </c>
      <c r="H386" s="487">
        <v>222771</v>
      </c>
      <c r="I386" s="487">
        <v>55255</v>
      </c>
      <c r="J386" s="485">
        <f>L386+O386</f>
        <v>0</v>
      </c>
      <c r="K386" s="487"/>
      <c r="L386" s="487"/>
      <c r="M386" s="487"/>
      <c r="N386" s="487"/>
      <c r="O386" s="488">
        <f>K386</f>
        <v>0</v>
      </c>
      <c r="P386" s="485">
        <f>E386+J386</f>
        <v>12035617</v>
      </c>
      <c r="Q386" s="45"/>
      <c r="R386" s="44"/>
    </row>
    <row r="387" spans="1:18" ht="93" hidden="1" thickTop="1" thickBot="1" x14ac:dyDescent="0.25">
      <c r="A387" s="119" t="s">
        <v>605</v>
      </c>
      <c r="B387" s="119" t="s">
        <v>352</v>
      </c>
      <c r="C387" s="119" t="s">
        <v>598</v>
      </c>
      <c r="D387" s="119" t="s">
        <v>599</v>
      </c>
      <c r="E387" s="118">
        <f>F387</f>
        <v>0</v>
      </c>
      <c r="F387" s="125">
        <v>0</v>
      </c>
      <c r="G387" s="125"/>
      <c r="H387" s="125"/>
      <c r="I387" s="125"/>
      <c r="J387" s="118">
        <f t="shared" ref="J387" si="322">L387+O387</f>
        <v>0</v>
      </c>
      <c r="K387" s="125"/>
      <c r="L387" s="125"/>
      <c r="M387" s="125"/>
      <c r="N387" s="125"/>
      <c r="O387" s="123">
        <f t="shared" ref="O387" si="323">K387</f>
        <v>0</v>
      </c>
      <c r="P387" s="118">
        <f t="shared" ref="P387" si="324">+J387+E387</f>
        <v>0</v>
      </c>
      <c r="Q387" s="45"/>
      <c r="R387" s="44"/>
    </row>
    <row r="388" spans="1:18" ht="113.25" customHeight="1" thickTop="1" thickBot="1" x14ac:dyDescent="0.25">
      <c r="A388" s="239" t="s">
        <v>785</v>
      </c>
      <c r="B388" s="239" t="s">
        <v>713</v>
      </c>
      <c r="C388" s="94"/>
      <c r="D388" s="239" t="s">
        <v>757</v>
      </c>
      <c r="E388" s="501">
        <f>E391+E398+E389</f>
        <v>200643293.47999999</v>
      </c>
      <c r="F388" s="501">
        <f t="shared" ref="F388:P388" si="325">F391+F398+F389</f>
        <v>200643293.47999999</v>
      </c>
      <c r="G388" s="501">
        <f t="shared" si="325"/>
        <v>0</v>
      </c>
      <c r="H388" s="501">
        <f t="shared" si="325"/>
        <v>0</v>
      </c>
      <c r="I388" s="501">
        <f t="shared" si="325"/>
        <v>0</v>
      </c>
      <c r="J388" s="501">
        <f t="shared" si="325"/>
        <v>3000000</v>
      </c>
      <c r="K388" s="501">
        <f t="shared" si="325"/>
        <v>3000000</v>
      </c>
      <c r="L388" s="501">
        <f t="shared" si="325"/>
        <v>0</v>
      </c>
      <c r="M388" s="501">
        <f t="shared" si="325"/>
        <v>0</v>
      </c>
      <c r="N388" s="501">
        <f t="shared" si="325"/>
        <v>0</v>
      </c>
      <c r="O388" s="501">
        <f t="shared" si="325"/>
        <v>3000000</v>
      </c>
      <c r="P388" s="501">
        <f t="shared" si="325"/>
        <v>203643293.47999999</v>
      </c>
      <c r="Q388" s="45"/>
      <c r="R388" s="48"/>
    </row>
    <row r="389" spans="1:18" ht="156.75" hidden="1" customHeight="1" thickTop="1" thickBot="1" x14ac:dyDescent="0.25">
      <c r="A389" s="691" t="s">
        <v>1562</v>
      </c>
      <c r="B389" s="691" t="s">
        <v>765</v>
      </c>
      <c r="C389" s="691"/>
      <c r="D389" s="691" t="s">
        <v>1711</v>
      </c>
      <c r="E389" s="495">
        <f>E390</f>
        <v>0</v>
      </c>
      <c r="F389" s="495">
        <f t="shared" ref="F389:P389" si="326">F390</f>
        <v>0</v>
      </c>
      <c r="G389" s="495">
        <f t="shared" si="326"/>
        <v>0</v>
      </c>
      <c r="H389" s="495">
        <f t="shared" si="326"/>
        <v>0</v>
      </c>
      <c r="I389" s="495">
        <f t="shared" si="326"/>
        <v>0</v>
      </c>
      <c r="J389" s="495">
        <f t="shared" si="326"/>
        <v>0</v>
      </c>
      <c r="K389" s="495">
        <f t="shared" si="326"/>
        <v>0</v>
      </c>
      <c r="L389" s="495">
        <f t="shared" si="326"/>
        <v>0</v>
      </c>
      <c r="M389" s="495">
        <f t="shared" si="326"/>
        <v>0</v>
      </c>
      <c r="N389" s="495">
        <f t="shared" si="326"/>
        <v>0</v>
      </c>
      <c r="O389" s="495">
        <f t="shared" si="326"/>
        <v>0</v>
      </c>
      <c r="P389" s="495">
        <f t="shared" si="326"/>
        <v>0</v>
      </c>
      <c r="Q389" s="45"/>
      <c r="R389" s="48"/>
    </row>
    <row r="390" spans="1:18" ht="231.75" hidden="1" customHeight="1" thickTop="1" thickBot="1" x14ac:dyDescent="0.25">
      <c r="A390" s="692" t="s">
        <v>1563</v>
      </c>
      <c r="B390" s="692" t="s">
        <v>308</v>
      </c>
      <c r="C390" s="692" t="s">
        <v>165</v>
      </c>
      <c r="D390" s="692" t="s">
        <v>1525</v>
      </c>
      <c r="E390" s="471"/>
      <c r="F390" s="504"/>
      <c r="G390" s="125"/>
      <c r="H390" s="125"/>
      <c r="I390" s="125"/>
      <c r="J390" s="501">
        <f>L390+O390</f>
        <v>0</v>
      </c>
      <c r="K390" s="487">
        <f>(3000000)-3000000</f>
        <v>0</v>
      </c>
      <c r="L390" s="125"/>
      <c r="M390" s="125"/>
      <c r="N390" s="125"/>
      <c r="O390" s="502">
        <f>K390</f>
        <v>0</v>
      </c>
      <c r="P390" s="501">
        <f>E390+J390</f>
        <v>0</v>
      </c>
      <c r="Q390" s="45"/>
      <c r="R390" s="48"/>
    </row>
    <row r="391" spans="1:18" ht="135" customHeight="1" thickTop="1" thickBot="1" x14ac:dyDescent="0.25">
      <c r="A391" s="508" t="s">
        <v>786</v>
      </c>
      <c r="B391" s="508" t="s">
        <v>768</v>
      </c>
      <c r="C391" s="508"/>
      <c r="D391" s="508" t="s">
        <v>769</v>
      </c>
      <c r="E391" s="524">
        <f>E394+E397+E392</f>
        <v>200643293.47999999</v>
      </c>
      <c r="F391" s="524">
        <f t="shared" ref="F391:P391" si="327">F394+F397+F392</f>
        <v>200643293.47999999</v>
      </c>
      <c r="G391" s="524">
        <f t="shared" si="327"/>
        <v>0</v>
      </c>
      <c r="H391" s="524">
        <f t="shared" si="327"/>
        <v>0</v>
      </c>
      <c r="I391" s="524">
        <f t="shared" si="327"/>
        <v>0</v>
      </c>
      <c r="J391" s="524">
        <f t="shared" si="327"/>
        <v>3000000</v>
      </c>
      <c r="K391" s="524">
        <f t="shared" si="327"/>
        <v>3000000</v>
      </c>
      <c r="L391" s="524">
        <f t="shared" si="327"/>
        <v>0</v>
      </c>
      <c r="M391" s="524">
        <f t="shared" si="327"/>
        <v>0</v>
      </c>
      <c r="N391" s="524">
        <f t="shared" si="327"/>
        <v>0</v>
      </c>
      <c r="O391" s="524">
        <f t="shared" si="327"/>
        <v>3000000</v>
      </c>
      <c r="P391" s="524">
        <f t="shared" si="327"/>
        <v>203643293.47999999</v>
      </c>
      <c r="Q391" s="45"/>
      <c r="R391" s="48"/>
    </row>
    <row r="392" spans="1:18" ht="130.5" customHeight="1" thickTop="1" thickBot="1" x14ac:dyDescent="0.25">
      <c r="A392" s="518" t="s">
        <v>943</v>
      </c>
      <c r="B392" s="518" t="s">
        <v>944</v>
      </c>
      <c r="C392" s="131"/>
      <c r="D392" s="518" t="s">
        <v>942</v>
      </c>
      <c r="E392" s="519">
        <f>E393</f>
        <v>3100000</v>
      </c>
      <c r="F392" s="519">
        <f t="shared" ref="F392:P392" si="328">F393</f>
        <v>3100000</v>
      </c>
      <c r="G392" s="519">
        <f t="shared" si="328"/>
        <v>0</v>
      </c>
      <c r="H392" s="519">
        <f t="shared" si="328"/>
        <v>0</v>
      </c>
      <c r="I392" s="519">
        <f t="shared" si="328"/>
        <v>0</v>
      </c>
      <c r="J392" s="519">
        <f t="shared" si="328"/>
        <v>0</v>
      </c>
      <c r="K392" s="519">
        <f t="shared" si="328"/>
        <v>0</v>
      </c>
      <c r="L392" s="519">
        <f t="shared" si="328"/>
        <v>0</v>
      </c>
      <c r="M392" s="519">
        <f t="shared" si="328"/>
        <v>0</v>
      </c>
      <c r="N392" s="519">
        <f t="shared" si="328"/>
        <v>0</v>
      </c>
      <c r="O392" s="519">
        <f t="shared" si="328"/>
        <v>0</v>
      </c>
      <c r="P392" s="519">
        <f t="shared" si="328"/>
        <v>3100000</v>
      </c>
      <c r="Q392" s="45"/>
      <c r="R392" s="48"/>
    </row>
    <row r="393" spans="1:18" ht="89.25" customHeight="1" thickTop="1" thickBot="1" x14ac:dyDescent="0.25">
      <c r="A393" s="94" t="s">
        <v>452</v>
      </c>
      <c r="B393" s="94" t="s">
        <v>401</v>
      </c>
      <c r="C393" s="94" t="s">
        <v>402</v>
      </c>
      <c r="D393" s="94" t="s">
        <v>403</v>
      </c>
      <c r="E393" s="471">
        <f>F393+I393</f>
        <v>3100000</v>
      </c>
      <c r="F393" s="504">
        <f>(2600000)+500000</f>
        <v>3100000</v>
      </c>
      <c r="G393" s="125"/>
      <c r="H393" s="125"/>
      <c r="I393" s="125"/>
      <c r="J393" s="501">
        <f>L393+O393</f>
        <v>0</v>
      </c>
      <c r="K393" s="125"/>
      <c r="L393" s="125"/>
      <c r="M393" s="125"/>
      <c r="N393" s="125"/>
      <c r="O393" s="502">
        <f>K393</f>
        <v>0</v>
      </c>
      <c r="P393" s="501">
        <f>E393+J393</f>
        <v>3100000</v>
      </c>
      <c r="Q393" s="45"/>
      <c r="R393" s="48"/>
    </row>
    <row r="394" spans="1:18" ht="93" thickTop="1" thickBot="1" x14ac:dyDescent="0.25">
      <c r="A394" s="518" t="s">
        <v>787</v>
      </c>
      <c r="B394" s="518" t="s">
        <v>788</v>
      </c>
      <c r="C394" s="518"/>
      <c r="D394" s="518" t="s">
        <v>789</v>
      </c>
      <c r="E394" s="519">
        <f t="shared" ref="E394:P394" si="329">SUM(E395:E396)</f>
        <v>197518293.47999999</v>
      </c>
      <c r="F394" s="519">
        <f t="shared" si="329"/>
        <v>197518293.47999999</v>
      </c>
      <c r="G394" s="519">
        <f t="shared" si="329"/>
        <v>0</v>
      </c>
      <c r="H394" s="519">
        <f t="shared" si="329"/>
        <v>0</v>
      </c>
      <c r="I394" s="519">
        <f t="shared" si="329"/>
        <v>0</v>
      </c>
      <c r="J394" s="519">
        <f t="shared" si="329"/>
        <v>3000000</v>
      </c>
      <c r="K394" s="519">
        <f t="shared" si="329"/>
        <v>3000000</v>
      </c>
      <c r="L394" s="519">
        <f t="shared" si="329"/>
        <v>0</v>
      </c>
      <c r="M394" s="519">
        <f t="shared" si="329"/>
        <v>0</v>
      </c>
      <c r="N394" s="519">
        <f t="shared" si="329"/>
        <v>0</v>
      </c>
      <c r="O394" s="519">
        <f t="shared" si="329"/>
        <v>3000000</v>
      </c>
      <c r="P394" s="519">
        <f t="shared" si="329"/>
        <v>200518293.47999999</v>
      </c>
      <c r="Q394" s="45"/>
      <c r="R394" s="48"/>
    </row>
    <row r="395" spans="1:18" ht="80.25" customHeight="1" thickTop="1" thickBot="1" x14ac:dyDescent="0.25">
      <c r="A395" s="94" t="s">
        <v>453</v>
      </c>
      <c r="B395" s="94" t="s">
        <v>285</v>
      </c>
      <c r="C395" s="94" t="s">
        <v>1182</v>
      </c>
      <c r="D395" s="94" t="s">
        <v>286</v>
      </c>
      <c r="E395" s="471">
        <f>F395+I395</f>
        <v>197518293.47999999</v>
      </c>
      <c r="F395" s="504">
        <v>197518293.47999999</v>
      </c>
      <c r="G395" s="125"/>
      <c r="H395" s="125"/>
      <c r="I395" s="125"/>
      <c r="J395" s="501">
        <f>L395+O395</f>
        <v>0</v>
      </c>
      <c r="K395" s="125"/>
      <c r="L395" s="125"/>
      <c r="M395" s="125"/>
      <c r="N395" s="125"/>
      <c r="O395" s="502">
        <f>K395</f>
        <v>0</v>
      </c>
      <c r="P395" s="501">
        <f>E395+J395</f>
        <v>197518293.47999999</v>
      </c>
      <c r="Q395" s="45"/>
      <c r="R395" s="48"/>
    </row>
    <row r="396" spans="1:18" ht="132.75" customHeight="1" thickTop="1" thickBot="1" x14ac:dyDescent="0.25">
      <c r="A396" s="94" t="s">
        <v>1734</v>
      </c>
      <c r="B396" s="94" t="s">
        <v>1735</v>
      </c>
      <c r="C396" s="94" t="s">
        <v>1182</v>
      </c>
      <c r="D396" s="94" t="s">
        <v>1736</v>
      </c>
      <c r="E396" s="471">
        <f>F396+I396</f>
        <v>0</v>
      </c>
      <c r="F396" s="504"/>
      <c r="G396" s="125"/>
      <c r="H396" s="125"/>
      <c r="I396" s="125"/>
      <c r="J396" s="501">
        <f>L396+O396</f>
        <v>3000000</v>
      </c>
      <c r="K396" s="504">
        <v>3000000</v>
      </c>
      <c r="L396" s="125"/>
      <c r="M396" s="125"/>
      <c r="N396" s="125"/>
      <c r="O396" s="502">
        <f>K396</f>
        <v>3000000</v>
      </c>
      <c r="P396" s="501">
        <f>E396+J396</f>
        <v>3000000</v>
      </c>
      <c r="Q396" s="45"/>
      <c r="R396" s="48"/>
    </row>
    <row r="397" spans="1:18" ht="100.5" customHeight="1" thickTop="1" thickBot="1" x14ac:dyDescent="0.25">
      <c r="A397" s="94" t="s">
        <v>1012</v>
      </c>
      <c r="B397" s="94" t="s">
        <v>1013</v>
      </c>
      <c r="C397" s="94" t="s">
        <v>289</v>
      </c>
      <c r="D397" s="94" t="s">
        <v>1011</v>
      </c>
      <c r="E397" s="501">
        <f>F397</f>
        <v>25000</v>
      </c>
      <c r="F397" s="504">
        <v>25000</v>
      </c>
      <c r="G397" s="504"/>
      <c r="H397" s="504"/>
      <c r="I397" s="504"/>
      <c r="J397" s="501">
        <f>L397+O397</f>
        <v>0</v>
      </c>
      <c r="K397" s="504"/>
      <c r="L397" s="504"/>
      <c r="M397" s="504"/>
      <c r="N397" s="504"/>
      <c r="O397" s="502">
        <f>K397</f>
        <v>0</v>
      </c>
      <c r="P397" s="501">
        <f>E397+J397</f>
        <v>25000</v>
      </c>
      <c r="Q397" s="45"/>
      <c r="R397" s="48"/>
    </row>
    <row r="398" spans="1:18" ht="47.25" hidden="1" thickTop="1" thickBot="1" x14ac:dyDescent="0.25">
      <c r="A398" s="127" t="s">
        <v>1057</v>
      </c>
      <c r="B398" s="127" t="s">
        <v>659</v>
      </c>
      <c r="C398" s="127"/>
      <c r="D398" s="127" t="s">
        <v>657</v>
      </c>
      <c r="E398" s="128">
        <f>E399</f>
        <v>0</v>
      </c>
      <c r="F398" s="128">
        <f t="shared" ref="F398:P398" si="330">F399</f>
        <v>0</v>
      </c>
      <c r="G398" s="128">
        <f t="shared" si="330"/>
        <v>0</v>
      </c>
      <c r="H398" s="128">
        <f t="shared" si="330"/>
        <v>0</v>
      </c>
      <c r="I398" s="128">
        <f t="shared" si="330"/>
        <v>0</v>
      </c>
      <c r="J398" s="128">
        <f t="shared" si="330"/>
        <v>0</v>
      </c>
      <c r="K398" s="128">
        <f t="shared" si="330"/>
        <v>0</v>
      </c>
      <c r="L398" s="128">
        <f t="shared" si="330"/>
        <v>0</v>
      </c>
      <c r="M398" s="128">
        <f t="shared" si="330"/>
        <v>0</v>
      </c>
      <c r="N398" s="128">
        <f t="shared" si="330"/>
        <v>0</v>
      </c>
      <c r="O398" s="128">
        <f t="shared" si="330"/>
        <v>0</v>
      </c>
      <c r="P398" s="128">
        <f t="shared" si="330"/>
        <v>0</v>
      </c>
      <c r="Q398" s="45"/>
      <c r="R398" s="48"/>
    </row>
    <row r="399" spans="1:18" ht="48" hidden="1" thickTop="1" thickBot="1" x14ac:dyDescent="0.25">
      <c r="A399" s="119" t="s">
        <v>1058</v>
      </c>
      <c r="B399" s="119" t="s">
        <v>192</v>
      </c>
      <c r="C399" s="119" t="s">
        <v>165</v>
      </c>
      <c r="D399" s="119" t="s">
        <v>1059</v>
      </c>
      <c r="E399" s="118"/>
      <c r="F399" s="125">
        <v>0</v>
      </c>
      <c r="G399" s="125"/>
      <c r="H399" s="125"/>
      <c r="I399" s="125"/>
      <c r="J399" s="118">
        <f>L399+O399</f>
        <v>0</v>
      </c>
      <c r="K399" s="125"/>
      <c r="L399" s="125"/>
      <c r="M399" s="125"/>
      <c r="N399" s="125"/>
      <c r="O399" s="123">
        <f>K399</f>
        <v>0</v>
      </c>
      <c r="P399" s="118">
        <f>E399+J399</f>
        <v>0</v>
      </c>
      <c r="Q399" s="45"/>
      <c r="R399" s="48"/>
    </row>
    <row r="400" spans="1:18" ht="115.5" customHeight="1" thickTop="1" thickBot="1" x14ac:dyDescent="0.25">
      <c r="A400" s="239" t="s">
        <v>1098</v>
      </c>
      <c r="B400" s="239" t="s">
        <v>664</v>
      </c>
      <c r="C400" s="239"/>
      <c r="D400" s="239" t="s">
        <v>665</v>
      </c>
      <c r="E400" s="501">
        <f>E401</f>
        <v>1200000</v>
      </c>
      <c r="F400" s="501">
        <f t="shared" ref="F400:P401" si="331">F401</f>
        <v>1200000</v>
      </c>
      <c r="G400" s="501">
        <f t="shared" si="331"/>
        <v>0</v>
      </c>
      <c r="H400" s="501">
        <f t="shared" si="331"/>
        <v>0</v>
      </c>
      <c r="I400" s="501">
        <f t="shared" si="331"/>
        <v>0</v>
      </c>
      <c r="J400" s="501">
        <f t="shared" si="331"/>
        <v>0</v>
      </c>
      <c r="K400" s="501">
        <f t="shared" si="331"/>
        <v>0</v>
      </c>
      <c r="L400" s="501">
        <f t="shared" si="331"/>
        <v>0</v>
      </c>
      <c r="M400" s="501">
        <f t="shared" si="331"/>
        <v>0</v>
      </c>
      <c r="N400" s="501">
        <f t="shared" si="331"/>
        <v>0</v>
      </c>
      <c r="O400" s="501">
        <f t="shared" si="331"/>
        <v>0</v>
      </c>
      <c r="P400" s="501">
        <f t="shared" si="331"/>
        <v>1200000</v>
      </c>
      <c r="Q400" s="45"/>
      <c r="R400" s="48"/>
    </row>
    <row r="401" spans="1:18" ht="94.5" customHeight="1" thickTop="1" thickBot="1" x14ac:dyDescent="0.25">
      <c r="A401" s="508" t="s">
        <v>1099</v>
      </c>
      <c r="B401" s="508" t="s">
        <v>1066</v>
      </c>
      <c r="C401" s="508"/>
      <c r="D401" s="508" t="s">
        <v>1064</v>
      </c>
      <c r="E401" s="524">
        <f>E402</f>
        <v>1200000</v>
      </c>
      <c r="F401" s="524">
        <f>F402</f>
        <v>1200000</v>
      </c>
      <c r="G401" s="524">
        <f t="shared" si="331"/>
        <v>0</v>
      </c>
      <c r="H401" s="524">
        <f t="shared" si="331"/>
        <v>0</v>
      </c>
      <c r="I401" s="524">
        <f t="shared" si="331"/>
        <v>0</v>
      </c>
      <c r="J401" s="524">
        <f t="shared" si="331"/>
        <v>0</v>
      </c>
      <c r="K401" s="524">
        <f t="shared" si="331"/>
        <v>0</v>
      </c>
      <c r="L401" s="524">
        <f t="shared" si="331"/>
        <v>0</v>
      </c>
      <c r="M401" s="524">
        <f t="shared" si="331"/>
        <v>0</v>
      </c>
      <c r="N401" s="524">
        <f t="shared" si="331"/>
        <v>0</v>
      </c>
      <c r="O401" s="524">
        <f t="shared" si="331"/>
        <v>0</v>
      </c>
      <c r="P401" s="524">
        <f>P402</f>
        <v>1200000</v>
      </c>
      <c r="Q401" s="45"/>
      <c r="R401" s="48"/>
    </row>
    <row r="402" spans="1:18" ht="105.75" customHeight="1" thickTop="1" thickBot="1" x14ac:dyDescent="0.25">
      <c r="A402" s="94" t="s">
        <v>1100</v>
      </c>
      <c r="B402" s="94" t="s">
        <v>1101</v>
      </c>
      <c r="C402" s="94" t="s">
        <v>1068</v>
      </c>
      <c r="D402" s="94" t="s">
        <v>1102</v>
      </c>
      <c r="E402" s="521">
        <f>F402+I402</f>
        <v>1200000</v>
      </c>
      <c r="F402" s="504">
        <f>(200000)+1000000</f>
        <v>1200000</v>
      </c>
      <c r="G402" s="504"/>
      <c r="H402" s="504"/>
      <c r="I402" s="504"/>
      <c r="J402" s="501">
        <f>L402+O402</f>
        <v>0</v>
      </c>
      <c r="K402" s="504"/>
      <c r="L402" s="504"/>
      <c r="M402" s="504"/>
      <c r="N402" s="504"/>
      <c r="O402" s="502">
        <f>K402</f>
        <v>0</v>
      </c>
      <c r="P402" s="501">
        <f>E402+J402</f>
        <v>1200000</v>
      </c>
      <c r="Q402" s="45"/>
      <c r="R402" s="48"/>
    </row>
    <row r="403" spans="1:18" ht="105.75" customHeight="1" thickTop="1" thickBot="1" x14ac:dyDescent="0.25">
      <c r="A403" s="239" t="s">
        <v>1162</v>
      </c>
      <c r="B403" s="239" t="s">
        <v>669</v>
      </c>
      <c r="C403" s="239"/>
      <c r="D403" s="239" t="s">
        <v>670</v>
      </c>
      <c r="E403" s="501">
        <f t="shared" ref="E403:P403" si="332">E404</f>
        <v>370000</v>
      </c>
      <c r="F403" s="501">
        <f t="shared" si="332"/>
        <v>90000</v>
      </c>
      <c r="G403" s="501">
        <f t="shared" si="332"/>
        <v>0</v>
      </c>
      <c r="H403" s="501">
        <f t="shared" si="332"/>
        <v>0</v>
      </c>
      <c r="I403" s="501">
        <f t="shared" si="332"/>
        <v>280000</v>
      </c>
      <c r="J403" s="501">
        <f t="shared" si="332"/>
        <v>0</v>
      </c>
      <c r="K403" s="501">
        <f t="shared" si="332"/>
        <v>0</v>
      </c>
      <c r="L403" s="501">
        <f t="shared" si="332"/>
        <v>0</v>
      </c>
      <c r="M403" s="501">
        <f t="shared" si="332"/>
        <v>0</v>
      </c>
      <c r="N403" s="501">
        <f t="shared" si="332"/>
        <v>0</v>
      </c>
      <c r="O403" s="501">
        <f t="shared" si="332"/>
        <v>0</v>
      </c>
      <c r="P403" s="501">
        <f t="shared" si="332"/>
        <v>370000</v>
      </c>
      <c r="Q403" s="45"/>
      <c r="R403" s="48"/>
    </row>
    <row r="404" spans="1:18" ht="138" customHeight="1" thickTop="1" thickBot="1" x14ac:dyDescent="0.25">
      <c r="A404" s="508" t="s">
        <v>1163</v>
      </c>
      <c r="B404" s="508" t="s">
        <v>497</v>
      </c>
      <c r="C404" s="508" t="s">
        <v>42</v>
      </c>
      <c r="D404" s="508" t="s">
        <v>498</v>
      </c>
      <c r="E404" s="521">
        <f>F404+I404</f>
        <v>370000</v>
      </c>
      <c r="F404" s="524">
        <v>90000</v>
      </c>
      <c r="G404" s="524"/>
      <c r="H404" s="524"/>
      <c r="I404" s="524">
        <v>280000</v>
      </c>
      <c r="J404" s="524">
        <f>L404+O404</f>
        <v>0</v>
      </c>
      <c r="K404" s="504"/>
      <c r="L404" s="524"/>
      <c r="M404" s="524"/>
      <c r="N404" s="524"/>
      <c r="O404" s="524">
        <f>(K404+0)</f>
        <v>0</v>
      </c>
      <c r="P404" s="524">
        <f>E404+J404</f>
        <v>370000</v>
      </c>
      <c r="Q404" s="45"/>
      <c r="R404" s="48"/>
    </row>
    <row r="405" spans="1:18" ht="105.75" customHeight="1" thickTop="1" thickBot="1" x14ac:dyDescent="0.25">
      <c r="A405" s="514" t="s">
        <v>161</v>
      </c>
      <c r="B405" s="514"/>
      <c r="C405" s="514"/>
      <c r="D405" s="515" t="s">
        <v>344</v>
      </c>
      <c r="E405" s="516">
        <f>E406</f>
        <v>23175000</v>
      </c>
      <c r="F405" s="517">
        <f t="shared" ref="F405:G405" si="333">F406</f>
        <v>22875000</v>
      </c>
      <c r="G405" s="517">
        <f t="shared" si="333"/>
        <v>0</v>
      </c>
      <c r="H405" s="517">
        <f>H406</f>
        <v>0</v>
      </c>
      <c r="I405" s="517">
        <f t="shared" ref="I405" si="334">I406</f>
        <v>300000</v>
      </c>
      <c r="J405" s="516">
        <f>J406</f>
        <v>0</v>
      </c>
      <c r="K405" s="517">
        <f>K406</f>
        <v>0</v>
      </c>
      <c r="L405" s="517">
        <f>L406</f>
        <v>0</v>
      </c>
      <c r="M405" s="517">
        <f t="shared" ref="M405" si="335">M406</f>
        <v>0</v>
      </c>
      <c r="N405" s="517">
        <f>N406</f>
        <v>0</v>
      </c>
      <c r="O405" s="516">
        <f>O406</f>
        <v>0</v>
      </c>
      <c r="P405" s="517">
        <f t="shared" ref="P405" si="336">P406</f>
        <v>23175000</v>
      </c>
      <c r="Q405" s="18"/>
    </row>
    <row r="406" spans="1:18" ht="154.5" customHeight="1" thickTop="1" thickBot="1" x14ac:dyDescent="0.25">
      <c r="A406" s="511" t="s">
        <v>162</v>
      </c>
      <c r="B406" s="511"/>
      <c r="C406" s="511"/>
      <c r="D406" s="512" t="s">
        <v>345</v>
      </c>
      <c r="E406" s="513">
        <f>E410+E422+E419+E407</f>
        <v>23175000</v>
      </c>
      <c r="F406" s="513">
        <f>F410+F422+F419+F407</f>
        <v>22875000</v>
      </c>
      <c r="G406" s="513">
        <f>G410+G422+G419+G407</f>
        <v>0</v>
      </c>
      <c r="H406" s="513">
        <f>H410+H422+H419+H407</f>
        <v>0</v>
      </c>
      <c r="I406" s="513">
        <f>I410+I422+I419+I407</f>
        <v>300000</v>
      </c>
      <c r="J406" s="513">
        <f>L406+O406</f>
        <v>0</v>
      </c>
      <c r="K406" s="513">
        <f>K410+K422+K419+K407</f>
        <v>0</v>
      </c>
      <c r="L406" s="513">
        <f>L410+L422+L419+L407</f>
        <v>0</v>
      </c>
      <c r="M406" s="513">
        <f>M410+M422+M419+M407</f>
        <v>0</v>
      </c>
      <c r="N406" s="513">
        <f>N410+N422+N419+N407</f>
        <v>0</v>
      </c>
      <c r="O406" s="513">
        <f>O410+O422+O419+O407</f>
        <v>0</v>
      </c>
      <c r="P406" s="513">
        <f>E406+J406</f>
        <v>23175000</v>
      </c>
      <c r="Q406" s="546" t="b">
        <f>P406=P408+P409+P412+P414+P415+P421+P418</f>
        <v>1</v>
      </c>
      <c r="R406" s="44"/>
    </row>
    <row r="407" spans="1:18" ht="108" customHeight="1" thickTop="1" thickBot="1" x14ac:dyDescent="0.25">
      <c r="A407" s="239" t="s">
        <v>1158</v>
      </c>
      <c r="B407" s="239" t="s">
        <v>678</v>
      </c>
      <c r="C407" s="239"/>
      <c r="D407" s="239" t="s">
        <v>679</v>
      </c>
      <c r="E407" s="501">
        <f t="shared" ref="E407:P407" si="337">SUM(E408:E409)</f>
        <v>3000000</v>
      </c>
      <c r="F407" s="501">
        <f t="shared" si="337"/>
        <v>2700000</v>
      </c>
      <c r="G407" s="501">
        <f t="shared" si="337"/>
        <v>0</v>
      </c>
      <c r="H407" s="501">
        <f t="shared" si="337"/>
        <v>0</v>
      </c>
      <c r="I407" s="501">
        <f t="shared" si="337"/>
        <v>300000</v>
      </c>
      <c r="J407" s="501">
        <f t="shared" si="337"/>
        <v>0</v>
      </c>
      <c r="K407" s="501">
        <f t="shared" si="337"/>
        <v>0</v>
      </c>
      <c r="L407" s="501">
        <f t="shared" si="337"/>
        <v>0</v>
      </c>
      <c r="M407" s="501">
        <f t="shared" si="337"/>
        <v>0</v>
      </c>
      <c r="N407" s="501">
        <f t="shared" si="337"/>
        <v>0</v>
      </c>
      <c r="O407" s="501">
        <f t="shared" si="337"/>
        <v>0</v>
      </c>
      <c r="P407" s="501">
        <f t="shared" si="337"/>
        <v>3000000</v>
      </c>
      <c r="Q407" s="45"/>
      <c r="R407" s="44"/>
    </row>
    <row r="408" spans="1:18" ht="93" hidden="1" thickTop="1" thickBot="1" x14ac:dyDescent="0.25">
      <c r="A408" s="349" t="s">
        <v>1159</v>
      </c>
      <c r="B408" s="349" t="s">
        <v>1080</v>
      </c>
      <c r="C408" s="349" t="s">
        <v>201</v>
      </c>
      <c r="D408" s="390" t="s">
        <v>1081</v>
      </c>
      <c r="E408" s="118">
        <f t="shared" ref="E408" si="338">F408</f>
        <v>0</v>
      </c>
      <c r="F408" s="125">
        <f>(175000)-175000</f>
        <v>0</v>
      </c>
      <c r="G408" s="125"/>
      <c r="H408" s="125"/>
      <c r="I408" s="125"/>
      <c r="J408" s="118">
        <f>L408+O408</f>
        <v>0</v>
      </c>
      <c r="K408" s="125">
        <f>(100000)-100000</f>
        <v>0</v>
      </c>
      <c r="L408" s="125"/>
      <c r="M408" s="125"/>
      <c r="N408" s="125"/>
      <c r="O408" s="123">
        <f>K408</f>
        <v>0</v>
      </c>
      <c r="P408" s="118">
        <f>E408+J408</f>
        <v>0</v>
      </c>
      <c r="Q408" s="45"/>
      <c r="R408" s="44"/>
    </row>
    <row r="409" spans="1:18" ht="93.75" customHeight="1" thickTop="1" thickBot="1" x14ac:dyDescent="0.25">
      <c r="A409" s="94" t="s">
        <v>1326</v>
      </c>
      <c r="B409" s="94" t="s">
        <v>323</v>
      </c>
      <c r="C409" s="94" t="s">
        <v>186</v>
      </c>
      <c r="D409" s="507" t="s">
        <v>1702</v>
      </c>
      <c r="E409" s="471">
        <f>F409+I409</f>
        <v>3000000</v>
      </c>
      <c r="F409" s="504">
        <v>2700000</v>
      </c>
      <c r="G409" s="125"/>
      <c r="H409" s="125"/>
      <c r="I409" s="504">
        <v>300000</v>
      </c>
      <c r="J409" s="501">
        <f t="shared" ref="J409" si="339">L409+O409</f>
        <v>0</v>
      </c>
      <c r="K409" s="125"/>
      <c r="L409" s="125"/>
      <c r="M409" s="125"/>
      <c r="N409" s="125"/>
      <c r="O409" s="502">
        <f t="shared" ref="O409" si="340">K409</f>
        <v>0</v>
      </c>
      <c r="P409" s="501">
        <f t="shared" ref="P409" si="341">E409+J409</f>
        <v>3000000</v>
      </c>
      <c r="Q409" s="45"/>
      <c r="R409" s="44"/>
    </row>
    <row r="410" spans="1:18" ht="90" customHeight="1" thickTop="1" thickBot="1" x14ac:dyDescent="0.25">
      <c r="A410" s="239" t="s">
        <v>790</v>
      </c>
      <c r="B410" s="239" t="s">
        <v>713</v>
      </c>
      <c r="C410" s="119"/>
      <c r="D410" s="239" t="s">
        <v>757</v>
      </c>
      <c r="E410" s="510">
        <f t="shared" ref="E410:P410" si="342">E413+E411</f>
        <v>20175000</v>
      </c>
      <c r="F410" s="510">
        <f t="shared" si="342"/>
        <v>20175000</v>
      </c>
      <c r="G410" s="510">
        <f t="shared" si="342"/>
        <v>0</v>
      </c>
      <c r="H410" s="510">
        <f t="shared" si="342"/>
        <v>0</v>
      </c>
      <c r="I410" s="510">
        <f t="shared" si="342"/>
        <v>0</v>
      </c>
      <c r="J410" s="510">
        <f t="shared" si="342"/>
        <v>0</v>
      </c>
      <c r="K410" s="510">
        <f t="shared" si="342"/>
        <v>0</v>
      </c>
      <c r="L410" s="510">
        <f t="shared" si="342"/>
        <v>0</v>
      </c>
      <c r="M410" s="510">
        <f t="shared" si="342"/>
        <v>0</v>
      </c>
      <c r="N410" s="510">
        <f t="shared" si="342"/>
        <v>0</v>
      </c>
      <c r="O410" s="510">
        <f t="shared" si="342"/>
        <v>0</v>
      </c>
      <c r="P410" s="510">
        <f t="shared" si="342"/>
        <v>20175000</v>
      </c>
      <c r="Q410" s="45"/>
      <c r="R410" s="44"/>
    </row>
    <row r="411" spans="1:18" ht="121.5" customHeight="1" thickTop="1" thickBot="1" x14ac:dyDescent="0.25">
      <c r="A411" s="508" t="s">
        <v>940</v>
      </c>
      <c r="B411" s="508" t="s">
        <v>765</v>
      </c>
      <c r="C411" s="127"/>
      <c r="D411" s="496" t="s">
        <v>1711</v>
      </c>
      <c r="E411" s="509">
        <f>E412</f>
        <v>6110000</v>
      </c>
      <c r="F411" s="509">
        <f>F412</f>
        <v>6110000</v>
      </c>
      <c r="G411" s="509">
        <f t="shared" ref="G411:O411" si="343">G412</f>
        <v>0</v>
      </c>
      <c r="H411" s="509">
        <f t="shared" si="343"/>
        <v>0</v>
      </c>
      <c r="I411" s="509">
        <f t="shared" si="343"/>
        <v>0</v>
      </c>
      <c r="J411" s="509">
        <f t="shared" si="343"/>
        <v>0</v>
      </c>
      <c r="K411" s="509">
        <f t="shared" si="343"/>
        <v>0</v>
      </c>
      <c r="L411" s="509">
        <f t="shared" si="343"/>
        <v>0</v>
      </c>
      <c r="M411" s="509">
        <f t="shared" si="343"/>
        <v>0</v>
      </c>
      <c r="N411" s="509">
        <f t="shared" si="343"/>
        <v>0</v>
      </c>
      <c r="O411" s="509">
        <f t="shared" si="343"/>
        <v>0</v>
      </c>
      <c r="P411" s="509">
        <f>P412</f>
        <v>6110000</v>
      </c>
      <c r="Q411" s="45"/>
      <c r="R411" s="44"/>
    </row>
    <row r="412" spans="1:18" ht="90.75" customHeight="1" thickTop="1" thickBot="1" x14ac:dyDescent="0.25">
      <c r="A412" s="94" t="s">
        <v>941</v>
      </c>
      <c r="B412" s="94" t="s">
        <v>341</v>
      </c>
      <c r="C412" s="94" t="s">
        <v>165</v>
      </c>
      <c r="D412" s="94" t="s">
        <v>256</v>
      </c>
      <c r="E412" s="471">
        <f>F412+I412</f>
        <v>6110000</v>
      </c>
      <c r="F412" s="504">
        <f>(4950000)+1160000</f>
        <v>6110000</v>
      </c>
      <c r="G412" s="125"/>
      <c r="H412" s="125"/>
      <c r="I412" s="125"/>
      <c r="J412" s="501">
        <f t="shared" ref="J412" si="344">L412+O412</f>
        <v>0</v>
      </c>
      <c r="K412" s="504">
        <f>((0)+5000000-1000000)-4000000</f>
        <v>0</v>
      </c>
      <c r="L412" s="125"/>
      <c r="M412" s="125"/>
      <c r="N412" s="125"/>
      <c r="O412" s="502">
        <f>K412</f>
        <v>0</v>
      </c>
      <c r="P412" s="501">
        <f t="shared" ref="P412" si="345">E412+J412</f>
        <v>6110000</v>
      </c>
      <c r="Q412" s="45"/>
      <c r="R412" s="44"/>
    </row>
    <row r="413" spans="1:18" ht="93" customHeight="1" thickTop="1" thickBot="1" x14ac:dyDescent="0.25">
      <c r="A413" s="508" t="s">
        <v>791</v>
      </c>
      <c r="B413" s="508" t="s">
        <v>659</v>
      </c>
      <c r="C413" s="127"/>
      <c r="D413" s="508" t="s">
        <v>657</v>
      </c>
      <c r="E413" s="509">
        <f>SUM(E414:E418)-E417</f>
        <v>14065000</v>
      </c>
      <c r="F413" s="509">
        <f t="shared" ref="F413:P413" si="346">SUM(F414:F418)-F417</f>
        <v>14065000</v>
      </c>
      <c r="G413" s="509">
        <f t="shared" si="346"/>
        <v>0</v>
      </c>
      <c r="H413" s="509">
        <f t="shared" si="346"/>
        <v>0</v>
      </c>
      <c r="I413" s="509">
        <f t="shared" si="346"/>
        <v>0</v>
      </c>
      <c r="J413" s="509">
        <f>SUM(J414:J418)-J417</f>
        <v>0</v>
      </c>
      <c r="K413" s="509">
        <f t="shared" si="346"/>
        <v>0</v>
      </c>
      <c r="L413" s="509">
        <f t="shared" si="346"/>
        <v>0</v>
      </c>
      <c r="M413" s="509">
        <f t="shared" si="346"/>
        <v>0</v>
      </c>
      <c r="N413" s="509">
        <f t="shared" si="346"/>
        <v>0</v>
      </c>
      <c r="O413" s="509">
        <f t="shared" si="346"/>
        <v>0</v>
      </c>
      <c r="P413" s="509">
        <f t="shared" si="346"/>
        <v>14065000</v>
      </c>
      <c r="Q413" s="45"/>
      <c r="R413" s="44"/>
    </row>
    <row r="414" spans="1:18" ht="87.75" customHeight="1" thickTop="1" thickBot="1" x14ac:dyDescent="0.25">
      <c r="A414" s="94" t="s">
        <v>254</v>
      </c>
      <c r="B414" s="94" t="s">
        <v>255</v>
      </c>
      <c r="C414" s="94" t="s">
        <v>253</v>
      </c>
      <c r="D414" s="94" t="s">
        <v>252</v>
      </c>
      <c r="E414" s="471">
        <f>F414+I414</f>
        <v>14065000</v>
      </c>
      <c r="F414" s="504">
        <f>(12565000)+1500000</f>
        <v>14065000</v>
      </c>
      <c r="G414" s="125"/>
      <c r="H414" s="125"/>
      <c r="I414" s="125"/>
      <c r="J414" s="501">
        <f t="shared" ref="J414:J418" si="347">L414+O414</f>
        <v>0</v>
      </c>
      <c r="K414" s="125"/>
      <c r="L414" s="125"/>
      <c r="M414" s="125"/>
      <c r="N414" s="125"/>
      <c r="O414" s="502">
        <f>K414</f>
        <v>0</v>
      </c>
      <c r="P414" s="501">
        <f t="shared" ref="P414:P418" si="348">E414+J414</f>
        <v>14065000</v>
      </c>
      <c r="Q414" s="18"/>
      <c r="R414" s="44"/>
    </row>
    <row r="415" spans="1:18" ht="87.75" hidden="1" customHeight="1" thickTop="1" thickBot="1" x14ac:dyDescent="0.25">
      <c r="A415" s="119" t="s">
        <v>246</v>
      </c>
      <c r="B415" s="119" t="s">
        <v>248</v>
      </c>
      <c r="C415" s="119" t="s">
        <v>208</v>
      </c>
      <c r="D415" s="119" t="s">
        <v>247</v>
      </c>
      <c r="E415" s="118"/>
      <c r="F415" s="125"/>
      <c r="G415" s="125"/>
      <c r="H415" s="125"/>
      <c r="I415" s="125"/>
      <c r="J415" s="118">
        <f t="shared" si="347"/>
        <v>0</v>
      </c>
      <c r="K415" s="125"/>
      <c r="L415" s="125"/>
      <c r="M415" s="125"/>
      <c r="N415" s="125"/>
      <c r="O415" s="123">
        <f>K415</f>
        <v>0</v>
      </c>
      <c r="P415" s="118">
        <f t="shared" si="348"/>
        <v>0</v>
      </c>
      <c r="Q415" s="18"/>
      <c r="R415" s="44"/>
    </row>
    <row r="416" spans="1:18" ht="48" hidden="1" thickTop="1" thickBot="1" x14ac:dyDescent="0.25">
      <c r="A416" s="119" t="s">
        <v>1153</v>
      </c>
      <c r="B416" s="119" t="s">
        <v>207</v>
      </c>
      <c r="C416" s="119" t="s">
        <v>208</v>
      </c>
      <c r="D416" s="119" t="s">
        <v>40</v>
      </c>
      <c r="E416" s="118">
        <f t="shared" ref="E416" si="349">F416</f>
        <v>0</v>
      </c>
      <c r="F416" s="125">
        <f>(200000)-200000</f>
        <v>0</v>
      </c>
      <c r="G416" s="125"/>
      <c r="H416" s="125"/>
      <c r="I416" s="125"/>
      <c r="J416" s="118">
        <f t="shared" si="347"/>
        <v>0</v>
      </c>
      <c r="K416" s="125">
        <f>(100000)-100000</f>
        <v>0</v>
      </c>
      <c r="L416" s="125"/>
      <c r="M416" s="125"/>
      <c r="N416" s="125"/>
      <c r="O416" s="123">
        <f>K416</f>
        <v>0</v>
      </c>
      <c r="P416" s="118">
        <f t="shared" si="348"/>
        <v>0</v>
      </c>
      <c r="Q416" s="18"/>
      <c r="R416" s="44"/>
    </row>
    <row r="417" spans="1:18" ht="74.25" hidden="1" customHeight="1" thickTop="1" thickBot="1" x14ac:dyDescent="0.25">
      <c r="A417" s="131" t="s">
        <v>792</v>
      </c>
      <c r="B417" s="131" t="s">
        <v>662</v>
      </c>
      <c r="C417" s="131"/>
      <c r="D417" s="131" t="s">
        <v>660</v>
      </c>
      <c r="E417" s="132">
        <f>E418</f>
        <v>0</v>
      </c>
      <c r="F417" s="132">
        <f t="shared" ref="F417:P417" si="350">F418</f>
        <v>0</v>
      </c>
      <c r="G417" s="132">
        <f t="shared" si="350"/>
        <v>0</v>
      </c>
      <c r="H417" s="132">
        <f t="shared" si="350"/>
        <v>0</v>
      </c>
      <c r="I417" s="132">
        <f t="shared" si="350"/>
        <v>0</v>
      </c>
      <c r="J417" s="132">
        <f t="shared" si="350"/>
        <v>0</v>
      </c>
      <c r="K417" s="132">
        <f t="shared" si="350"/>
        <v>0</v>
      </c>
      <c r="L417" s="132">
        <f t="shared" si="350"/>
        <v>0</v>
      </c>
      <c r="M417" s="132">
        <f t="shared" si="350"/>
        <v>0</v>
      </c>
      <c r="N417" s="132">
        <f t="shared" si="350"/>
        <v>0</v>
      </c>
      <c r="O417" s="132">
        <f t="shared" si="350"/>
        <v>0</v>
      </c>
      <c r="P417" s="132">
        <f t="shared" si="350"/>
        <v>0</v>
      </c>
      <c r="Q417" s="18"/>
      <c r="R417" s="44"/>
    </row>
    <row r="418" spans="1:18" ht="87" hidden="1" customHeight="1" thickTop="1" thickBot="1" x14ac:dyDescent="0.25">
      <c r="A418" s="119" t="s">
        <v>250</v>
      </c>
      <c r="B418" s="119" t="s">
        <v>251</v>
      </c>
      <c r="C418" s="119" t="s">
        <v>165</v>
      </c>
      <c r="D418" s="119" t="s">
        <v>249</v>
      </c>
      <c r="E418" s="118"/>
      <c r="F418" s="125"/>
      <c r="G418" s="125"/>
      <c r="H418" s="125"/>
      <c r="I418" s="125"/>
      <c r="J418" s="118">
        <f t="shared" si="347"/>
        <v>0</v>
      </c>
      <c r="K418" s="125"/>
      <c r="L418" s="125"/>
      <c r="M418" s="125"/>
      <c r="N418" s="125"/>
      <c r="O418" s="123">
        <f>K418</f>
        <v>0</v>
      </c>
      <c r="P418" s="118">
        <f t="shared" si="348"/>
        <v>0</v>
      </c>
      <c r="Q418" s="18"/>
      <c r="R418" s="44"/>
    </row>
    <row r="419" spans="1:18" ht="47.25" hidden="1" thickTop="1" thickBot="1" x14ac:dyDescent="0.25">
      <c r="A419" s="391" t="s">
        <v>1155</v>
      </c>
      <c r="B419" s="391" t="s">
        <v>664</v>
      </c>
      <c r="C419" s="391"/>
      <c r="D419" s="391" t="s">
        <v>665</v>
      </c>
      <c r="E419" s="118">
        <f t="shared" ref="E419:P420" si="351">E420</f>
        <v>0</v>
      </c>
      <c r="F419" s="118">
        <f t="shared" si="351"/>
        <v>0</v>
      </c>
      <c r="G419" s="118">
        <f t="shared" si="351"/>
        <v>0</v>
      </c>
      <c r="H419" s="118">
        <f t="shared" si="351"/>
        <v>0</v>
      </c>
      <c r="I419" s="118">
        <f t="shared" si="351"/>
        <v>0</v>
      </c>
      <c r="J419" s="118">
        <f t="shared" si="351"/>
        <v>0</v>
      </c>
      <c r="K419" s="118">
        <f t="shared" si="351"/>
        <v>0</v>
      </c>
      <c r="L419" s="118">
        <f t="shared" si="351"/>
        <v>0</v>
      </c>
      <c r="M419" s="118">
        <f t="shared" si="351"/>
        <v>0</v>
      </c>
      <c r="N419" s="118">
        <f t="shared" si="351"/>
        <v>0</v>
      </c>
      <c r="O419" s="118">
        <f t="shared" si="351"/>
        <v>0</v>
      </c>
      <c r="P419" s="118">
        <f t="shared" si="351"/>
        <v>0</v>
      </c>
      <c r="Q419" s="18"/>
      <c r="R419" s="44"/>
    </row>
    <row r="420" spans="1:18" ht="47.25" hidden="1" thickTop="1" thickBot="1" x14ac:dyDescent="0.25">
      <c r="A420" s="348" t="s">
        <v>1156</v>
      </c>
      <c r="B420" s="348" t="s">
        <v>1066</v>
      </c>
      <c r="C420" s="348"/>
      <c r="D420" s="348" t="s">
        <v>1064</v>
      </c>
      <c r="E420" s="128">
        <f t="shared" si="351"/>
        <v>0</v>
      </c>
      <c r="F420" s="128">
        <f t="shared" si="351"/>
        <v>0</v>
      </c>
      <c r="G420" s="128">
        <f t="shared" si="351"/>
        <v>0</v>
      </c>
      <c r="H420" s="128">
        <f t="shared" si="351"/>
        <v>0</v>
      </c>
      <c r="I420" s="128">
        <f t="shared" si="351"/>
        <v>0</v>
      </c>
      <c r="J420" s="128">
        <f t="shared" si="351"/>
        <v>0</v>
      </c>
      <c r="K420" s="128">
        <f t="shared" si="351"/>
        <v>0</v>
      </c>
      <c r="L420" s="128">
        <f t="shared" si="351"/>
        <v>0</v>
      </c>
      <c r="M420" s="128">
        <f t="shared" si="351"/>
        <v>0</v>
      </c>
      <c r="N420" s="128">
        <f t="shared" si="351"/>
        <v>0</v>
      </c>
      <c r="O420" s="128">
        <f t="shared" si="351"/>
        <v>0</v>
      </c>
      <c r="P420" s="128">
        <f t="shared" si="351"/>
        <v>0</v>
      </c>
      <c r="Q420" s="18"/>
      <c r="R420" s="44"/>
    </row>
    <row r="421" spans="1:18" ht="48" hidden="1" thickTop="1" thickBot="1" x14ac:dyDescent="0.25">
      <c r="A421" s="349" t="s">
        <v>1157</v>
      </c>
      <c r="B421" s="349" t="s">
        <v>1070</v>
      </c>
      <c r="C421" s="349" t="s">
        <v>1068</v>
      </c>
      <c r="D421" s="349" t="s">
        <v>1067</v>
      </c>
      <c r="E421" s="118">
        <f>F421</f>
        <v>0</v>
      </c>
      <c r="F421" s="125">
        <f>(200000)-200000</f>
        <v>0</v>
      </c>
      <c r="G421" s="125"/>
      <c r="H421" s="125"/>
      <c r="I421" s="125"/>
      <c r="J421" s="118">
        <f>L421+O421</f>
        <v>0</v>
      </c>
      <c r="K421" s="125">
        <f>(100000)-100000</f>
        <v>0</v>
      </c>
      <c r="L421" s="125"/>
      <c r="M421" s="125"/>
      <c r="N421" s="125"/>
      <c r="O421" s="123">
        <f>K421</f>
        <v>0</v>
      </c>
      <c r="P421" s="118">
        <f>E421+J421</f>
        <v>0</v>
      </c>
      <c r="Q421" s="18"/>
      <c r="R421" s="44"/>
    </row>
    <row r="422" spans="1:18" ht="47.25" hidden="1" thickTop="1" thickBot="1" x14ac:dyDescent="0.25">
      <c r="A422" s="116" t="s">
        <v>862</v>
      </c>
      <c r="B422" s="116" t="s">
        <v>669</v>
      </c>
      <c r="C422" s="116"/>
      <c r="D422" s="116" t="s">
        <v>670</v>
      </c>
      <c r="E422" s="118">
        <f>E423</f>
        <v>0</v>
      </c>
      <c r="F422" s="118">
        <f t="shared" ref="F422:P423" si="352">F423</f>
        <v>0</v>
      </c>
      <c r="G422" s="118">
        <f t="shared" si="352"/>
        <v>0</v>
      </c>
      <c r="H422" s="118">
        <f t="shared" si="352"/>
        <v>0</v>
      </c>
      <c r="I422" s="118">
        <f t="shared" si="352"/>
        <v>0</v>
      </c>
      <c r="J422" s="118">
        <f t="shared" si="352"/>
        <v>0</v>
      </c>
      <c r="K422" s="118">
        <f t="shared" si="352"/>
        <v>0</v>
      </c>
      <c r="L422" s="118">
        <f t="shared" si="352"/>
        <v>0</v>
      </c>
      <c r="M422" s="118">
        <f t="shared" si="352"/>
        <v>0</v>
      </c>
      <c r="N422" s="118">
        <f t="shared" si="352"/>
        <v>0</v>
      </c>
      <c r="O422" s="118">
        <f t="shared" si="352"/>
        <v>0</v>
      </c>
      <c r="P422" s="118">
        <f t="shared" si="352"/>
        <v>0</v>
      </c>
      <c r="Q422" s="18"/>
      <c r="R422" s="44"/>
    </row>
    <row r="423" spans="1:18" ht="91.5" hidden="1" thickTop="1" thickBot="1" x14ac:dyDescent="0.25">
      <c r="A423" s="127" t="s">
        <v>863</v>
      </c>
      <c r="B423" s="127" t="s">
        <v>672</v>
      </c>
      <c r="C423" s="127"/>
      <c r="D423" s="127" t="s">
        <v>673</v>
      </c>
      <c r="E423" s="128">
        <f>E424</f>
        <v>0</v>
      </c>
      <c r="F423" s="128">
        <f t="shared" si="352"/>
        <v>0</v>
      </c>
      <c r="G423" s="128">
        <f t="shared" si="352"/>
        <v>0</v>
      </c>
      <c r="H423" s="128">
        <f t="shared" si="352"/>
        <v>0</v>
      </c>
      <c r="I423" s="128">
        <f t="shared" si="352"/>
        <v>0</v>
      </c>
      <c r="J423" s="128">
        <f t="shared" si="352"/>
        <v>0</v>
      </c>
      <c r="K423" s="128">
        <f t="shared" si="352"/>
        <v>0</v>
      </c>
      <c r="L423" s="128">
        <f t="shared" si="352"/>
        <v>0</v>
      </c>
      <c r="M423" s="128">
        <f t="shared" si="352"/>
        <v>0</v>
      </c>
      <c r="N423" s="128">
        <f t="shared" si="352"/>
        <v>0</v>
      </c>
      <c r="O423" s="128">
        <f t="shared" si="352"/>
        <v>0</v>
      </c>
      <c r="P423" s="128">
        <f t="shared" si="352"/>
        <v>0</v>
      </c>
      <c r="Q423" s="18"/>
      <c r="R423" s="44"/>
    </row>
    <row r="424" spans="1:18" ht="48" hidden="1" thickTop="1" thickBot="1" x14ac:dyDescent="0.25">
      <c r="A424" s="119" t="s">
        <v>864</v>
      </c>
      <c r="B424" s="119" t="s">
        <v>353</v>
      </c>
      <c r="C424" s="119" t="s">
        <v>42</v>
      </c>
      <c r="D424" s="119" t="s">
        <v>354</v>
      </c>
      <c r="E424" s="118">
        <f t="shared" ref="E424" si="353">F424</f>
        <v>0</v>
      </c>
      <c r="F424" s="125"/>
      <c r="G424" s="125"/>
      <c r="H424" s="125"/>
      <c r="I424" s="125"/>
      <c r="J424" s="118">
        <f>L424+O424</f>
        <v>0</v>
      </c>
      <c r="K424" s="125"/>
      <c r="L424" s="125"/>
      <c r="M424" s="125"/>
      <c r="N424" s="125"/>
      <c r="O424" s="123">
        <f>K424</f>
        <v>0</v>
      </c>
      <c r="P424" s="118">
        <f>E424+J424</f>
        <v>0</v>
      </c>
      <c r="Q424" s="18"/>
      <c r="R424" s="44"/>
    </row>
    <row r="425" spans="1:18" ht="167.25" customHeight="1" thickTop="1" thickBot="1" x14ac:dyDescent="0.25">
      <c r="A425" s="514" t="s">
        <v>159</v>
      </c>
      <c r="B425" s="514"/>
      <c r="C425" s="514"/>
      <c r="D425" s="515" t="s">
        <v>844</v>
      </c>
      <c r="E425" s="516">
        <f>E426</f>
        <v>9951402</v>
      </c>
      <c r="F425" s="517">
        <f t="shared" ref="F425:G425" si="354">F426</f>
        <v>9421402</v>
      </c>
      <c r="G425" s="517">
        <f t="shared" si="354"/>
        <v>7293001</v>
      </c>
      <c r="H425" s="517">
        <f>H426</f>
        <v>194725</v>
      </c>
      <c r="I425" s="517">
        <f t="shared" ref="I425" si="355">I426</f>
        <v>530000</v>
      </c>
      <c r="J425" s="516">
        <f>J426</f>
        <v>4351532</v>
      </c>
      <c r="K425" s="517">
        <f>K426</f>
        <v>0</v>
      </c>
      <c r="L425" s="517">
        <f>L426</f>
        <v>1780032</v>
      </c>
      <c r="M425" s="517">
        <f t="shared" ref="M425" si="356">M426</f>
        <v>0</v>
      </c>
      <c r="N425" s="517">
        <f>N426</f>
        <v>0</v>
      </c>
      <c r="O425" s="516">
        <f>O426</f>
        <v>2571500</v>
      </c>
      <c r="P425" s="517">
        <f t="shared" ref="P425" si="357">P426</f>
        <v>14302934</v>
      </c>
      <c r="Q425" s="18"/>
    </row>
    <row r="426" spans="1:18" ht="176.25" customHeight="1" thickTop="1" thickBot="1" x14ac:dyDescent="0.25">
      <c r="A426" s="511" t="s">
        <v>160</v>
      </c>
      <c r="B426" s="511"/>
      <c r="C426" s="511"/>
      <c r="D426" s="512" t="s">
        <v>843</v>
      </c>
      <c r="E426" s="513">
        <f>E427+E430+E433</f>
        <v>9951402</v>
      </c>
      <c r="F426" s="513">
        <f t="shared" ref="F426:P426" si="358">F427+F430+F433</f>
        <v>9421402</v>
      </c>
      <c r="G426" s="513">
        <f>G427+G430+G433</f>
        <v>7293001</v>
      </c>
      <c r="H426" s="513">
        <f t="shared" si="358"/>
        <v>194725</v>
      </c>
      <c r="I426" s="513">
        <f t="shared" si="358"/>
        <v>530000</v>
      </c>
      <c r="J426" s="513">
        <f>J427+J430+J433</f>
        <v>4351532</v>
      </c>
      <c r="K426" s="513">
        <f t="shared" si="358"/>
        <v>0</v>
      </c>
      <c r="L426" s="513">
        <f>L427+L430+L433</f>
        <v>1780032</v>
      </c>
      <c r="M426" s="513">
        <f t="shared" si="358"/>
        <v>0</v>
      </c>
      <c r="N426" s="513">
        <f t="shared" si="358"/>
        <v>0</v>
      </c>
      <c r="O426" s="513">
        <f t="shared" si="358"/>
        <v>2571500</v>
      </c>
      <c r="P426" s="513">
        <f t="shared" si="358"/>
        <v>14302934</v>
      </c>
      <c r="Q426" s="546" t="b">
        <f>P426=P428+P432+P434</f>
        <v>1</v>
      </c>
      <c r="R426" s="44"/>
    </row>
    <row r="427" spans="1:18" ht="113.25" customHeight="1" thickTop="1" thickBot="1" x14ac:dyDescent="0.25">
      <c r="A427" s="239" t="s">
        <v>793</v>
      </c>
      <c r="B427" s="239" t="s">
        <v>652</v>
      </c>
      <c r="C427" s="239"/>
      <c r="D427" s="239" t="s">
        <v>653</v>
      </c>
      <c r="E427" s="501">
        <f>SUM(E428:E429)</f>
        <v>9451402</v>
      </c>
      <c r="F427" s="501">
        <f t="shared" ref="F427:N427" si="359">SUM(F428:F429)</f>
        <v>9421402</v>
      </c>
      <c r="G427" s="501">
        <f t="shared" si="359"/>
        <v>7293001</v>
      </c>
      <c r="H427" s="501">
        <f t="shared" si="359"/>
        <v>194725</v>
      </c>
      <c r="I427" s="501">
        <f t="shared" si="359"/>
        <v>30000</v>
      </c>
      <c r="J427" s="501">
        <f t="shared" si="359"/>
        <v>0</v>
      </c>
      <c r="K427" s="501">
        <f t="shared" si="359"/>
        <v>0</v>
      </c>
      <c r="L427" s="501">
        <f t="shared" si="359"/>
        <v>0</v>
      </c>
      <c r="M427" s="501">
        <f t="shared" si="359"/>
        <v>0</v>
      </c>
      <c r="N427" s="501">
        <f t="shared" si="359"/>
        <v>0</v>
      </c>
      <c r="O427" s="501">
        <f>SUM(O428:O429)</f>
        <v>0</v>
      </c>
      <c r="P427" s="501">
        <f t="shared" ref="P427" si="360">SUM(P428:P429)</f>
        <v>9451402</v>
      </c>
      <c r="Q427" s="45"/>
      <c r="R427" s="44"/>
    </row>
    <row r="428" spans="1:18" ht="155.25" customHeight="1" thickTop="1" thickBot="1" x14ac:dyDescent="0.25">
      <c r="A428" s="94" t="s">
        <v>411</v>
      </c>
      <c r="B428" s="94" t="s">
        <v>231</v>
      </c>
      <c r="C428" s="94" t="s">
        <v>229</v>
      </c>
      <c r="D428" s="94" t="s">
        <v>1515</v>
      </c>
      <c r="E428" s="521">
        <f>F428+I428</f>
        <v>9451402</v>
      </c>
      <c r="F428" s="504">
        <v>9421402</v>
      </c>
      <c r="G428" s="504">
        <v>7293001</v>
      </c>
      <c r="H428" s="504">
        <v>194725</v>
      </c>
      <c r="I428" s="504">
        <v>30000</v>
      </c>
      <c r="J428" s="501">
        <f t="shared" ref="J428:J432" si="361">L428+O428</f>
        <v>0</v>
      </c>
      <c r="K428" s="504"/>
      <c r="L428" s="504"/>
      <c r="M428" s="504"/>
      <c r="N428" s="504"/>
      <c r="O428" s="502">
        <f>K428</f>
        <v>0</v>
      </c>
      <c r="P428" s="501">
        <f t="shared" ref="P428:P432" si="362">E428+J428</f>
        <v>9451402</v>
      </c>
      <c r="Q428" s="45"/>
      <c r="R428" s="44"/>
    </row>
    <row r="429" spans="1:18" ht="93" hidden="1" thickTop="1" thickBot="1" x14ac:dyDescent="0.25">
      <c r="A429" s="39" t="s">
        <v>606</v>
      </c>
      <c r="B429" s="39" t="s">
        <v>352</v>
      </c>
      <c r="C429" s="39" t="s">
        <v>598</v>
      </c>
      <c r="D429" s="39" t="s">
        <v>599</v>
      </c>
      <c r="E429" s="142">
        <f>F429</f>
        <v>0</v>
      </c>
      <c r="F429" s="120">
        <v>0</v>
      </c>
      <c r="G429" s="120"/>
      <c r="H429" s="120"/>
      <c r="I429" s="120"/>
      <c r="J429" s="118">
        <f t="shared" si="361"/>
        <v>0</v>
      </c>
      <c r="K429" s="120"/>
      <c r="L429" s="121"/>
      <c r="M429" s="121"/>
      <c r="N429" s="121"/>
      <c r="O429" s="123">
        <f t="shared" ref="O429" si="363">K429</f>
        <v>0</v>
      </c>
      <c r="P429" s="118">
        <f t="shared" ref="P429" si="364">+J429+E429</f>
        <v>0</v>
      </c>
      <c r="Q429" s="45"/>
      <c r="R429" s="44"/>
    </row>
    <row r="430" spans="1:18" ht="94.5" customHeight="1" thickTop="1" thickBot="1" x14ac:dyDescent="0.25">
      <c r="A430" s="239" t="s">
        <v>794</v>
      </c>
      <c r="B430" s="239" t="s">
        <v>664</v>
      </c>
      <c r="C430" s="239"/>
      <c r="D430" s="239" t="s">
        <v>665</v>
      </c>
      <c r="E430" s="521">
        <f>E431</f>
        <v>0</v>
      </c>
      <c r="F430" s="521">
        <f t="shared" ref="F430:P431" si="365">F431</f>
        <v>0</v>
      </c>
      <c r="G430" s="521">
        <f t="shared" si="365"/>
        <v>0</v>
      </c>
      <c r="H430" s="521">
        <f t="shared" si="365"/>
        <v>0</v>
      </c>
      <c r="I430" s="521">
        <f t="shared" si="365"/>
        <v>0</v>
      </c>
      <c r="J430" s="521">
        <f t="shared" si="365"/>
        <v>4351532</v>
      </c>
      <c r="K430" s="521">
        <f t="shared" si="365"/>
        <v>0</v>
      </c>
      <c r="L430" s="521">
        <f t="shared" si="365"/>
        <v>1780032</v>
      </c>
      <c r="M430" s="521">
        <f t="shared" si="365"/>
        <v>0</v>
      </c>
      <c r="N430" s="521">
        <f t="shared" si="365"/>
        <v>0</v>
      </c>
      <c r="O430" s="521">
        <f t="shared" si="365"/>
        <v>2571500</v>
      </c>
      <c r="P430" s="521">
        <f t="shared" si="365"/>
        <v>4351532</v>
      </c>
      <c r="Q430" s="45"/>
      <c r="R430" s="44"/>
    </row>
    <row r="431" spans="1:18" ht="103.5" customHeight="1" thickTop="1" thickBot="1" x14ac:dyDescent="0.25">
      <c r="A431" s="508" t="s">
        <v>795</v>
      </c>
      <c r="B431" s="508" t="s">
        <v>796</v>
      </c>
      <c r="C431" s="508"/>
      <c r="D431" s="508" t="s">
        <v>1567</v>
      </c>
      <c r="E431" s="547">
        <f>E432</f>
        <v>0</v>
      </c>
      <c r="F431" s="547">
        <f t="shared" si="365"/>
        <v>0</v>
      </c>
      <c r="G431" s="547">
        <f t="shared" si="365"/>
        <v>0</v>
      </c>
      <c r="H431" s="547">
        <f t="shared" si="365"/>
        <v>0</v>
      </c>
      <c r="I431" s="547">
        <f t="shared" si="365"/>
        <v>0</v>
      </c>
      <c r="J431" s="547">
        <f t="shared" si="365"/>
        <v>4351532</v>
      </c>
      <c r="K431" s="547">
        <f t="shared" si="365"/>
        <v>0</v>
      </c>
      <c r="L431" s="547">
        <f t="shared" si="365"/>
        <v>1780032</v>
      </c>
      <c r="M431" s="547">
        <f t="shared" si="365"/>
        <v>0</v>
      </c>
      <c r="N431" s="547">
        <f t="shared" si="365"/>
        <v>0</v>
      </c>
      <c r="O431" s="547">
        <f t="shared" si="365"/>
        <v>2571500</v>
      </c>
      <c r="P431" s="547">
        <f t="shared" si="365"/>
        <v>4351532</v>
      </c>
      <c r="Q431" s="45"/>
      <c r="R431" s="44"/>
    </row>
    <row r="432" spans="1:18" ht="114" customHeight="1" thickTop="1" thickBot="1" x14ac:dyDescent="0.25">
      <c r="A432" s="94" t="s">
        <v>1028</v>
      </c>
      <c r="B432" s="94" t="s">
        <v>1029</v>
      </c>
      <c r="C432" s="94" t="s">
        <v>49</v>
      </c>
      <c r="D432" s="94" t="s">
        <v>1030</v>
      </c>
      <c r="E432" s="501"/>
      <c r="F432" s="504"/>
      <c r="G432" s="504"/>
      <c r="H432" s="504"/>
      <c r="I432" s="504"/>
      <c r="J432" s="501">
        <f t="shared" si="361"/>
        <v>4351532</v>
      </c>
      <c r="K432" s="501"/>
      <c r="L432" s="504">
        <v>1780032</v>
      </c>
      <c r="M432" s="504"/>
      <c r="N432" s="504"/>
      <c r="O432" s="502">
        <f>2571500</f>
        <v>2571500</v>
      </c>
      <c r="P432" s="501">
        <f t="shared" si="362"/>
        <v>4351532</v>
      </c>
      <c r="Q432" s="546" t="b">
        <f>J432='d9'!F34</f>
        <v>1</v>
      </c>
    </row>
    <row r="433" spans="1:19" ht="87.75" customHeight="1" thickTop="1" thickBot="1" x14ac:dyDescent="0.25">
      <c r="A433" s="239" t="s">
        <v>1122</v>
      </c>
      <c r="B433" s="239" t="s">
        <v>669</v>
      </c>
      <c r="C433" s="239"/>
      <c r="D433" s="239" t="s">
        <v>670</v>
      </c>
      <c r="E433" s="501">
        <f t="shared" ref="E433:P433" si="366">E434</f>
        <v>500000</v>
      </c>
      <c r="F433" s="501">
        <f t="shared" si="366"/>
        <v>0</v>
      </c>
      <c r="G433" s="501">
        <f t="shared" si="366"/>
        <v>0</v>
      </c>
      <c r="H433" s="501">
        <f t="shared" si="366"/>
        <v>0</v>
      </c>
      <c r="I433" s="501">
        <f t="shared" si="366"/>
        <v>500000</v>
      </c>
      <c r="J433" s="501">
        <f t="shared" si="366"/>
        <v>0</v>
      </c>
      <c r="K433" s="501">
        <f t="shared" si="366"/>
        <v>0</v>
      </c>
      <c r="L433" s="501">
        <f t="shared" si="366"/>
        <v>0</v>
      </c>
      <c r="M433" s="501">
        <f t="shared" si="366"/>
        <v>0</v>
      </c>
      <c r="N433" s="501">
        <f t="shared" si="366"/>
        <v>0</v>
      </c>
      <c r="O433" s="501">
        <f t="shared" si="366"/>
        <v>0</v>
      </c>
      <c r="P433" s="501">
        <f t="shared" si="366"/>
        <v>500000</v>
      </c>
      <c r="Q433" s="45"/>
    </row>
    <row r="434" spans="1:19" ht="179.25" customHeight="1" thickTop="1" thickBot="1" x14ac:dyDescent="0.25">
      <c r="A434" s="94" t="s">
        <v>1121</v>
      </c>
      <c r="B434" s="94" t="s">
        <v>497</v>
      </c>
      <c r="C434" s="94" t="s">
        <v>42</v>
      </c>
      <c r="D434" s="94" t="s">
        <v>498</v>
      </c>
      <c r="E434" s="501">
        <f>F434+I434</f>
        <v>500000</v>
      </c>
      <c r="F434" s="504">
        <v>0</v>
      </c>
      <c r="G434" s="504"/>
      <c r="H434" s="504"/>
      <c r="I434" s="504">
        <v>500000</v>
      </c>
      <c r="J434" s="501">
        <f>L434+O434</f>
        <v>0</v>
      </c>
      <c r="K434" s="504"/>
      <c r="L434" s="504"/>
      <c r="M434" s="504"/>
      <c r="N434" s="504"/>
      <c r="O434" s="502">
        <f>(K434+0)</f>
        <v>0</v>
      </c>
      <c r="P434" s="501">
        <f>E434+J434</f>
        <v>500000</v>
      </c>
      <c r="Q434" s="45"/>
    </row>
    <row r="435" spans="1:19" ht="151.5" customHeight="1" thickTop="1" thickBot="1" x14ac:dyDescent="0.25">
      <c r="A435" s="514" t="s">
        <v>157</v>
      </c>
      <c r="B435" s="514"/>
      <c r="C435" s="514"/>
      <c r="D435" s="515" t="s">
        <v>853</v>
      </c>
      <c r="E435" s="516">
        <f>E436</f>
        <v>14255325</v>
      </c>
      <c r="F435" s="517">
        <f t="shared" ref="F435:G435" si="367">F436</f>
        <v>14255325</v>
      </c>
      <c r="G435" s="517">
        <f t="shared" si="367"/>
        <v>10738734</v>
      </c>
      <c r="H435" s="517">
        <f>H436</f>
        <v>290000</v>
      </c>
      <c r="I435" s="517">
        <f t="shared" ref="I435" si="368">I436</f>
        <v>0</v>
      </c>
      <c r="J435" s="516">
        <f>J436</f>
        <v>0</v>
      </c>
      <c r="K435" s="517">
        <f>K436</f>
        <v>0</v>
      </c>
      <c r="L435" s="517">
        <f>L436</f>
        <v>0</v>
      </c>
      <c r="M435" s="517">
        <f t="shared" ref="M435" si="369">M436</f>
        <v>0</v>
      </c>
      <c r="N435" s="517">
        <f>N436</f>
        <v>0</v>
      </c>
      <c r="O435" s="516">
        <f>O436</f>
        <v>0</v>
      </c>
      <c r="P435" s="517">
        <f t="shared" ref="P435" si="370">P436</f>
        <v>14255325</v>
      </c>
      <c r="Q435" s="18"/>
    </row>
    <row r="436" spans="1:19" ht="157.5" customHeight="1" thickTop="1" thickBot="1" x14ac:dyDescent="0.25">
      <c r="A436" s="511" t="s">
        <v>158</v>
      </c>
      <c r="B436" s="511"/>
      <c r="C436" s="511"/>
      <c r="D436" s="512" t="s">
        <v>852</v>
      </c>
      <c r="E436" s="513">
        <f>E437+E439</f>
        <v>14255325</v>
      </c>
      <c r="F436" s="513">
        <f t="shared" ref="F436:I436" si="371">F437+F439</f>
        <v>14255325</v>
      </c>
      <c r="G436" s="513">
        <f t="shared" si="371"/>
        <v>10738734</v>
      </c>
      <c r="H436" s="513">
        <f t="shared" si="371"/>
        <v>290000</v>
      </c>
      <c r="I436" s="513">
        <f t="shared" si="371"/>
        <v>0</v>
      </c>
      <c r="J436" s="513">
        <f>L436+O436</f>
        <v>0</v>
      </c>
      <c r="K436" s="513">
        <f t="shared" ref="K436:O436" si="372">K437+K439</f>
        <v>0</v>
      </c>
      <c r="L436" s="513">
        <f t="shared" si="372"/>
        <v>0</v>
      </c>
      <c r="M436" s="513">
        <f t="shared" si="372"/>
        <v>0</v>
      </c>
      <c r="N436" s="513">
        <f t="shared" si="372"/>
        <v>0</v>
      </c>
      <c r="O436" s="513">
        <f t="shared" si="372"/>
        <v>0</v>
      </c>
      <c r="P436" s="513">
        <f>E436+J436</f>
        <v>14255325</v>
      </c>
      <c r="Q436" s="546" t="b">
        <f>P436=P438+P441</f>
        <v>1</v>
      </c>
      <c r="R436" s="43"/>
    </row>
    <row r="437" spans="1:19" ht="141" customHeight="1" thickTop="1" thickBot="1" x14ac:dyDescent="0.25">
      <c r="A437" s="483" t="s">
        <v>797</v>
      </c>
      <c r="B437" s="483" t="s">
        <v>652</v>
      </c>
      <c r="C437" s="483"/>
      <c r="D437" s="483" t="s">
        <v>653</v>
      </c>
      <c r="E437" s="485">
        <f>SUM(E438)</f>
        <v>13855325</v>
      </c>
      <c r="F437" s="485">
        <f t="shared" ref="F437:P437" si="373">SUM(F438)</f>
        <v>13855325</v>
      </c>
      <c r="G437" s="485">
        <f t="shared" si="373"/>
        <v>10738734</v>
      </c>
      <c r="H437" s="485">
        <f t="shared" si="373"/>
        <v>290000</v>
      </c>
      <c r="I437" s="485">
        <f t="shared" si="373"/>
        <v>0</v>
      </c>
      <c r="J437" s="485">
        <f t="shared" si="373"/>
        <v>0</v>
      </c>
      <c r="K437" s="485">
        <f t="shared" si="373"/>
        <v>0</v>
      </c>
      <c r="L437" s="485">
        <f t="shared" si="373"/>
        <v>0</v>
      </c>
      <c r="M437" s="485">
        <f t="shared" si="373"/>
        <v>0</v>
      </c>
      <c r="N437" s="485">
        <f t="shared" si="373"/>
        <v>0</v>
      </c>
      <c r="O437" s="485">
        <f t="shared" si="373"/>
        <v>0</v>
      </c>
      <c r="P437" s="485">
        <f t="shared" si="373"/>
        <v>13855325</v>
      </c>
      <c r="Q437" s="45"/>
      <c r="R437" s="43"/>
    </row>
    <row r="438" spans="1:19" ht="152.25" customHeight="1" thickTop="1" thickBot="1" x14ac:dyDescent="0.25">
      <c r="A438" s="469" t="s">
        <v>407</v>
      </c>
      <c r="B438" s="469" t="s">
        <v>231</v>
      </c>
      <c r="C438" s="469" t="s">
        <v>229</v>
      </c>
      <c r="D438" s="94" t="s">
        <v>1515</v>
      </c>
      <c r="E438" s="501">
        <f>F438+I438</f>
        <v>13855325</v>
      </c>
      <c r="F438" s="487">
        <v>13855325</v>
      </c>
      <c r="G438" s="487">
        <v>10738734</v>
      </c>
      <c r="H438" s="487">
        <v>290000</v>
      </c>
      <c r="I438" s="487"/>
      <c r="J438" s="485">
        <f>L438+O438</f>
        <v>0</v>
      </c>
      <c r="K438" s="487"/>
      <c r="L438" s="487"/>
      <c r="M438" s="487"/>
      <c r="N438" s="487"/>
      <c r="O438" s="488">
        <f>K438</f>
        <v>0</v>
      </c>
      <c r="P438" s="485">
        <f>E438+J438</f>
        <v>13855325</v>
      </c>
      <c r="Q438" s="18"/>
      <c r="R438" s="43"/>
    </row>
    <row r="439" spans="1:19" ht="109.5" customHeight="1" thickTop="1" thickBot="1" x14ac:dyDescent="0.25">
      <c r="A439" s="239" t="s">
        <v>798</v>
      </c>
      <c r="B439" s="239" t="s">
        <v>713</v>
      </c>
      <c r="C439" s="94"/>
      <c r="D439" s="239" t="s">
        <v>757</v>
      </c>
      <c r="E439" s="501">
        <f t="shared" ref="E439:P439" si="374">E440+E442</f>
        <v>400000</v>
      </c>
      <c r="F439" s="501">
        <f t="shared" si="374"/>
        <v>400000</v>
      </c>
      <c r="G439" s="501">
        <f t="shared" si="374"/>
        <v>0</v>
      </c>
      <c r="H439" s="501">
        <f t="shared" si="374"/>
        <v>0</v>
      </c>
      <c r="I439" s="501">
        <f t="shared" si="374"/>
        <v>0</v>
      </c>
      <c r="J439" s="501">
        <f t="shared" si="374"/>
        <v>0</v>
      </c>
      <c r="K439" s="501">
        <f t="shared" si="374"/>
        <v>0</v>
      </c>
      <c r="L439" s="501">
        <f t="shared" si="374"/>
        <v>0</v>
      </c>
      <c r="M439" s="501">
        <f t="shared" si="374"/>
        <v>0</v>
      </c>
      <c r="N439" s="501">
        <f t="shared" si="374"/>
        <v>0</v>
      </c>
      <c r="O439" s="501">
        <f t="shared" si="374"/>
        <v>0</v>
      </c>
      <c r="P439" s="501">
        <f t="shared" si="374"/>
        <v>400000</v>
      </c>
      <c r="Q439" s="18"/>
      <c r="R439" s="45"/>
    </row>
    <row r="440" spans="1:19" ht="103.5" customHeight="1" thickTop="1" thickBot="1" x14ac:dyDescent="0.25">
      <c r="A440" s="508" t="s">
        <v>799</v>
      </c>
      <c r="B440" s="508" t="s">
        <v>800</v>
      </c>
      <c r="C440" s="508"/>
      <c r="D440" s="508" t="s">
        <v>801</v>
      </c>
      <c r="E440" s="524">
        <f>SUM(E441)</f>
        <v>400000</v>
      </c>
      <c r="F440" s="524">
        <f t="shared" ref="F440:P440" si="375">SUM(F441)</f>
        <v>400000</v>
      </c>
      <c r="G440" s="524">
        <f t="shared" si="375"/>
        <v>0</v>
      </c>
      <c r="H440" s="524">
        <f t="shared" si="375"/>
        <v>0</v>
      </c>
      <c r="I440" s="524">
        <f t="shared" si="375"/>
        <v>0</v>
      </c>
      <c r="J440" s="524">
        <f t="shared" si="375"/>
        <v>0</v>
      </c>
      <c r="K440" s="524">
        <f t="shared" si="375"/>
        <v>0</v>
      </c>
      <c r="L440" s="524">
        <f t="shared" si="375"/>
        <v>0</v>
      </c>
      <c r="M440" s="524">
        <f t="shared" si="375"/>
        <v>0</v>
      </c>
      <c r="N440" s="524">
        <f t="shared" si="375"/>
        <v>0</v>
      </c>
      <c r="O440" s="524">
        <f t="shared" si="375"/>
        <v>0</v>
      </c>
      <c r="P440" s="524">
        <f t="shared" si="375"/>
        <v>400000</v>
      </c>
      <c r="Q440" s="18"/>
      <c r="R440" s="45"/>
    </row>
    <row r="441" spans="1:19" ht="123" customHeight="1" thickTop="1" thickBot="1" x14ac:dyDescent="0.25">
      <c r="A441" s="94" t="s">
        <v>300</v>
      </c>
      <c r="B441" s="94" t="s">
        <v>301</v>
      </c>
      <c r="C441" s="94" t="s">
        <v>302</v>
      </c>
      <c r="D441" s="94" t="s">
        <v>448</v>
      </c>
      <c r="E441" s="501">
        <f>F441+I441</f>
        <v>400000</v>
      </c>
      <c r="F441" s="504">
        <v>400000</v>
      </c>
      <c r="G441" s="504"/>
      <c r="H441" s="504"/>
      <c r="I441" s="504"/>
      <c r="J441" s="501">
        <f>L441+O441</f>
        <v>0</v>
      </c>
      <c r="K441" s="504"/>
      <c r="L441" s="504"/>
      <c r="M441" s="504"/>
      <c r="N441" s="504"/>
      <c r="O441" s="502">
        <f>(K441)</f>
        <v>0</v>
      </c>
      <c r="P441" s="501">
        <f>E441+J441</f>
        <v>400000</v>
      </c>
      <c r="Q441" s="18"/>
      <c r="R441" s="43"/>
    </row>
    <row r="442" spans="1:19" ht="47.25" hidden="1" thickTop="1" thickBot="1" x14ac:dyDescent="0.25">
      <c r="A442" s="127" t="s">
        <v>802</v>
      </c>
      <c r="B442" s="127" t="s">
        <v>659</v>
      </c>
      <c r="C442" s="119"/>
      <c r="D442" s="127" t="s">
        <v>803</v>
      </c>
      <c r="E442" s="128">
        <f>SUM(E443)</f>
        <v>0</v>
      </c>
      <c r="F442" s="128">
        <f t="shared" ref="F442:P442" si="376">SUM(F443)</f>
        <v>0</v>
      </c>
      <c r="G442" s="128">
        <f t="shared" si="376"/>
        <v>0</v>
      </c>
      <c r="H442" s="128">
        <f t="shared" si="376"/>
        <v>0</v>
      </c>
      <c r="I442" s="128">
        <f t="shared" si="376"/>
        <v>0</v>
      </c>
      <c r="J442" s="128">
        <f t="shared" si="376"/>
        <v>0</v>
      </c>
      <c r="K442" s="128">
        <f t="shared" si="376"/>
        <v>0</v>
      </c>
      <c r="L442" s="128">
        <f t="shared" si="376"/>
        <v>0</v>
      </c>
      <c r="M442" s="128">
        <f t="shared" si="376"/>
        <v>0</v>
      </c>
      <c r="N442" s="128">
        <f t="shared" si="376"/>
        <v>0</v>
      </c>
      <c r="O442" s="128">
        <f t="shared" si="376"/>
        <v>0</v>
      </c>
      <c r="P442" s="128">
        <f t="shared" si="376"/>
        <v>0</v>
      </c>
      <c r="Q442" s="18"/>
    </row>
    <row r="443" spans="1:19" ht="48" hidden="1" thickTop="1" thickBot="1" x14ac:dyDescent="0.25">
      <c r="A443" s="119" t="s">
        <v>358</v>
      </c>
      <c r="B443" s="119" t="s">
        <v>359</v>
      </c>
      <c r="C443" s="119" t="s">
        <v>165</v>
      </c>
      <c r="D443" s="119" t="s">
        <v>360</v>
      </c>
      <c r="E443" s="118"/>
      <c r="F443" s="125"/>
      <c r="G443" s="125"/>
      <c r="H443" s="125"/>
      <c r="I443" s="125"/>
      <c r="J443" s="118">
        <f>L443+O443</f>
        <v>0</v>
      </c>
      <c r="K443" s="125"/>
      <c r="L443" s="125"/>
      <c r="M443" s="125"/>
      <c r="N443" s="125"/>
      <c r="O443" s="123">
        <f>K443</f>
        <v>0</v>
      </c>
      <c r="P443" s="118">
        <f>E443+J443</f>
        <v>0</v>
      </c>
      <c r="Q443" s="18"/>
      <c r="R443" s="43"/>
    </row>
    <row r="444" spans="1:19" ht="168.75" customHeight="1" thickTop="1" thickBot="1" x14ac:dyDescent="0.25">
      <c r="A444" s="514" t="s">
        <v>163</v>
      </c>
      <c r="B444" s="514"/>
      <c r="C444" s="514"/>
      <c r="D444" s="515" t="s">
        <v>27</v>
      </c>
      <c r="E444" s="516">
        <f>E445</f>
        <v>229373922.37</v>
      </c>
      <c r="F444" s="517">
        <f t="shared" ref="F444:G444" si="377">F445</f>
        <v>229353922.37</v>
      </c>
      <c r="G444" s="517">
        <f t="shared" si="377"/>
        <v>12216998</v>
      </c>
      <c r="H444" s="517">
        <f>H445</f>
        <v>295931</v>
      </c>
      <c r="I444" s="517">
        <f t="shared" ref="I444" si="378">I445</f>
        <v>20000</v>
      </c>
      <c r="J444" s="516">
        <f>J445</f>
        <v>0</v>
      </c>
      <c r="K444" s="517">
        <f>K445</f>
        <v>0</v>
      </c>
      <c r="L444" s="517">
        <f>L445</f>
        <v>0</v>
      </c>
      <c r="M444" s="517">
        <f t="shared" ref="M444" si="379">M445</f>
        <v>0</v>
      </c>
      <c r="N444" s="517">
        <f>N445</f>
        <v>0</v>
      </c>
      <c r="O444" s="516">
        <f>O445</f>
        <v>0</v>
      </c>
      <c r="P444" s="517">
        <f t="shared" ref="P444" si="380">P445</f>
        <v>229373922.37</v>
      </c>
      <c r="Q444" s="18"/>
    </row>
    <row r="445" spans="1:19" ht="160.5" customHeight="1" thickTop="1" thickBot="1" x14ac:dyDescent="0.25">
      <c r="A445" s="511" t="s">
        <v>164</v>
      </c>
      <c r="B445" s="511"/>
      <c r="C445" s="511"/>
      <c r="D445" s="512" t="s">
        <v>39</v>
      </c>
      <c r="E445" s="513">
        <f>E446+E452+E459+E449</f>
        <v>229373922.37</v>
      </c>
      <c r="F445" s="513">
        <f t="shared" ref="F445:P445" si="381">F446+F452+F459+F449</f>
        <v>229353922.37</v>
      </c>
      <c r="G445" s="513">
        <f t="shared" si="381"/>
        <v>12216998</v>
      </c>
      <c r="H445" s="513">
        <f t="shared" si="381"/>
        <v>295931</v>
      </c>
      <c r="I445" s="513">
        <f t="shared" si="381"/>
        <v>20000</v>
      </c>
      <c r="J445" s="513">
        <f t="shared" si="381"/>
        <v>0</v>
      </c>
      <c r="K445" s="513">
        <f t="shared" si="381"/>
        <v>0</v>
      </c>
      <c r="L445" s="513">
        <f t="shared" si="381"/>
        <v>0</v>
      </c>
      <c r="M445" s="513">
        <f t="shared" si="381"/>
        <v>0</v>
      </c>
      <c r="N445" s="513">
        <f t="shared" si="381"/>
        <v>0</v>
      </c>
      <c r="O445" s="513">
        <f t="shared" si="381"/>
        <v>0</v>
      </c>
      <c r="P445" s="513">
        <f t="shared" si="381"/>
        <v>229373922.37</v>
      </c>
      <c r="Q445" s="546" t="b">
        <f>P445=P447+P453+P455+P461</f>
        <v>1</v>
      </c>
      <c r="R445" s="43"/>
    </row>
    <row r="446" spans="1:19" ht="103.5" customHeight="1" thickTop="1" thickBot="1" x14ac:dyDescent="0.25">
      <c r="A446" s="483" t="s">
        <v>804</v>
      </c>
      <c r="B446" s="483" t="s">
        <v>652</v>
      </c>
      <c r="C446" s="483"/>
      <c r="D446" s="483" t="s">
        <v>653</v>
      </c>
      <c r="E446" s="485">
        <f>SUM(E447:E448)</f>
        <v>15539199</v>
      </c>
      <c r="F446" s="485">
        <f t="shared" ref="F446:P446" si="382">SUM(F447:F448)</f>
        <v>15519199</v>
      </c>
      <c r="G446" s="485">
        <f t="shared" si="382"/>
        <v>12216998</v>
      </c>
      <c r="H446" s="485">
        <f t="shared" si="382"/>
        <v>295931</v>
      </c>
      <c r="I446" s="485">
        <f t="shared" si="382"/>
        <v>20000</v>
      </c>
      <c r="J446" s="485">
        <f t="shared" si="382"/>
        <v>0</v>
      </c>
      <c r="K446" s="485">
        <f t="shared" si="382"/>
        <v>0</v>
      </c>
      <c r="L446" s="485">
        <f t="shared" si="382"/>
        <v>0</v>
      </c>
      <c r="M446" s="485">
        <f t="shared" si="382"/>
        <v>0</v>
      </c>
      <c r="N446" s="485">
        <f t="shared" si="382"/>
        <v>0</v>
      </c>
      <c r="O446" s="485">
        <f t="shared" si="382"/>
        <v>0</v>
      </c>
      <c r="P446" s="485">
        <f t="shared" si="382"/>
        <v>15539199</v>
      </c>
      <c r="Q446" s="45"/>
      <c r="R446" s="48"/>
    </row>
    <row r="447" spans="1:19" ht="152.25" customHeight="1" thickTop="1" thickBot="1" x14ac:dyDescent="0.25">
      <c r="A447" s="469" t="s">
        <v>409</v>
      </c>
      <c r="B447" s="469" t="s">
        <v>231</v>
      </c>
      <c r="C447" s="469" t="s">
        <v>229</v>
      </c>
      <c r="D447" s="469" t="s">
        <v>1515</v>
      </c>
      <c r="E447" s="485">
        <f>F447+I447</f>
        <v>15539199</v>
      </c>
      <c r="F447" s="487">
        <v>15519199</v>
      </c>
      <c r="G447" s="487">
        <v>12216998</v>
      </c>
      <c r="H447" s="487">
        <v>295931</v>
      </c>
      <c r="I447" s="487">
        <v>20000</v>
      </c>
      <c r="J447" s="485">
        <f>L447+O447</f>
        <v>0</v>
      </c>
      <c r="K447" s="487"/>
      <c r="L447" s="487"/>
      <c r="M447" s="487"/>
      <c r="N447" s="487"/>
      <c r="O447" s="488">
        <f>K447</f>
        <v>0</v>
      </c>
      <c r="P447" s="485">
        <f>E447+J447</f>
        <v>15539199</v>
      </c>
      <c r="Q447" s="45"/>
      <c r="R447" s="48"/>
      <c r="S447" s="45"/>
    </row>
    <row r="448" spans="1:19" ht="93" hidden="1" thickTop="1" thickBot="1" x14ac:dyDescent="0.25">
      <c r="A448" s="119" t="s">
        <v>607</v>
      </c>
      <c r="B448" s="119" t="s">
        <v>352</v>
      </c>
      <c r="C448" s="119" t="s">
        <v>598</v>
      </c>
      <c r="D448" s="119" t="s">
        <v>599</v>
      </c>
      <c r="E448" s="142">
        <f>F448</f>
        <v>0</v>
      </c>
      <c r="F448" s="120"/>
      <c r="G448" s="120"/>
      <c r="H448" s="120"/>
      <c r="I448" s="120"/>
      <c r="J448" s="118">
        <f t="shared" ref="J448" si="383">L448+O448</f>
        <v>0</v>
      </c>
      <c r="K448" s="120"/>
      <c r="L448" s="121"/>
      <c r="M448" s="121"/>
      <c r="N448" s="121"/>
      <c r="O448" s="123">
        <f t="shared" ref="O448" si="384">K448</f>
        <v>0</v>
      </c>
      <c r="P448" s="118">
        <f t="shared" ref="P448" si="385">+J448+E448</f>
        <v>0</v>
      </c>
      <c r="Q448" s="45"/>
      <c r="R448" s="48"/>
    </row>
    <row r="449" spans="1:18" ht="47.25" hidden="1" thickTop="1" thickBot="1" x14ac:dyDescent="0.25">
      <c r="A449" s="127" t="s">
        <v>1084</v>
      </c>
      <c r="B449" s="127" t="s">
        <v>659</v>
      </c>
      <c r="C449" s="127"/>
      <c r="D449" s="127" t="s">
        <v>657</v>
      </c>
      <c r="E449" s="154">
        <f>E450</f>
        <v>0</v>
      </c>
      <c r="F449" s="154">
        <f t="shared" ref="F449:P450" si="386">F450</f>
        <v>0</v>
      </c>
      <c r="G449" s="154">
        <f t="shared" si="386"/>
        <v>0</v>
      </c>
      <c r="H449" s="154">
        <f t="shared" si="386"/>
        <v>0</v>
      </c>
      <c r="I449" s="154">
        <f t="shared" si="386"/>
        <v>0</v>
      </c>
      <c r="J449" s="154">
        <f t="shared" si="386"/>
        <v>0</v>
      </c>
      <c r="K449" s="154">
        <f t="shared" si="386"/>
        <v>0</v>
      </c>
      <c r="L449" s="154">
        <f t="shared" si="386"/>
        <v>0</v>
      </c>
      <c r="M449" s="154">
        <f t="shared" si="386"/>
        <v>0</v>
      </c>
      <c r="N449" s="154">
        <f t="shared" si="386"/>
        <v>0</v>
      </c>
      <c r="O449" s="154">
        <f t="shared" si="386"/>
        <v>0</v>
      </c>
      <c r="P449" s="154">
        <f t="shared" si="386"/>
        <v>0</v>
      </c>
      <c r="Q449" s="45"/>
      <c r="R449" s="48"/>
    </row>
    <row r="450" spans="1:18" ht="48" hidden="1" thickTop="1" thickBot="1" x14ac:dyDescent="0.25">
      <c r="A450" s="131" t="s">
        <v>1085</v>
      </c>
      <c r="B450" s="131" t="s">
        <v>662</v>
      </c>
      <c r="C450" s="131"/>
      <c r="D450" s="131" t="s">
        <v>660</v>
      </c>
      <c r="E450" s="132">
        <f>E451</f>
        <v>0</v>
      </c>
      <c r="F450" s="132">
        <f t="shared" si="386"/>
        <v>0</v>
      </c>
      <c r="G450" s="132">
        <f t="shared" si="386"/>
        <v>0</v>
      </c>
      <c r="H450" s="132">
        <f t="shared" si="386"/>
        <v>0</v>
      </c>
      <c r="I450" s="132">
        <f t="shared" si="386"/>
        <v>0</v>
      </c>
      <c r="J450" s="132">
        <f t="shared" si="386"/>
        <v>0</v>
      </c>
      <c r="K450" s="132">
        <f t="shared" si="386"/>
        <v>0</v>
      </c>
      <c r="L450" s="132">
        <f t="shared" si="386"/>
        <v>0</v>
      </c>
      <c r="M450" s="132">
        <f t="shared" si="386"/>
        <v>0</v>
      </c>
      <c r="N450" s="132">
        <f t="shared" si="386"/>
        <v>0</v>
      </c>
      <c r="O450" s="132">
        <f t="shared" si="386"/>
        <v>0</v>
      </c>
      <c r="P450" s="132">
        <f t="shared" si="386"/>
        <v>0</v>
      </c>
      <c r="Q450" s="45"/>
      <c r="R450" s="48"/>
    </row>
    <row r="451" spans="1:18" ht="48" hidden="1" thickTop="1" thickBot="1" x14ac:dyDescent="0.25">
      <c r="A451" s="119" t="s">
        <v>1086</v>
      </c>
      <c r="B451" s="119" t="s">
        <v>251</v>
      </c>
      <c r="C451" s="119" t="s">
        <v>165</v>
      </c>
      <c r="D451" s="119" t="s">
        <v>249</v>
      </c>
      <c r="E451" s="118">
        <f t="shared" ref="E451" si="387">F451</f>
        <v>0</v>
      </c>
      <c r="F451" s="125"/>
      <c r="G451" s="125"/>
      <c r="H451" s="125"/>
      <c r="I451" s="125"/>
      <c r="J451" s="118">
        <f t="shared" ref="J451" si="388">L451+O451</f>
        <v>0</v>
      </c>
      <c r="K451" s="125"/>
      <c r="L451" s="125"/>
      <c r="M451" s="125"/>
      <c r="N451" s="125"/>
      <c r="O451" s="123">
        <f>K451</f>
        <v>0</v>
      </c>
      <c r="P451" s="118">
        <f t="shared" ref="P451" si="389">E451+J451</f>
        <v>0</v>
      </c>
      <c r="Q451" s="45"/>
      <c r="R451" s="48"/>
    </row>
    <row r="452" spans="1:18" ht="90.75" customHeight="1" thickTop="1" thickBot="1" x14ac:dyDescent="0.25">
      <c r="A452" s="483" t="s">
        <v>805</v>
      </c>
      <c r="B452" s="483" t="s">
        <v>664</v>
      </c>
      <c r="C452" s="483"/>
      <c r="D452" s="483" t="s">
        <v>665</v>
      </c>
      <c r="E452" s="471">
        <f t="shared" ref="E452:P452" si="390">E453+E454+E456</f>
        <v>8548223.370000001</v>
      </c>
      <c r="F452" s="471">
        <f t="shared" si="390"/>
        <v>8548223.370000001</v>
      </c>
      <c r="G452" s="471">
        <f t="shared" si="390"/>
        <v>0</v>
      </c>
      <c r="H452" s="471">
        <f t="shared" si="390"/>
        <v>0</v>
      </c>
      <c r="I452" s="471">
        <f t="shared" si="390"/>
        <v>0</v>
      </c>
      <c r="J452" s="471">
        <f t="shared" si="390"/>
        <v>0</v>
      </c>
      <c r="K452" s="471">
        <f t="shared" si="390"/>
        <v>0</v>
      </c>
      <c r="L452" s="471">
        <f t="shared" si="390"/>
        <v>0</v>
      </c>
      <c r="M452" s="471">
        <f t="shared" si="390"/>
        <v>0</v>
      </c>
      <c r="N452" s="471">
        <f t="shared" si="390"/>
        <v>0</v>
      </c>
      <c r="O452" s="471">
        <f t="shared" si="390"/>
        <v>0</v>
      </c>
      <c r="P452" s="471">
        <f t="shared" si="390"/>
        <v>8548223.370000001</v>
      </c>
      <c r="Q452" s="45"/>
      <c r="R452" s="48"/>
    </row>
    <row r="453" spans="1:18" ht="100.5" customHeight="1" thickTop="1" thickBot="1" x14ac:dyDescent="0.25">
      <c r="A453" s="549">
        <v>3718600</v>
      </c>
      <c r="B453" s="549">
        <v>8600</v>
      </c>
      <c r="C453" s="496" t="s">
        <v>352</v>
      </c>
      <c r="D453" s="549" t="s">
        <v>441</v>
      </c>
      <c r="E453" s="495">
        <f>F453+I453</f>
        <v>782309.64</v>
      </c>
      <c r="F453" s="495">
        <v>782309.64</v>
      </c>
      <c r="G453" s="495"/>
      <c r="H453" s="495"/>
      <c r="I453" s="495"/>
      <c r="J453" s="495">
        <f>L453+O453</f>
        <v>0</v>
      </c>
      <c r="K453" s="495"/>
      <c r="L453" s="495"/>
      <c r="M453" s="495"/>
      <c r="N453" s="495"/>
      <c r="O453" s="550">
        <f>K453</f>
        <v>0</v>
      </c>
      <c r="P453" s="495">
        <f>E453+J453</f>
        <v>782309.64</v>
      </c>
      <c r="Q453" s="18"/>
    </row>
    <row r="454" spans="1:18" ht="116.25" customHeight="1" thickTop="1" thickBot="1" x14ac:dyDescent="0.25">
      <c r="A454" s="549">
        <v>3718700</v>
      </c>
      <c r="B454" s="549">
        <v>8700</v>
      </c>
      <c r="C454" s="496"/>
      <c r="D454" s="549" t="s">
        <v>806</v>
      </c>
      <c r="E454" s="495">
        <f t="shared" ref="E454:P454" si="391">E455</f>
        <v>7765913.7300000004</v>
      </c>
      <c r="F454" s="495">
        <f>F455</f>
        <v>7765913.7300000004</v>
      </c>
      <c r="G454" s="495">
        <f t="shared" si="391"/>
        <v>0</v>
      </c>
      <c r="H454" s="495">
        <f t="shared" si="391"/>
        <v>0</v>
      </c>
      <c r="I454" s="495">
        <f t="shared" si="391"/>
        <v>0</v>
      </c>
      <c r="J454" s="495">
        <f t="shared" si="391"/>
        <v>0</v>
      </c>
      <c r="K454" s="495">
        <f t="shared" si="391"/>
        <v>0</v>
      </c>
      <c r="L454" s="495">
        <f t="shared" si="391"/>
        <v>0</v>
      </c>
      <c r="M454" s="495">
        <f t="shared" si="391"/>
        <v>0</v>
      </c>
      <c r="N454" s="495">
        <f t="shared" si="391"/>
        <v>0</v>
      </c>
      <c r="O454" s="495">
        <f t="shared" si="391"/>
        <v>0</v>
      </c>
      <c r="P454" s="495">
        <f t="shared" si="391"/>
        <v>7765913.7300000004</v>
      </c>
      <c r="Q454" s="18"/>
    </row>
    <row r="455" spans="1:18" ht="122.25" customHeight="1" thickTop="1" thickBot="1" x14ac:dyDescent="0.25">
      <c r="A455" s="475">
        <v>3718710</v>
      </c>
      <c r="B455" s="475">
        <v>8710</v>
      </c>
      <c r="C455" s="469" t="s">
        <v>41</v>
      </c>
      <c r="D455" s="486" t="s">
        <v>612</v>
      </c>
      <c r="E455" s="485">
        <f>F455+I455</f>
        <v>7765913.7300000004</v>
      </c>
      <c r="F455" s="487">
        <f>(20891914)-13126000.27</f>
        <v>7765913.7300000004</v>
      </c>
      <c r="G455" s="487"/>
      <c r="H455" s="487"/>
      <c r="I455" s="487"/>
      <c r="J455" s="485">
        <f>L455+O455</f>
        <v>0</v>
      </c>
      <c r="K455" s="487"/>
      <c r="L455" s="487"/>
      <c r="M455" s="487"/>
      <c r="N455" s="487"/>
      <c r="O455" s="488">
        <f>K455</f>
        <v>0</v>
      </c>
      <c r="P455" s="485">
        <f>E455+J455</f>
        <v>7765913.7300000004</v>
      </c>
      <c r="Q455" s="18"/>
    </row>
    <row r="456" spans="1:18" ht="47.25" hidden="1" thickTop="1" thickBot="1" x14ac:dyDescent="0.25">
      <c r="A456" s="155">
        <v>3718800</v>
      </c>
      <c r="B456" s="155">
        <v>8800</v>
      </c>
      <c r="C456" s="127"/>
      <c r="D456" s="155" t="s">
        <v>814</v>
      </c>
      <c r="E456" s="128">
        <f>E457</f>
        <v>0</v>
      </c>
      <c r="F456" s="128">
        <f>F457</f>
        <v>0</v>
      </c>
      <c r="G456" s="128">
        <f t="shared" ref="G456:P457" si="392">G457</f>
        <v>0</v>
      </c>
      <c r="H456" s="128">
        <f t="shared" si="392"/>
        <v>0</v>
      </c>
      <c r="I456" s="128">
        <f t="shared" si="392"/>
        <v>0</v>
      </c>
      <c r="J456" s="128">
        <f t="shared" si="392"/>
        <v>0</v>
      </c>
      <c r="K456" s="128">
        <f t="shared" si="392"/>
        <v>0</v>
      </c>
      <c r="L456" s="128">
        <f t="shared" si="392"/>
        <v>0</v>
      </c>
      <c r="M456" s="128">
        <f t="shared" si="392"/>
        <v>0</v>
      </c>
      <c r="N456" s="128">
        <f t="shared" si="392"/>
        <v>0</v>
      </c>
      <c r="O456" s="128">
        <f t="shared" si="392"/>
        <v>0</v>
      </c>
      <c r="P456" s="128">
        <f t="shared" si="392"/>
        <v>0</v>
      </c>
      <c r="Q456" s="18"/>
    </row>
    <row r="457" spans="1:18" ht="93" hidden="1" thickTop="1" thickBot="1" x14ac:dyDescent="0.25">
      <c r="A457" s="156">
        <v>3718880</v>
      </c>
      <c r="B457" s="156">
        <v>8880</v>
      </c>
      <c r="C457" s="131"/>
      <c r="D457" s="143" t="s">
        <v>1042</v>
      </c>
      <c r="E457" s="132">
        <f>E458</f>
        <v>0</v>
      </c>
      <c r="F457" s="132">
        <f t="shared" ref="F457" si="393">F458</f>
        <v>0</v>
      </c>
      <c r="G457" s="132">
        <f t="shared" si="392"/>
        <v>0</v>
      </c>
      <c r="H457" s="132">
        <f t="shared" si="392"/>
        <v>0</v>
      </c>
      <c r="I457" s="132">
        <f t="shared" si="392"/>
        <v>0</v>
      </c>
      <c r="J457" s="132">
        <f t="shared" si="392"/>
        <v>0</v>
      </c>
      <c r="K457" s="132">
        <f t="shared" si="392"/>
        <v>0</v>
      </c>
      <c r="L457" s="132">
        <f t="shared" si="392"/>
        <v>0</v>
      </c>
      <c r="M457" s="132">
        <f t="shared" si="392"/>
        <v>0</v>
      </c>
      <c r="N457" s="132">
        <f t="shared" si="392"/>
        <v>0</v>
      </c>
      <c r="O457" s="132">
        <f t="shared" si="392"/>
        <v>0</v>
      </c>
      <c r="P457" s="132">
        <f t="shared" si="392"/>
        <v>0</v>
      </c>
      <c r="Q457" s="18"/>
    </row>
    <row r="458" spans="1:18" ht="93" hidden="1" thickTop="1" thickBot="1" x14ac:dyDescent="0.25">
      <c r="A458" s="119">
        <v>3718881</v>
      </c>
      <c r="B458" s="119">
        <v>8881</v>
      </c>
      <c r="C458" s="119" t="s">
        <v>165</v>
      </c>
      <c r="D458" s="119" t="s">
        <v>1043</v>
      </c>
      <c r="E458" s="142">
        <f>F458</f>
        <v>0</v>
      </c>
      <c r="F458" s="120">
        <f>(2500000)-2500000</f>
        <v>0</v>
      </c>
      <c r="G458" s="120"/>
      <c r="H458" s="120"/>
      <c r="I458" s="120"/>
      <c r="J458" s="118">
        <f t="shared" ref="J458" si="394">L458+O458</f>
        <v>0</v>
      </c>
      <c r="K458" s="120"/>
      <c r="L458" s="121"/>
      <c r="M458" s="121"/>
      <c r="N458" s="121"/>
      <c r="O458" s="123">
        <f t="shared" ref="O458" si="395">K458</f>
        <v>0</v>
      </c>
      <c r="P458" s="118">
        <f t="shared" ref="P458" si="396">+J458+E458</f>
        <v>0</v>
      </c>
      <c r="Q458" s="18"/>
    </row>
    <row r="459" spans="1:18" ht="144" customHeight="1" thickTop="1" thickBot="1" x14ac:dyDescent="0.25">
      <c r="A459" s="483" t="s">
        <v>807</v>
      </c>
      <c r="B459" s="483" t="s">
        <v>669</v>
      </c>
      <c r="C459" s="483"/>
      <c r="D459" s="483" t="s">
        <v>670</v>
      </c>
      <c r="E459" s="485">
        <f>E460</f>
        <v>205286500</v>
      </c>
      <c r="F459" s="485">
        <f t="shared" ref="F459:P460" si="397">F460</f>
        <v>205286500</v>
      </c>
      <c r="G459" s="485">
        <f t="shared" si="397"/>
        <v>0</v>
      </c>
      <c r="H459" s="485">
        <f t="shared" si="397"/>
        <v>0</v>
      </c>
      <c r="I459" s="485">
        <f t="shared" si="397"/>
        <v>0</v>
      </c>
      <c r="J459" s="485">
        <f t="shared" si="397"/>
        <v>0</v>
      </c>
      <c r="K459" s="485">
        <f t="shared" si="397"/>
        <v>0</v>
      </c>
      <c r="L459" s="485">
        <f t="shared" si="397"/>
        <v>0</v>
      </c>
      <c r="M459" s="485">
        <f t="shared" si="397"/>
        <v>0</v>
      </c>
      <c r="N459" s="485">
        <f t="shared" si="397"/>
        <v>0</v>
      </c>
      <c r="O459" s="485">
        <f t="shared" si="397"/>
        <v>0</v>
      </c>
      <c r="P459" s="485">
        <f t="shared" si="397"/>
        <v>205286500</v>
      </c>
      <c r="Q459" s="18"/>
    </row>
    <row r="460" spans="1:18" ht="90.75" customHeight="1" thickTop="1" thickBot="1" x14ac:dyDescent="0.25">
      <c r="A460" s="549">
        <v>3719100</v>
      </c>
      <c r="B460" s="496" t="s">
        <v>809</v>
      </c>
      <c r="C460" s="496"/>
      <c r="D460" s="496" t="s">
        <v>808</v>
      </c>
      <c r="E460" s="495">
        <f>E461</f>
        <v>205286500</v>
      </c>
      <c r="F460" s="495">
        <f t="shared" si="397"/>
        <v>205286500</v>
      </c>
      <c r="G460" s="495">
        <f t="shared" si="397"/>
        <v>0</v>
      </c>
      <c r="H460" s="495">
        <f t="shared" si="397"/>
        <v>0</v>
      </c>
      <c r="I460" s="495">
        <f t="shared" si="397"/>
        <v>0</v>
      </c>
      <c r="J460" s="495">
        <f t="shared" si="397"/>
        <v>0</v>
      </c>
      <c r="K460" s="495">
        <f t="shared" si="397"/>
        <v>0</v>
      </c>
      <c r="L460" s="495">
        <f t="shared" si="397"/>
        <v>0</v>
      </c>
      <c r="M460" s="495">
        <f t="shared" si="397"/>
        <v>0</v>
      </c>
      <c r="N460" s="495">
        <f t="shared" si="397"/>
        <v>0</v>
      </c>
      <c r="O460" s="495">
        <f t="shared" si="397"/>
        <v>0</v>
      </c>
      <c r="P460" s="495">
        <f t="shared" si="397"/>
        <v>205286500</v>
      </c>
      <c r="Q460" s="18"/>
    </row>
    <row r="461" spans="1:18" ht="98.25" customHeight="1" thickTop="1" thickBot="1" x14ac:dyDescent="0.25">
      <c r="A461" s="475">
        <v>3719110</v>
      </c>
      <c r="B461" s="475">
        <v>9110</v>
      </c>
      <c r="C461" s="469" t="s">
        <v>42</v>
      </c>
      <c r="D461" s="486" t="s">
        <v>440</v>
      </c>
      <c r="E461" s="485">
        <f>F461+I461</f>
        <v>205286500</v>
      </c>
      <c r="F461" s="487">
        <v>205286500</v>
      </c>
      <c r="G461" s="487"/>
      <c r="H461" s="487"/>
      <c r="I461" s="487"/>
      <c r="J461" s="485">
        <f>L461+O461</f>
        <v>0</v>
      </c>
      <c r="K461" s="487"/>
      <c r="L461" s="487"/>
      <c r="M461" s="487"/>
      <c r="N461" s="487"/>
      <c r="O461" s="488">
        <f>K461</f>
        <v>0</v>
      </c>
      <c r="P461" s="485">
        <f>E461+J461</f>
        <v>205286500</v>
      </c>
      <c r="Q461" s="18"/>
    </row>
    <row r="462" spans="1:18" ht="111" customHeight="1" thickTop="1" thickBot="1" x14ac:dyDescent="0.25">
      <c r="A462" s="330" t="s">
        <v>371</v>
      </c>
      <c r="B462" s="330" t="s">
        <v>371</v>
      </c>
      <c r="C462" s="330" t="s">
        <v>371</v>
      </c>
      <c r="D462" s="330" t="s">
        <v>381</v>
      </c>
      <c r="E462" s="331">
        <f t="shared" ref="E462:P462" si="398">E16+E50+E235+E118+E152+E214++E339+E373+E445+E406+E426+E436+E384+E304+E272</f>
        <v>5577391803.2399988</v>
      </c>
      <c r="F462" s="331">
        <f t="shared" si="398"/>
        <v>5294307028.6199999</v>
      </c>
      <c r="G462" s="331">
        <f t="shared" si="398"/>
        <v>2361558181</v>
      </c>
      <c r="H462" s="331">
        <f t="shared" si="398"/>
        <v>236601749.80000001</v>
      </c>
      <c r="I462" s="331">
        <f t="shared" si="398"/>
        <v>283084774.62</v>
      </c>
      <c r="J462" s="331">
        <f t="shared" si="398"/>
        <v>489943267.91000003</v>
      </c>
      <c r="K462" s="331">
        <f t="shared" si="398"/>
        <v>181168681.37</v>
      </c>
      <c r="L462" s="331">
        <f t="shared" si="398"/>
        <v>299568206.53999996</v>
      </c>
      <c r="M462" s="331">
        <f t="shared" si="398"/>
        <v>99733178</v>
      </c>
      <c r="N462" s="331">
        <f t="shared" si="398"/>
        <v>22873841</v>
      </c>
      <c r="O462" s="331">
        <f t="shared" si="398"/>
        <v>190375061.37</v>
      </c>
      <c r="P462" s="331">
        <f t="shared" si="398"/>
        <v>6067335071.1499987</v>
      </c>
      <c r="Q462" s="651" t="b">
        <f>P462=J462+E462</f>
        <v>1</v>
      </c>
    </row>
    <row r="463" spans="1:18" ht="100.5" customHeight="1" thickTop="1" x14ac:dyDescent="0.2">
      <c r="A463" s="800" t="s">
        <v>1579</v>
      </c>
      <c r="B463" s="801"/>
      <c r="C463" s="801"/>
      <c r="D463" s="801"/>
      <c r="E463" s="801"/>
      <c r="F463" s="801"/>
      <c r="G463" s="801"/>
      <c r="H463" s="801"/>
      <c r="I463" s="801"/>
      <c r="J463" s="801"/>
      <c r="K463" s="801"/>
      <c r="L463" s="801"/>
      <c r="M463" s="801"/>
      <c r="N463" s="801"/>
      <c r="O463" s="801"/>
      <c r="P463" s="801"/>
      <c r="Q463" s="54"/>
    </row>
    <row r="464" spans="1:18" ht="60.75" hidden="1" x14ac:dyDescent="0.2">
      <c r="A464" s="14"/>
      <c r="B464" s="15"/>
      <c r="C464" s="15"/>
      <c r="D464" s="15"/>
      <c r="E464" s="302">
        <f>(4258321250.42)+1319070552.82</f>
        <v>5577391803.2399998</v>
      </c>
      <c r="F464" s="302">
        <f>(4081181275.04)+39422499+18141604+2699040+995648084.63+19644615.09-4529708.92+11251686+174900+2660000+133629243.38+4810605.67+1984185+1615000-13126000.27-1900000+1000000</f>
        <v>5294307028.6199999</v>
      </c>
      <c r="G464" s="302">
        <f>(62360046+153879882+992420019+130531876+134899923+67121127+2029652+7121780-3000000)+22889593+14231625+738530+13593870+762740258</f>
        <v>2361558181</v>
      </c>
      <c r="H464" s="302">
        <f>(4605854+8720850+206052876.8+6514567+7906600+2074410+60665+1000+353940)+23647+374000-120000+3340+30000</f>
        <v>236601749.80000001</v>
      </c>
      <c r="I464" s="302">
        <f>(59714005.72+5000000+11296777.66+4515254+38979000+853750+455000+14007403+55255+500000+355530+300000+9000000+108000+32000000)+3105243.43+2500000+304031+2999141.41+23420000+62231153.4+5975500+50000+41600+4138130+280000+1900000-1000000</f>
        <v>283084774.62</v>
      </c>
      <c r="J464" s="302">
        <f>(436401090.58+'d2'!E46+'d4'!O29)+56538715.71</f>
        <v>490943267.90999997</v>
      </c>
      <c r="K464" s="302">
        <f>(445401090.58+'d2'!F46-'d4'!P29-7105000-2500000-285195418-9000000)+(56538715.71-3652670.54-1851532-8469966)</f>
        <v>181168681.37</v>
      </c>
      <c r="L464" s="302">
        <f>((7105000-200000)+2500000+246446950+(2753240+56400+5107483+6500000-15000)+2621245+(16072750-590230))+(1871440+1055606+5350620+3068946.91+583723.63-719968)</f>
        <v>299568206.54000002</v>
      </c>
      <c r="M464" s="302">
        <f>(5909411+76220850+11552040+931047)+370360+867100+3882370</f>
        <v>99733178</v>
      </c>
      <c r="N464" s="302">
        <f>(1624000+19910850+489580+540251)+309160</f>
        <v>22873841</v>
      </c>
      <c r="O464" s="302">
        <f>(436401090.58+'d2'!F46-'d4'!O29-7105000-2500000-285195418+200000+15000+5637350+590230)+(56538715.71-3652670.54-1851532-8469966+35000+157300+2571500)</f>
        <v>189375061.37</v>
      </c>
      <c r="P464" s="302">
        <f>(4694722341-2996538.38)+1375609268.53</f>
        <v>6067335071.1499996</v>
      </c>
      <c r="Q464" s="77" t="b">
        <f>E464+J464=P464</f>
        <v>0</v>
      </c>
      <c r="R464" s="54"/>
    </row>
    <row r="465" spans="1:18" ht="45.75" hidden="1" x14ac:dyDescent="0.65">
      <c r="A465" s="157"/>
      <c r="B465" s="158"/>
      <c r="C465" s="158"/>
      <c r="D465" s="3" t="s">
        <v>1245</v>
      </c>
      <c r="E465" s="240"/>
      <c r="F465" s="240"/>
      <c r="G465" s="2"/>
      <c r="H465" s="3"/>
      <c r="I465" s="2"/>
      <c r="J465" s="3"/>
      <c r="K465" s="3" t="s">
        <v>1246</v>
      </c>
      <c r="L465" s="185"/>
      <c r="M465" s="185"/>
      <c r="N465" s="185"/>
      <c r="O465" s="185"/>
      <c r="P465" s="185"/>
      <c r="Q465" s="54"/>
    </row>
    <row r="466" spans="1:18" ht="45.75" x14ac:dyDescent="0.65">
      <c r="A466" s="157"/>
      <c r="B466" s="158"/>
      <c r="C466" s="158"/>
      <c r="D466" s="341" t="s">
        <v>1417</v>
      </c>
      <c r="E466" s="240"/>
      <c r="F466" s="240"/>
      <c r="G466" s="2"/>
      <c r="H466" s="3"/>
      <c r="I466" s="2"/>
      <c r="J466" s="3"/>
      <c r="K466" s="251" t="s">
        <v>1418</v>
      </c>
      <c r="L466" s="185"/>
      <c r="M466" s="185"/>
      <c r="N466" s="185"/>
      <c r="O466" s="185"/>
      <c r="P466" s="185"/>
      <c r="Q466" s="54"/>
    </row>
    <row r="467" spans="1:18" ht="48" customHeight="1" x14ac:dyDescent="0.65">
      <c r="A467" s="14"/>
      <c r="B467" s="15"/>
      <c r="C467" s="15"/>
      <c r="D467" s="795"/>
      <c r="E467" s="795"/>
      <c r="F467" s="795"/>
      <c r="G467" s="795"/>
      <c r="H467" s="795"/>
      <c r="I467" s="795"/>
      <c r="J467" s="795"/>
      <c r="K467" s="795"/>
      <c r="L467" s="795"/>
      <c r="M467" s="795"/>
      <c r="N467" s="795"/>
      <c r="O467" s="795"/>
      <c r="P467" s="795"/>
      <c r="Q467" s="81"/>
    </row>
    <row r="468" spans="1:18" ht="46.5" thickBot="1" x14ac:dyDescent="0.7">
      <c r="A468" s="14"/>
      <c r="B468" s="15"/>
      <c r="C468" s="15"/>
      <c r="D468" s="798" t="s">
        <v>501</v>
      </c>
      <c r="E468" s="799"/>
      <c r="F468" s="799"/>
      <c r="G468" s="251"/>
      <c r="H468" s="251"/>
      <c r="I468" s="2"/>
      <c r="J468" s="2"/>
      <c r="K468" s="3" t="s">
        <v>1168</v>
      </c>
      <c r="L468" s="2"/>
      <c r="M468" s="2"/>
      <c r="N468" s="2"/>
      <c r="O468" s="2"/>
      <c r="P468" s="2"/>
      <c r="Q468" s="81"/>
    </row>
    <row r="469" spans="1:18" ht="47.25" thickTop="1" thickBot="1" x14ac:dyDescent="0.7">
      <c r="A469" s="17"/>
      <c r="B469" s="17"/>
      <c r="C469" s="17"/>
      <c r="D469" s="794"/>
      <c r="E469" s="794"/>
      <c r="F469" s="794"/>
      <c r="G469" s="794"/>
      <c r="H469" s="794"/>
      <c r="I469" s="794"/>
      <c r="J469" s="794"/>
      <c r="K469" s="794"/>
      <c r="L469" s="794"/>
      <c r="M469" s="794"/>
      <c r="N469" s="794"/>
      <c r="O469" s="794"/>
      <c r="P469" s="794"/>
      <c r="Q469" s="82"/>
    </row>
    <row r="470" spans="1:18" ht="95.25" customHeight="1" thickTop="1" x14ac:dyDescent="0.55000000000000004">
      <c r="E470" s="304"/>
      <c r="G470" s="56"/>
      <c r="H470" s="56"/>
      <c r="I470" s="89"/>
      <c r="J470" s="90"/>
      <c r="K470" s="90"/>
      <c r="L470" s="89"/>
      <c r="M470" s="89"/>
      <c r="N470" s="89"/>
      <c r="O470" s="89"/>
      <c r="P470" s="90"/>
      <c r="Q470" s="80"/>
    </row>
    <row r="471" spans="1:18" x14ac:dyDescent="0.2">
      <c r="E471" s="57"/>
      <c r="F471" s="58"/>
      <c r="G471" s="56"/>
      <c r="H471" s="56"/>
      <c r="I471" s="89"/>
      <c r="J471" s="91"/>
      <c r="K471" s="91"/>
      <c r="L471" s="89"/>
      <c r="M471" s="89"/>
      <c r="N471" s="89"/>
      <c r="O471" s="89"/>
      <c r="P471" s="90"/>
    </row>
    <row r="472" spans="1:18" x14ac:dyDescent="0.2">
      <c r="E472" s="57"/>
      <c r="F472" s="58"/>
      <c r="G472" s="56"/>
      <c r="H472" s="56"/>
      <c r="I472" s="89"/>
      <c r="J472" s="91"/>
      <c r="K472" s="91"/>
      <c r="L472" s="89"/>
      <c r="M472" s="89"/>
      <c r="N472" s="89"/>
      <c r="O472" s="89"/>
      <c r="P472" s="90"/>
    </row>
    <row r="473" spans="1:18" ht="60.75" x14ac:dyDescent="0.2">
      <c r="E473" s="304" t="b">
        <f>E464=E462</f>
        <v>1</v>
      </c>
      <c r="F473" s="304" t="b">
        <f>F464=F462</f>
        <v>1</v>
      </c>
      <c r="G473" s="304" t="b">
        <f>G464=G462</f>
        <v>1</v>
      </c>
      <c r="H473" s="304" t="b">
        <f t="shared" ref="H473:O473" si="399">H464=H462</f>
        <v>1</v>
      </c>
      <c r="I473" s="304" t="b">
        <f>I464=I462</f>
        <v>1</v>
      </c>
      <c r="J473" s="304" t="b">
        <f>J464=J462</f>
        <v>0</v>
      </c>
      <c r="K473" s="304" t="b">
        <f>K464=K462</f>
        <v>1</v>
      </c>
      <c r="L473" s="304" t="b">
        <f t="shared" si="399"/>
        <v>1</v>
      </c>
      <c r="M473" s="304" t="b">
        <f t="shared" si="399"/>
        <v>1</v>
      </c>
      <c r="N473" s="304" t="b">
        <f>N464=N462</f>
        <v>1</v>
      </c>
      <c r="O473" s="304" t="b">
        <f t="shared" si="399"/>
        <v>0</v>
      </c>
      <c r="P473" s="304" t="b">
        <f>P464=P462</f>
        <v>1</v>
      </c>
    </row>
    <row r="474" spans="1:18" ht="61.5" x14ac:dyDescent="0.2">
      <c r="E474" s="304"/>
      <c r="F474" s="305">
        <f>F455/E462</f>
        <v>1.3923916418223754E-3</v>
      </c>
      <c r="G474" s="84"/>
      <c r="H474" s="85"/>
      <c r="I474" s="86"/>
      <c r="J474" s="304" t="b">
        <f>J464=L464+O464</f>
        <v>0</v>
      </c>
      <c r="K474" s="92"/>
      <c r="L474" s="77"/>
      <c r="M474" s="86"/>
      <c r="N474" s="86"/>
      <c r="O474" s="77"/>
      <c r="P474" s="304" t="b">
        <f>E462+J462=P462</f>
        <v>1</v>
      </c>
    </row>
    <row r="475" spans="1:18" ht="60.75" x14ac:dyDescent="0.2">
      <c r="E475" s="87"/>
      <c r="F475" s="88"/>
      <c r="G475" s="306">
        <f>G464-G462</f>
        <v>0</v>
      </c>
      <c r="H475" s="306">
        <f>H464-H462</f>
        <v>0</v>
      </c>
      <c r="I475" s="87"/>
      <c r="J475" s="57"/>
      <c r="K475" s="57"/>
      <c r="M475" s="304">
        <f>M462-M464</f>
        <v>0</v>
      </c>
    </row>
    <row r="476" spans="1:18" ht="61.5" x14ac:dyDescent="0.2">
      <c r="A476" s="19"/>
      <c r="B476" s="19"/>
      <c r="C476" s="19"/>
      <c r="D476" s="20"/>
      <c r="E476" s="35">
        <f>E462-E464</f>
        <v>0</v>
      </c>
      <c r="F476" s="305">
        <f>400000/E462</f>
        <v>7.1718110204779486E-5</v>
      </c>
      <c r="G476" s="84"/>
      <c r="H476" s="59"/>
      <c r="I476" s="20"/>
      <c r="J476" s="35">
        <f>J462-J464</f>
        <v>-999999.9999999404</v>
      </c>
      <c r="K476" s="35">
        <f>K462-K464</f>
        <v>0</v>
      </c>
      <c r="L476" s="35">
        <f>L462-L464</f>
        <v>0</v>
      </c>
      <c r="M476" s="35"/>
      <c r="N476" s="35"/>
      <c r="O476" s="35">
        <f>O462-O464</f>
        <v>1000000</v>
      </c>
      <c r="P476" s="35">
        <f>P462-P464</f>
        <v>0</v>
      </c>
    </row>
    <row r="477" spans="1:18" ht="61.5" x14ac:dyDescent="0.2">
      <c r="D477" s="20"/>
      <c r="E477" s="35"/>
      <c r="F477" s="61"/>
      <c r="G477" s="53"/>
      <c r="H477" s="59"/>
      <c r="I477" s="20"/>
      <c r="J477" s="35"/>
      <c r="K477" s="35"/>
      <c r="L477" s="62"/>
      <c r="P477" s="53"/>
      <c r="Q477" s="83"/>
      <c r="R477" s="63"/>
    </row>
    <row r="478" spans="1:18" ht="60.75" x14ac:dyDescent="0.2">
      <c r="A478" s="19"/>
      <c r="B478" s="19"/>
      <c r="C478" s="19"/>
      <c r="D478" s="20"/>
      <c r="E478" s="24">
        <f>E462+K462-E164-E166-E177-E98-K77-E71-E65-E59-E58-'d1'!C117</f>
        <v>4925979437.6099987</v>
      </c>
      <c r="F478" s="24"/>
      <c r="G478" s="24"/>
      <c r="H478" s="24"/>
      <c r="I478" s="64"/>
      <c r="J478" s="24"/>
      <c r="K478" s="24"/>
      <c r="L478" s="24"/>
      <c r="M478" s="24"/>
      <c r="N478" s="24"/>
      <c r="O478" s="24"/>
      <c r="P478" s="24"/>
      <c r="Q478" s="83"/>
      <c r="R478" s="63"/>
    </row>
    <row r="479" spans="1:18" ht="60.75" x14ac:dyDescent="0.2">
      <c r="D479" s="20"/>
      <c r="E479" s="35"/>
      <c r="F479" s="60">
        <f>F462-F464</f>
        <v>0</v>
      </c>
      <c r="I479" s="60">
        <f>I462-I464</f>
        <v>0</v>
      </c>
      <c r="J479" s="60">
        <f>J462-J464</f>
        <v>-999999.9999999404</v>
      </c>
      <c r="O479" s="53"/>
      <c r="P479" s="53"/>
    </row>
    <row r="480" spans="1:18" ht="60.75" x14ac:dyDescent="0.2">
      <c r="A480" s="19"/>
      <c r="B480" s="19"/>
      <c r="C480" s="19"/>
      <c r="D480" s="20"/>
      <c r="E480" s="35"/>
      <c r="F480" s="60"/>
      <c r="G480" s="62"/>
      <c r="I480" s="66"/>
      <c r="J480" s="57"/>
      <c r="K480" s="57"/>
      <c r="L480" s="19"/>
      <c r="M480" s="19"/>
      <c r="N480" s="19"/>
      <c r="O480" s="19"/>
      <c r="P480" s="53"/>
    </row>
    <row r="481" spans="1:16" ht="62.25" x14ac:dyDescent="0.8">
      <c r="A481" s="19"/>
      <c r="B481" s="19"/>
      <c r="C481" s="19"/>
      <c r="D481" s="19"/>
      <c r="E481" s="67"/>
      <c r="F481" s="60"/>
      <c r="J481" s="57"/>
      <c r="K481" s="57"/>
      <c r="L481" s="19"/>
      <c r="M481" s="19"/>
      <c r="N481" s="19"/>
      <c r="O481" s="19"/>
      <c r="P481" s="68"/>
    </row>
    <row r="482" spans="1:16" ht="45.75" x14ac:dyDescent="0.2">
      <c r="E482" s="69"/>
      <c r="F482" s="65"/>
    </row>
    <row r="483" spans="1:16" ht="45.75" x14ac:dyDescent="0.2">
      <c r="A483" s="19"/>
      <c r="B483" s="19"/>
      <c r="C483" s="19"/>
      <c r="D483" s="19"/>
      <c r="E483" s="67"/>
      <c r="F483" s="60"/>
      <c r="L483" s="19"/>
      <c r="M483" s="19"/>
      <c r="N483" s="19"/>
      <c r="O483" s="19"/>
      <c r="P483" s="19"/>
    </row>
    <row r="484" spans="1:16" ht="45.75" x14ac:dyDescent="0.2">
      <c r="E484" s="70"/>
      <c r="F484" s="65"/>
    </row>
    <row r="485" spans="1:16" ht="45.75" x14ac:dyDescent="0.2">
      <c r="E485" s="70"/>
      <c r="F485" s="65"/>
    </row>
    <row r="486" spans="1:16" ht="45.75" x14ac:dyDescent="0.2">
      <c r="E486" s="70"/>
      <c r="F486" s="65"/>
    </row>
    <row r="487" spans="1:16" ht="45.75" x14ac:dyDescent="0.2">
      <c r="A487" s="19"/>
      <c r="B487" s="19"/>
      <c r="C487" s="19"/>
      <c r="D487" s="19"/>
      <c r="E487" s="70"/>
      <c r="F487" s="65"/>
      <c r="G487" s="19"/>
      <c r="H487" s="19"/>
      <c r="I487" s="19"/>
      <c r="J487" s="19"/>
      <c r="K487" s="19"/>
      <c r="L487" s="19"/>
      <c r="M487" s="19"/>
      <c r="N487" s="19"/>
      <c r="O487" s="19"/>
      <c r="P487" s="19"/>
    </row>
    <row r="488" spans="1:16" ht="45.75" x14ac:dyDescent="0.2">
      <c r="A488" s="19"/>
      <c r="B488" s="19"/>
      <c r="C488" s="19"/>
      <c r="D488" s="19"/>
      <c r="E488" s="70"/>
      <c r="F488" s="65"/>
      <c r="G488" s="19"/>
      <c r="H488" s="19"/>
      <c r="I488" s="19"/>
      <c r="J488" s="19"/>
      <c r="K488" s="19"/>
      <c r="L488" s="19"/>
      <c r="M488" s="19"/>
      <c r="N488" s="19"/>
      <c r="O488" s="19"/>
      <c r="P488" s="19"/>
    </row>
    <row r="489" spans="1:16" ht="45.75" x14ac:dyDescent="0.2">
      <c r="A489" s="19"/>
      <c r="B489" s="19"/>
      <c r="C489" s="19"/>
      <c r="D489" s="19"/>
      <c r="E489" s="70"/>
      <c r="F489" s="65"/>
      <c r="G489" s="19"/>
      <c r="H489" s="19"/>
      <c r="I489" s="19"/>
      <c r="J489" s="19"/>
      <c r="K489" s="19"/>
      <c r="L489" s="19"/>
      <c r="M489" s="19"/>
      <c r="N489" s="19"/>
      <c r="O489" s="19"/>
      <c r="P489" s="19"/>
    </row>
    <row r="490" spans="1:16" ht="45.75" x14ac:dyDescent="0.2">
      <c r="A490" s="19"/>
      <c r="B490" s="19"/>
      <c r="C490" s="19"/>
      <c r="D490" s="19"/>
      <c r="E490" s="70"/>
      <c r="F490" s="65"/>
      <c r="G490" s="19"/>
      <c r="H490" s="19"/>
      <c r="I490" s="19"/>
      <c r="J490" s="19"/>
      <c r="K490" s="19"/>
      <c r="L490" s="19"/>
      <c r="M490" s="19"/>
      <c r="N490" s="19"/>
      <c r="O490" s="19"/>
      <c r="P490" s="19"/>
    </row>
  </sheetData>
  <mergeCells count="153">
    <mergeCell ref="D469:P469"/>
    <mergeCell ref="N369:N370"/>
    <mergeCell ref="O369:O370"/>
    <mergeCell ref="P369:P370"/>
    <mergeCell ref="A463:P463"/>
    <mergeCell ref="D467:P467"/>
    <mergeCell ref="D468:F468"/>
    <mergeCell ref="H369:H370"/>
    <mergeCell ref="I369:I370"/>
    <mergeCell ref="J369:J370"/>
    <mergeCell ref="K369:K370"/>
    <mergeCell ref="L369:L370"/>
    <mergeCell ref="M369:M370"/>
    <mergeCell ref="A369:A370"/>
    <mergeCell ref="B369:B370"/>
    <mergeCell ref="C369:C370"/>
    <mergeCell ref="E369:E370"/>
    <mergeCell ref="F369:F370"/>
    <mergeCell ref="G369:G370"/>
    <mergeCell ref="K327:K328"/>
    <mergeCell ref="L327:L328"/>
    <mergeCell ref="M327:M328"/>
    <mergeCell ref="N327:N328"/>
    <mergeCell ref="O327:O328"/>
    <mergeCell ref="P327:P328"/>
    <mergeCell ref="P211:P212"/>
    <mergeCell ref="A327:A328"/>
    <mergeCell ref="B327:B328"/>
    <mergeCell ref="C327:C328"/>
    <mergeCell ref="E327:E328"/>
    <mergeCell ref="F327:F328"/>
    <mergeCell ref="G327:G328"/>
    <mergeCell ref="H327:H328"/>
    <mergeCell ref="I327:I328"/>
    <mergeCell ref="J327:J328"/>
    <mergeCell ref="J211:J212"/>
    <mergeCell ref="K211:K212"/>
    <mergeCell ref="L211:L212"/>
    <mergeCell ref="M211:M212"/>
    <mergeCell ref="N211:N212"/>
    <mergeCell ref="O211:O212"/>
    <mergeCell ref="O195:O196"/>
    <mergeCell ref="P195:P196"/>
    <mergeCell ref="A211:A212"/>
    <mergeCell ref="B211:B212"/>
    <mergeCell ref="C211:C212"/>
    <mergeCell ref="E211:E212"/>
    <mergeCell ref="F211:F212"/>
    <mergeCell ref="G211:G212"/>
    <mergeCell ref="H211:H212"/>
    <mergeCell ref="I211:I212"/>
    <mergeCell ref="I195:I196"/>
    <mergeCell ref="J195:J196"/>
    <mergeCell ref="K195:K196"/>
    <mergeCell ref="L195:L196"/>
    <mergeCell ref="M195:M196"/>
    <mergeCell ref="N195:N196"/>
    <mergeCell ref="A195:A196"/>
    <mergeCell ref="B195:B196"/>
    <mergeCell ref="C195:C196"/>
    <mergeCell ref="D195:D196"/>
    <mergeCell ref="E195:E196"/>
    <mergeCell ref="F195:F196"/>
    <mergeCell ref="G195:G196"/>
    <mergeCell ref="H195:H196"/>
    <mergeCell ref="J192:J194"/>
    <mergeCell ref="P189:P191"/>
    <mergeCell ref="R189:R191"/>
    <mergeCell ref="A192:A194"/>
    <mergeCell ref="B192:B194"/>
    <mergeCell ref="C192:C194"/>
    <mergeCell ref="E192:E194"/>
    <mergeCell ref="F192:F194"/>
    <mergeCell ref="G192:G194"/>
    <mergeCell ref="H192:H194"/>
    <mergeCell ref="I192:I194"/>
    <mergeCell ref="J189:J191"/>
    <mergeCell ref="K189:K191"/>
    <mergeCell ref="L189:L191"/>
    <mergeCell ref="M189:M191"/>
    <mergeCell ref="N189:N191"/>
    <mergeCell ref="O189:O191"/>
    <mergeCell ref="P192:P194"/>
    <mergeCell ref="R192:R194"/>
    <mergeCell ref="K192:K194"/>
    <mergeCell ref="L192:L194"/>
    <mergeCell ref="M192:M194"/>
    <mergeCell ref="N192:N194"/>
    <mergeCell ref="O192:O194"/>
    <mergeCell ref="A189:A191"/>
    <mergeCell ref="B189:B191"/>
    <mergeCell ref="C189:C191"/>
    <mergeCell ref="E189:E191"/>
    <mergeCell ref="F189:F191"/>
    <mergeCell ref="G189:G191"/>
    <mergeCell ref="H189:H191"/>
    <mergeCell ref="I189:I191"/>
    <mergeCell ref="J187:J188"/>
    <mergeCell ref="Q183:Q186"/>
    <mergeCell ref="R183:R186"/>
    <mergeCell ref="A187:A188"/>
    <mergeCell ref="B187:B188"/>
    <mergeCell ref="C187:C188"/>
    <mergeCell ref="E187:E188"/>
    <mergeCell ref="F187:F188"/>
    <mergeCell ref="G187:G188"/>
    <mergeCell ref="H187:H188"/>
    <mergeCell ref="I187:I188"/>
    <mergeCell ref="K183:K186"/>
    <mergeCell ref="L183:L186"/>
    <mergeCell ref="M183:M186"/>
    <mergeCell ref="N183:N186"/>
    <mergeCell ref="O183:O186"/>
    <mergeCell ref="P183:P186"/>
    <mergeCell ref="P187:P188"/>
    <mergeCell ref="R187:R188"/>
    <mergeCell ref="K187:K188"/>
    <mergeCell ref="L187:L188"/>
    <mergeCell ref="M187:M188"/>
    <mergeCell ref="N187:N188"/>
    <mergeCell ref="O187:O188"/>
    <mergeCell ref="A183:A186"/>
    <mergeCell ref="B183:B186"/>
    <mergeCell ref="C183:C186"/>
    <mergeCell ref="E183:E186"/>
    <mergeCell ref="F183:F186"/>
    <mergeCell ref="G183:G186"/>
    <mergeCell ref="H183:H186"/>
    <mergeCell ref="I183:I186"/>
    <mergeCell ref="J183:J186"/>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s>
  <conditionalFormatting sqref="Q373:Q382">
    <cfRule type="iconSet" priority="17">
      <iconSet iconSet="3Arrows">
        <cfvo type="percent" val="0"/>
        <cfvo type="percent" val="33"/>
        <cfvo type="percent" val="67"/>
      </iconSet>
    </cfRule>
  </conditionalFormatting>
  <conditionalFormatting sqref="Q384:Q385">
    <cfRule type="iconSet" priority="13">
      <iconSet iconSet="3Arrows">
        <cfvo type="percent" val="0"/>
        <cfvo type="percent" val="33"/>
        <cfvo type="percent" val="67"/>
      </iconSet>
    </cfRule>
  </conditionalFormatting>
  <conditionalFormatting sqref="Q386:Q404">
    <cfRule type="iconSet" priority="21">
      <iconSet iconSet="3Arrows">
        <cfvo type="percent" val="0"/>
        <cfvo type="percent" val="33"/>
        <cfvo type="percent" val="67"/>
      </iconSet>
    </cfRule>
  </conditionalFormatting>
  <conditionalFormatting sqref="Q426:Q431">
    <cfRule type="iconSet" priority="20">
      <iconSet iconSet="3Arrows">
        <cfvo type="percent" val="0"/>
        <cfvo type="percent" val="33"/>
        <cfvo type="percent" val="67"/>
      </iconSet>
    </cfRule>
  </conditionalFormatting>
  <conditionalFormatting sqref="Q432">
    <cfRule type="iconSet" priority="2">
      <iconSet iconSet="3Arrows">
        <cfvo type="percent" val="0"/>
        <cfvo type="percent" val="33"/>
        <cfvo type="percent" val="67"/>
      </iconSet>
    </cfRule>
  </conditionalFormatting>
  <conditionalFormatting sqref="Q433:Q434">
    <cfRule type="iconSet" priority="8">
      <iconSet iconSet="3Arrows">
        <cfvo type="percent" val="0"/>
        <cfvo type="percent" val="33"/>
        <cfvo type="percent" val="67"/>
      </iconSet>
    </cfRule>
  </conditionalFormatting>
  <conditionalFormatting sqref="Q436">
    <cfRule type="iconSet" priority="3">
      <iconSet iconSet="3Arrows">
        <cfvo type="percent" val="0"/>
        <cfvo type="percent" val="33"/>
        <cfvo type="percent" val="67"/>
      </iconSet>
    </cfRule>
  </conditionalFormatting>
  <conditionalFormatting sqref="Q445">
    <cfRule type="iconSet" priority="1">
      <iconSet iconSet="3Arrows">
        <cfvo type="percent" val="0"/>
        <cfvo type="percent" val="33"/>
        <cfvo type="percent" val="67"/>
      </iconSet>
    </cfRule>
  </conditionalFormatting>
  <conditionalFormatting sqref="Q446 Q448:R452 R447:S447">
    <cfRule type="iconSet" priority="16">
      <iconSet iconSet="3Arrows">
        <cfvo type="percent" val="0"/>
        <cfvo type="percent" val="33"/>
        <cfvo type="percent" val="67"/>
      </iconSet>
    </cfRule>
  </conditionalFormatting>
  <conditionalFormatting sqref="Q447">
    <cfRule type="iconSet" priority="7">
      <iconSet iconSet="3Arrows">
        <cfvo type="percent" val="0"/>
        <cfvo type="percent" val="33"/>
        <cfvo type="percent" val="67"/>
      </iconSet>
    </cfRule>
  </conditionalFormatting>
  <conditionalFormatting sqref="Q406:R413">
    <cfRule type="iconSet" priority="23">
      <iconSet iconSet="3Arrows">
        <cfvo type="percent" val="0"/>
        <cfvo type="percent" val="33"/>
        <cfvo type="percent" val="67"/>
      </iconSet>
    </cfRule>
  </conditionalFormatting>
  <conditionalFormatting sqref="R373:R374">
    <cfRule type="iconSet" priority="11">
      <iconSet iconSet="3Arrows">
        <cfvo type="percent" val="0"/>
        <cfvo type="percent" val="33"/>
        <cfvo type="percent" val="67"/>
      </iconSet>
    </cfRule>
  </conditionalFormatting>
  <conditionalFormatting sqref="R375:R382">
    <cfRule type="iconSet" priority="10">
      <iconSet iconSet="3Arrows">
        <cfvo type="percent" val="0"/>
        <cfvo type="percent" val="33"/>
        <cfvo type="percent" val="67"/>
      </iconSet>
    </cfRule>
  </conditionalFormatting>
  <conditionalFormatting sqref="R384:R385">
    <cfRule type="iconSet" priority="12">
      <iconSet iconSet="3Arrows">
        <cfvo type="percent" val="0"/>
        <cfvo type="percent" val="33"/>
        <cfvo type="percent" val="67"/>
      </iconSet>
    </cfRule>
  </conditionalFormatting>
  <conditionalFormatting sqref="R386:R404">
    <cfRule type="iconSet" priority="22">
      <iconSet iconSet="3Arrows">
        <cfvo type="percent" val="0"/>
        <cfvo type="percent" val="33"/>
        <cfvo type="percent" val="67"/>
      </iconSet>
    </cfRule>
  </conditionalFormatting>
  <conditionalFormatting sqref="R414:R424">
    <cfRule type="iconSet" priority="18">
      <iconSet iconSet="3Arrows">
        <cfvo type="percent" val="0"/>
        <cfvo type="percent" val="33"/>
        <cfvo type="percent" val="67"/>
      </iconSet>
    </cfRule>
  </conditionalFormatting>
  <conditionalFormatting sqref="R426:R427">
    <cfRule type="iconSet" priority="9">
      <iconSet iconSet="3Arrows">
        <cfvo type="percent" val="0"/>
        <cfvo type="percent" val="33"/>
        <cfvo type="percent" val="67"/>
      </iconSet>
    </cfRule>
  </conditionalFormatting>
  <conditionalFormatting sqref="R428:R431">
    <cfRule type="iconSet" priority="19">
      <iconSet iconSet="3Arrows">
        <cfvo type="percent" val="0"/>
        <cfvo type="percent" val="33"/>
        <cfvo type="percent" val="67"/>
      </iconSet>
    </cfRule>
  </conditionalFormatting>
  <conditionalFormatting sqref="R438:R440 Q437:R437 R436">
    <cfRule type="iconSet" priority="15">
      <iconSet iconSet="3Arrows">
        <cfvo type="percent" val="0"/>
        <cfvo type="percent" val="33"/>
        <cfvo type="percent" val="67"/>
      </iconSet>
    </cfRule>
  </conditionalFormatting>
  <conditionalFormatting sqref="R441">
    <cfRule type="iconSet" priority="5">
      <iconSet iconSet="3Arrows">
        <cfvo type="percent" val="0"/>
        <cfvo type="percent" val="33"/>
        <cfvo type="percent" val="67"/>
      </iconSet>
    </cfRule>
  </conditionalFormatting>
  <conditionalFormatting sqref="R443">
    <cfRule type="iconSet" priority="4">
      <iconSet iconSet="3Arrows">
        <cfvo type="percent" val="0"/>
        <cfvo type="percent" val="33"/>
        <cfvo type="percent" val="67"/>
      </iconSet>
    </cfRule>
  </conditionalFormatting>
  <conditionalFormatting sqref="R445">
    <cfRule type="iconSet" priority="6">
      <iconSet iconSet="3Arrows">
        <cfvo type="percent" val="0"/>
        <cfvo type="percent" val="33"/>
        <cfvo type="percent" val="67"/>
      </iconSet>
    </cfRule>
  </conditionalFormatting>
  <conditionalFormatting sqref="R44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9AF3-57D6-4A22-B2E2-AF16869BF68D}">
  <sheetPr>
    <tabColor theme="9" tint="0.39997558519241921"/>
  </sheetPr>
  <dimension ref="A1:T475"/>
  <sheetViews>
    <sheetView view="pageBreakPreview" zoomScale="23" zoomScaleNormal="25" zoomScaleSheetLayoutView="23" zoomScalePageLayoutView="10" workbookViewId="0">
      <pane ySplit="14" topLeftCell="A465" activePane="bottomLeft" state="frozen"/>
      <selection activeCell="A163" sqref="A163:XFD163"/>
      <selection pane="bottomLeft" activeCell="J50" sqref="J50"/>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81" t="s">
        <v>477</v>
      </c>
      <c r="O1" s="782"/>
      <c r="P1" s="782"/>
      <c r="Q1" s="782"/>
    </row>
    <row r="2" spans="1:18" ht="45.75" x14ac:dyDescent="0.2">
      <c r="A2" s="74"/>
      <c r="B2" s="74"/>
      <c r="C2" s="74"/>
      <c r="D2" s="74"/>
      <c r="E2" s="75"/>
      <c r="F2" s="76"/>
      <c r="G2" s="75"/>
      <c r="H2" s="75"/>
      <c r="I2" s="75"/>
      <c r="J2" s="75"/>
      <c r="K2" s="75"/>
      <c r="L2" s="75"/>
      <c r="M2" s="75"/>
      <c r="N2" s="781" t="s">
        <v>1713</v>
      </c>
      <c r="O2" s="783"/>
      <c r="P2" s="783"/>
      <c r="Q2" s="783"/>
    </row>
    <row r="3" spans="1:18" ht="40.700000000000003" customHeight="1" x14ac:dyDescent="0.2">
      <c r="A3" s="74"/>
      <c r="B3" s="74"/>
      <c r="C3" s="74"/>
      <c r="D3" s="74"/>
      <c r="E3" s="75"/>
      <c r="F3" s="76"/>
      <c r="G3" s="75"/>
      <c r="H3" s="75"/>
      <c r="I3" s="75"/>
      <c r="J3" s="75"/>
      <c r="K3" s="75"/>
      <c r="L3" s="75"/>
      <c r="M3" s="75"/>
      <c r="N3" s="75"/>
      <c r="O3" s="781"/>
      <c r="P3" s="784"/>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85" t="s">
        <v>1803</v>
      </c>
      <c r="B5" s="785"/>
      <c r="C5" s="785"/>
      <c r="D5" s="785"/>
      <c r="E5" s="785"/>
      <c r="F5" s="785"/>
      <c r="G5" s="785"/>
      <c r="H5" s="785"/>
      <c r="I5" s="785"/>
      <c r="J5" s="785"/>
      <c r="K5" s="785"/>
      <c r="L5" s="785"/>
      <c r="M5" s="785"/>
      <c r="N5" s="785"/>
      <c r="O5" s="785"/>
      <c r="P5" s="785"/>
      <c r="Q5" s="78"/>
    </row>
    <row r="6" spans="1:18" ht="45" x14ac:dyDescent="0.2">
      <c r="A6" s="785" t="s">
        <v>1476</v>
      </c>
      <c r="B6" s="785"/>
      <c r="C6" s="785"/>
      <c r="D6" s="785"/>
      <c r="E6" s="785"/>
      <c r="F6" s="785"/>
      <c r="G6" s="785"/>
      <c r="H6" s="785"/>
      <c r="I6" s="785"/>
      <c r="J6" s="785"/>
      <c r="K6" s="785"/>
      <c r="L6" s="785"/>
      <c r="M6" s="785"/>
      <c r="N6" s="785"/>
      <c r="O6" s="785"/>
      <c r="P6" s="785"/>
      <c r="Q6" s="78"/>
    </row>
    <row r="7" spans="1:18" ht="45" x14ac:dyDescent="0.2">
      <c r="A7" s="75"/>
      <c r="B7" s="75"/>
      <c r="C7" s="75"/>
      <c r="D7" s="75"/>
      <c r="E7" s="75"/>
      <c r="F7" s="75"/>
      <c r="G7" s="75"/>
      <c r="H7" s="75"/>
      <c r="I7" s="75"/>
      <c r="J7" s="75"/>
      <c r="K7" s="75"/>
      <c r="L7" s="75"/>
      <c r="M7" s="75"/>
      <c r="N7" s="75"/>
      <c r="O7" s="75"/>
      <c r="P7" s="75"/>
      <c r="Q7" s="78"/>
    </row>
    <row r="8" spans="1:18" ht="45.75" x14ac:dyDescent="0.65">
      <c r="A8" s="786">
        <v>2256400000</v>
      </c>
      <c r="B8" s="787"/>
      <c r="C8" s="75"/>
      <c r="D8" s="75"/>
      <c r="E8" s="75"/>
      <c r="F8" s="75"/>
      <c r="G8" s="75"/>
      <c r="H8" s="75"/>
      <c r="I8" s="75"/>
      <c r="J8" s="75"/>
      <c r="K8" s="75"/>
      <c r="L8" s="75"/>
      <c r="M8" s="75"/>
      <c r="N8" s="75"/>
      <c r="O8" s="75"/>
      <c r="P8" s="75"/>
      <c r="Q8" s="13"/>
    </row>
    <row r="9" spans="1:18" ht="45.75" x14ac:dyDescent="0.2">
      <c r="A9" s="791" t="s">
        <v>474</v>
      </c>
      <c r="B9" s="792"/>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8" t="s">
        <v>394</v>
      </c>
      <c r="Q10" s="13"/>
    </row>
    <row r="11" spans="1:18" ht="62.45" customHeight="1" thickTop="1" thickBot="1" x14ac:dyDescent="0.25">
      <c r="A11" s="790" t="s">
        <v>475</v>
      </c>
      <c r="B11" s="790" t="s">
        <v>476</v>
      </c>
      <c r="C11" s="790" t="s">
        <v>380</v>
      </c>
      <c r="D11" s="790" t="s">
        <v>549</v>
      </c>
      <c r="E11" s="788" t="s">
        <v>12</v>
      </c>
      <c r="F11" s="788"/>
      <c r="G11" s="788"/>
      <c r="H11" s="788"/>
      <c r="I11" s="788"/>
      <c r="J11" s="788" t="s">
        <v>50</v>
      </c>
      <c r="K11" s="788"/>
      <c r="L11" s="788"/>
      <c r="M11" s="788"/>
      <c r="N11" s="788"/>
      <c r="O11" s="789"/>
      <c r="P11" s="788" t="s">
        <v>11</v>
      </c>
      <c r="Q11" s="18"/>
    </row>
    <row r="12" spans="1:18" ht="96" customHeight="1" thickTop="1" thickBot="1" x14ac:dyDescent="0.25">
      <c r="A12" s="788"/>
      <c r="B12" s="793"/>
      <c r="C12" s="793"/>
      <c r="D12" s="788"/>
      <c r="E12" s="790" t="s">
        <v>374</v>
      </c>
      <c r="F12" s="790" t="s">
        <v>51</v>
      </c>
      <c r="G12" s="790" t="s">
        <v>13</v>
      </c>
      <c r="H12" s="790"/>
      <c r="I12" s="790" t="s">
        <v>53</v>
      </c>
      <c r="J12" s="790" t="s">
        <v>374</v>
      </c>
      <c r="K12" s="790" t="s">
        <v>375</v>
      </c>
      <c r="L12" s="790" t="s">
        <v>51</v>
      </c>
      <c r="M12" s="790" t="s">
        <v>13</v>
      </c>
      <c r="N12" s="790"/>
      <c r="O12" s="790" t="s">
        <v>53</v>
      </c>
      <c r="P12" s="788"/>
      <c r="Q12" s="18"/>
    </row>
    <row r="13" spans="1:18" ht="328.7" customHeight="1" thickTop="1" thickBot="1" x14ac:dyDescent="0.25">
      <c r="A13" s="793"/>
      <c r="B13" s="793"/>
      <c r="C13" s="793"/>
      <c r="D13" s="793"/>
      <c r="E13" s="790"/>
      <c r="F13" s="790"/>
      <c r="G13" s="389" t="s">
        <v>52</v>
      </c>
      <c r="H13" s="389" t="s">
        <v>15</v>
      </c>
      <c r="I13" s="790"/>
      <c r="J13" s="790"/>
      <c r="K13" s="790"/>
      <c r="L13" s="790"/>
      <c r="M13" s="389" t="s">
        <v>52</v>
      </c>
      <c r="N13" s="389" t="s">
        <v>15</v>
      </c>
      <c r="O13" s="790"/>
      <c r="P13" s="788"/>
      <c r="Q13" s="18"/>
    </row>
    <row r="14" spans="1:18" s="22" customFormat="1" ht="47.25" thickTop="1" thickBot="1" x14ac:dyDescent="0.25">
      <c r="A14" s="239" t="s">
        <v>2</v>
      </c>
      <c r="B14" s="239" t="s">
        <v>3</v>
      </c>
      <c r="C14" s="239" t="s">
        <v>14</v>
      </c>
      <c r="D14" s="239" t="s">
        <v>5</v>
      </c>
      <c r="E14" s="239" t="s">
        <v>382</v>
      </c>
      <c r="F14" s="239" t="s">
        <v>383</v>
      </c>
      <c r="G14" s="239" t="s">
        <v>384</v>
      </c>
      <c r="H14" s="239" t="s">
        <v>385</v>
      </c>
      <c r="I14" s="239" t="s">
        <v>386</v>
      </c>
      <c r="J14" s="239" t="s">
        <v>387</v>
      </c>
      <c r="K14" s="239" t="s">
        <v>388</v>
      </c>
      <c r="L14" s="239" t="s">
        <v>389</v>
      </c>
      <c r="M14" s="239" t="s">
        <v>390</v>
      </c>
      <c r="N14" s="239" t="s">
        <v>391</v>
      </c>
      <c r="O14" s="239" t="s">
        <v>392</v>
      </c>
      <c r="P14" s="239" t="s">
        <v>393</v>
      </c>
      <c r="Q14" s="117"/>
      <c r="R14" s="21"/>
    </row>
    <row r="15" spans="1:18" s="22" customFormat="1" ht="165.75" customHeight="1" thickTop="1" thickBot="1" x14ac:dyDescent="0.25">
      <c r="A15" s="514" t="s">
        <v>143</v>
      </c>
      <c r="B15" s="514"/>
      <c r="C15" s="514"/>
      <c r="D15" s="515" t="s">
        <v>145</v>
      </c>
      <c r="E15" s="516">
        <f>E16</f>
        <v>76213603.710000008</v>
      </c>
      <c r="F15" s="517">
        <f t="shared" ref="F15:N15" si="0">F16</f>
        <v>23114603.710000008</v>
      </c>
      <c r="G15" s="517">
        <f t="shared" si="0"/>
        <v>0</v>
      </c>
      <c r="H15" s="517">
        <f t="shared" si="0"/>
        <v>585000</v>
      </c>
      <c r="I15" s="517">
        <f t="shared" si="0"/>
        <v>53099000</v>
      </c>
      <c r="J15" s="516">
        <f t="shared" si="0"/>
        <v>-3697243.7099999981</v>
      </c>
      <c r="K15" s="517">
        <f t="shared" si="0"/>
        <v>0</v>
      </c>
      <c r="L15" s="517">
        <f t="shared" si="0"/>
        <v>-3697243.7099999981</v>
      </c>
      <c r="M15" s="517">
        <f t="shared" si="0"/>
        <v>0</v>
      </c>
      <c r="N15" s="517">
        <f t="shared" si="0"/>
        <v>0</v>
      </c>
      <c r="O15" s="516">
        <f>O16</f>
        <v>0</v>
      </c>
      <c r="P15" s="517">
        <f t="shared" ref="P15" si="1">P16</f>
        <v>72516360.000000015</v>
      </c>
      <c r="Q15" s="23"/>
      <c r="R15" s="23"/>
    </row>
    <row r="16" spans="1:18" s="22" customFormat="1" ht="156" customHeight="1" thickTop="1" thickBot="1" x14ac:dyDescent="0.25">
      <c r="A16" s="511" t="s">
        <v>144</v>
      </c>
      <c r="B16" s="511"/>
      <c r="C16" s="511"/>
      <c r="D16" s="512" t="s">
        <v>146</v>
      </c>
      <c r="E16" s="513">
        <f>E17+E27+E38+E44+E22</f>
        <v>76213603.710000008</v>
      </c>
      <c r="F16" s="513">
        <f>F17+F27+F38+F44+F22</f>
        <v>23114603.710000008</v>
      </c>
      <c r="G16" s="513">
        <f>G17+G27+G38+G44+G22</f>
        <v>0</v>
      </c>
      <c r="H16" s="513">
        <f>H17+H27+H38+H44+H22</f>
        <v>585000</v>
      </c>
      <c r="I16" s="513">
        <f>I17+I27+I38+I44+I22</f>
        <v>53099000</v>
      </c>
      <c r="J16" s="513">
        <f>L16+O16</f>
        <v>-3697243.7099999981</v>
      </c>
      <c r="K16" s="513">
        <f>K17+K27+K38+K44+K22</f>
        <v>0</v>
      </c>
      <c r="L16" s="513">
        <f>L17+L27+L38+L44+L22</f>
        <v>-3697243.7099999981</v>
      </c>
      <c r="M16" s="513">
        <f>M17+M27+M38+M44+M22</f>
        <v>0</v>
      </c>
      <c r="N16" s="513">
        <f>N17+N27+N38+N44+N22</f>
        <v>0</v>
      </c>
      <c r="O16" s="513">
        <f>O17+O27+O38+O44+O22</f>
        <v>0</v>
      </c>
      <c r="P16" s="513">
        <f>E16+J16</f>
        <v>72516360.000000015</v>
      </c>
      <c r="Q16" s="597" t="b">
        <f>P16=P18+P21+P26+P29+P32+P34+P36+P37+P40+P41+P43+P46+P48+P24+P47</f>
        <v>0</v>
      </c>
      <c r="R16" s="24"/>
    </row>
    <row r="17" spans="1:18" s="26" customFormat="1" ht="156.75" customHeight="1" thickTop="1" thickBot="1" x14ac:dyDescent="0.25">
      <c r="A17" s="239" t="s">
        <v>651</v>
      </c>
      <c r="B17" s="239" t="s">
        <v>652</v>
      </c>
      <c r="C17" s="239"/>
      <c r="D17" s="239" t="s">
        <v>653</v>
      </c>
      <c r="E17" s="501">
        <f>'d3'!E17-'d3-П'!E17</f>
        <v>6611243.7100000083</v>
      </c>
      <c r="F17" s="501">
        <f>'d3'!F17-'d3-П'!F17</f>
        <v>5706243.7100000083</v>
      </c>
      <c r="G17" s="501">
        <f>'d3'!G17-'d3-П'!G17</f>
        <v>0</v>
      </c>
      <c r="H17" s="501">
        <f>'d3'!H17-'d3-П'!H17</f>
        <v>500000</v>
      </c>
      <c r="I17" s="501">
        <f>'d3'!I17-'d3-П'!I17</f>
        <v>905000</v>
      </c>
      <c r="J17" s="501">
        <f>'d3'!J17-'d3-П'!J17</f>
        <v>0</v>
      </c>
      <c r="K17" s="501">
        <f>'d3'!K17-'d3-П'!K17</f>
        <v>0</v>
      </c>
      <c r="L17" s="501">
        <f>'d3'!L17-'d3-П'!L17</f>
        <v>0</v>
      </c>
      <c r="M17" s="501">
        <f>'d3'!M17-'d3-П'!M17</f>
        <v>0</v>
      </c>
      <c r="N17" s="501">
        <f>'d3'!N17-'d3-П'!N17</f>
        <v>0</v>
      </c>
      <c r="O17" s="501">
        <f>'d3'!O17-'d3-П'!O17</f>
        <v>0</v>
      </c>
      <c r="P17" s="501">
        <f>'d3'!P17-'d3-П'!P17</f>
        <v>6611243.7100000083</v>
      </c>
      <c r="Q17" s="29"/>
      <c r="R17" s="25"/>
    </row>
    <row r="18" spans="1:18" ht="251.25" customHeight="1" thickTop="1" thickBot="1" x14ac:dyDescent="0.25">
      <c r="A18" s="469" t="s">
        <v>227</v>
      </c>
      <c r="B18" s="469" t="s">
        <v>228</v>
      </c>
      <c r="C18" s="469" t="s">
        <v>229</v>
      </c>
      <c r="D18" s="469" t="s">
        <v>226</v>
      </c>
      <c r="E18" s="501">
        <f>'d3'!E18-'d3-П'!E18</f>
        <v>2879000</v>
      </c>
      <c r="F18" s="501">
        <f>'d3'!F18-'d3-П'!F18</f>
        <v>1974000</v>
      </c>
      <c r="G18" s="501">
        <f>'d3'!G18-'d3-П'!G18</f>
        <v>0</v>
      </c>
      <c r="H18" s="501">
        <f>'d3'!H18-'d3-П'!H18</f>
        <v>500000</v>
      </c>
      <c r="I18" s="501">
        <f>'d3'!I18-'d3-П'!I18</f>
        <v>905000</v>
      </c>
      <c r="J18" s="501">
        <f>'d3'!J18-'d3-П'!J18</f>
        <v>0</v>
      </c>
      <c r="K18" s="501">
        <f>'d3'!K18-'d3-П'!K18</f>
        <v>0</v>
      </c>
      <c r="L18" s="501">
        <f>'d3'!L18-'d3-П'!L18</f>
        <v>0</v>
      </c>
      <c r="M18" s="501">
        <f>'d3'!M18-'d3-П'!M18</f>
        <v>0</v>
      </c>
      <c r="N18" s="501">
        <f>'d3'!N18-'d3-П'!N18</f>
        <v>0</v>
      </c>
      <c r="O18" s="501">
        <f>'d3'!O18-'d3-П'!O18</f>
        <v>0</v>
      </c>
      <c r="P18" s="501">
        <f>'d3'!P18-'d3-П'!P18</f>
        <v>2879000</v>
      </c>
      <c r="Q18" s="124"/>
      <c r="R18" s="27"/>
    </row>
    <row r="19" spans="1:18" ht="93" hidden="1" thickTop="1" thickBot="1" x14ac:dyDescent="0.25">
      <c r="A19" s="119" t="s">
        <v>560</v>
      </c>
      <c r="B19" s="119" t="s">
        <v>231</v>
      </c>
      <c r="C19" s="119" t="s">
        <v>229</v>
      </c>
      <c r="D19" s="119" t="s">
        <v>230</v>
      </c>
      <c r="E19" s="118"/>
      <c r="F19" s="120"/>
      <c r="G19" s="120"/>
      <c r="H19" s="120"/>
      <c r="I19" s="120"/>
      <c r="J19" s="118"/>
      <c r="K19" s="120"/>
      <c r="L19" s="121"/>
      <c r="M19" s="122"/>
      <c r="N19" s="122"/>
      <c r="O19" s="123"/>
      <c r="P19" s="118"/>
      <c r="Q19" s="124"/>
      <c r="R19" s="27"/>
    </row>
    <row r="20" spans="1:18" ht="161.25" customHeight="1" thickTop="1" thickBot="1" x14ac:dyDescent="0.25">
      <c r="A20" s="713" t="s">
        <v>597</v>
      </c>
      <c r="B20" s="713" t="s">
        <v>352</v>
      </c>
      <c r="C20" s="713" t="s">
        <v>598</v>
      </c>
      <c r="D20" s="713" t="s">
        <v>599</v>
      </c>
      <c r="E20" s="501">
        <f>'d3'!E20-'d3-П'!E20</f>
        <v>85000</v>
      </c>
      <c r="F20" s="501">
        <f>'d3'!F20-'d3-П'!F20</f>
        <v>85000</v>
      </c>
      <c r="G20" s="501">
        <f>'d3'!G20-'d3-П'!G20</f>
        <v>0</v>
      </c>
      <c r="H20" s="501">
        <f>'d3'!H20-'d3-П'!H20</f>
        <v>0</v>
      </c>
      <c r="I20" s="501">
        <f>'d3'!I20-'d3-П'!I20</f>
        <v>0</v>
      </c>
      <c r="J20" s="501">
        <f>'d3'!J20-'d3-П'!J20</f>
        <v>0</v>
      </c>
      <c r="K20" s="501">
        <f>'d3'!K20-'d3-П'!K20</f>
        <v>0</v>
      </c>
      <c r="L20" s="501">
        <f>'d3'!L20-'d3-П'!L20</f>
        <v>0</v>
      </c>
      <c r="M20" s="501">
        <f>'d3'!M20-'d3-П'!M20</f>
        <v>0</v>
      </c>
      <c r="N20" s="501">
        <f>'d3'!N20-'d3-П'!N20</f>
        <v>0</v>
      </c>
      <c r="O20" s="501">
        <f>'d3'!O20-'d3-П'!O20</f>
        <v>0</v>
      </c>
      <c r="P20" s="501">
        <f>'d3'!P20-'d3-П'!P20</f>
        <v>85000</v>
      </c>
      <c r="Q20" s="124"/>
      <c r="R20" s="28"/>
    </row>
    <row r="21" spans="1:18" ht="135.75" customHeight="1" thickTop="1" thickBot="1" x14ac:dyDescent="0.25">
      <c r="A21" s="94" t="s">
        <v>241</v>
      </c>
      <c r="B21" s="94" t="s">
        <v>42</v>
      </c>
      <c r="C21" s="94" t="s">
        <v>41</v>
      </c>
      <c r="D21" s="94" t="s">
        <v>242</v>
      </c>
      <c r="E21" s="501">
        <f>'d3'!E21-'d3-П'!E21</f>
        <v>3647243.7100000009</v>
      </c>
      <c r="F21" s="501">
        <f>'d3'!F21-'d3-П'!F21</f>
        <v>3647243.7100000009</v>
      </c>
      <c r="G21" s="501">
        <f>'d3'!G21-'d3-П'!G21</f>
        <v>0</v>
      </c>
      <c r="H21" s="501">
        <f>'d3'!H21-'d3-П'!H21</f>
        <v>0</v>
      </c>
      <c r="I21" s="501">
        <f>'d3'!I21-'d3-П'!I21</f>
        <v>0</v>
      </c>
      <c r="J21" s="501">
        <f>'d3'!J21-'d3-П'!J21</f>
        <v>0</v>
      </c>
      <c r="K21" s="501">
        <f>'d3'!K21-'d3-П'!K21</f>
        <v>0</v>
      </c>
      <c r="L21" s="501">
        <f>'d3'!L21-'d3-П'!L21</f>
        <v>0</v>
      </c>
      <c r="M21" s="501">
        <f>'d3'!M21-'d3-П'!M21</f>
        <v>0</v>
      </c>
      <c r="N21" s="501">
        <f>'d3'!N21-'d3-П'!N21</f>
        <v>0</v>
      </c>
      <c r="O21" s="501">
        <f>'d3'!O21-'d3-П'!O21</f>
        <v>0</v>
      </c>
      <c r="P21" s="501">
        <f>'d3'!P21-'d3-П'!P21</f>
        <v>3647243.7100000009</v>
      </c>
      <c r="Q21" s="124"/>
      <c r="R21" s="28"/>
    </row>
    <row r="22" spans="1:18" ht="125.25" customHeight="1" thickTop="1" thickBot="1" x14ac:dyDescent="0.25">
      <c r="A22" s="239" t="s">
        <v>1327</v>
      </c>
      <c r="B22" s="239" t="s">
        <v>678</v>
      </c>
      <c r="C22" s="239"/>
      <c r="D22" s="239" t="s">
        <v>679</v>
      </c>
      <c r="E22" s="501">
        <f>'d3'!E22-'d3-П'!E22</f>
        <v>399600</v>
      </c>
      <c r="F22" s="501">
        <f>'d3'!F22-'d3-П'!F22</f>
        <v>239600</v>
      </c>
      <c r="G22" s="501">
        <f>'d3'!G22-'d3-П'!G22</f>
        <v>0</v>
      </c>
      <c r="H22" s="501">
        <f>'d3'!H22-'d3-П'!H22</f>
        <v>85000</v>
      </c>
      <c r="I22" s="501">
        <f>'d3'!I22-'d3-П'!I22</f>
        <v>160000</v>
      </c>
      <c r="J22" s="501">
        <f>'d3'!J22-'d3-П'!J22</f>
        <v>0</v>
      </c>
      <c r="K22" s="501">
        <f>'d3'!K22-'d3-П'!K22</f>
        <v>0</v>
      </c>
      <c r="L22" s="501">
        <f>'d3'!L22-'d3-П'!L22</f>
        <v>0</v>
      </c>
      <c r="M22" s="501">
        <f>'d3'!M22-'d3-П'!M22</f>
        <v>0</v>
      </c>
      <c r="N22" s="501">
        <f>'d3'!N22-'d3-П'!N22</f>
        <v>0</v>
      </c>
      <c r="O22" s="501">
        <f>'d3'!O22-'d3-П'!O22</f>
        <v>0</v>
      </c>
      <c r="P22" s="501">
        <f>'d3'!P22-'d3-П'!P22</f>
        <v>399600</v>
      </c>
      <c r="Q22" s="124"/>
      <c r="R22" s="28"/>
    </row>
    <row r="23" spans="1:18" ht="93.75" customHeight="1" thickTop="1" thickBot="1" x14ac:dyDescent="0.25">
      <c r="A23" s="518" t="s">
        <v>1414</v>
      </c>
      <c r="B23" s="518" t="s">
        <v>702</v>
      </c>
      <c r="C23" s="518"/>
      <c r="D23" s="518" t="s">
        <v>703</v>
      </c>
      <c r="E23" s="501">
        <f>'d3'!E23-'d3-П'!E23</f>
        <v>0</v>
      </c>
      <c r="F23" s="501">
        <f>'d3'!F23-'d3-П'!F23</f>
        <v>0</v>
      </c>
      <c r="G23" s="501">
        <f>'d3'!G23-'d3-П'!G23</f>
        <v>0</v>
      </c>
      <c r="H23" s="501">
        <f>'d3'!H23-'d3-П'!H23</f>
        <v>0</v>
      </c>
      <c r="I23" s="501">
        <f>'d3'!I23-'d3-П'!I23</f>
        <v>0</v>
      </c>
      <c r="J23" s="501">
        <f>'d3'!J23-'d3-П'!J23</f>
        <v>0</v>
      </c>
      <c r="K23" s="501">
        <f>'d3'!K23-'d3-П'!K23</f>
        <v>0</v>
      </c>
      <c r="L23" s="501">
        <f>'d3'!L23-'d3-П'!L23</f>
        <v>0</v>
      </c>
      <c r="M23" s="501">
        <f>'d3'!M23-'d3-П'!M23</f>
        <v>0</v>
      </c>
      <c r="N23" s="501">
        <f>'d3'!N23-'d3-П'!N23</f>
        <v>0</v>
      </c>
      <c r="O23" s="501">
        <f>'d3'!O23-'d3-П'!O23</f>
        <v>0</v>
      </c>
      <c r="P23" s="501">
        <f>'d3'!P23-'d3-П'!P23</f>
        <v>0</v>
      </c>
      <c r="Q23" s="124"/>
      <c r="R23" s="28"/>
    </row>
    <row r="24" spans="1:18" ht="210.75" customHeight="1" thickTop="1" thickBot="1" x14ac:dyDescent="0.25">
      <c r="A24" s="94" t="s">
        <v>1411</v>
      </c>
      <c r="B24" s="94" t="s">
        <v>1412</v>
      </c>
      <c r="C24" s="94" t="s">
        <v>200</v>
      </c>
      <c r="D24" s="507" t="s">
        <v>1413</v>
      </c>
      <c r="E24" s="501">
        <f>'d3'!E24-'d3-П'!E24</f>
        <v>0</v>
      </c>
      <c r="F24" s="501">
        <f>'d3'!F24-'d3-П'!F24</f>
        <v>0</v>
      </c>
      <c r="G24" s="501">
        <f>'d3'!G24-'d3-П'!G24</f>
        <v>0</v>
      </c>
      <c r="H24" s="501">
        <f>'d3'!H24-'d3-П'!H24</f>
        <v>0</v>
      </c>
      <c r="I24" s="501">
        <f>'d3'!I24-'d3-П'!I24</f>
        <v>0</v>
      </c>
      <c r="J24" s="501">
        <f>'d3'!J24-'d3-П'!J24</f>
        <v>0</v>
      </c>
      <c r="K24" s="501">
        <f>'d3'!K24-'d3-П'!K24</f>
        <v>0</v>
      </c>
      <c r="L24" s="501">
        <f>'d3'!L24-'d3-П'!L24</f>
        <v>0</v>
      </c>
      <c r="M24" s="501">
        <f>'d3'!M24-'d3-П'!M24</f>
        <v>0</v>
      </c>
      <c r="N24" s="501">
        <f>'d3'!N24-'d3-П'!N24</f>
        <v>0</v>
      </c>
      <c r="O24" s="501">
        <f>'d3'!O24-'d3-П'!O24</f>
        <v>0</v>
      </c>
      <c r="P24" s="501">
        <f>'d3'!P24-'d3-П'!P24</f>
        <v>0</v>
      </c>
      <c r="Q24" s="124"/>
      <c r="R24" s="28"/>
    </row>
    <row r="25" spans="1:18" ht="110.25" customHeight="1" thickTop="1" thickBot="1" x14ac:dyDescent="0.25">
      <c r="A25" s="518" t="s">
        <v>1328</v>
      </c>
      <c r="B25" s="518" t="s">
        <v>705</v>
      </c>
      <c r="C25" s="518"/>
      <c r="D25" s="518" t="s">
        <v>1520</v>
      </c>
      <c r="E25" s="501">
        <f>'d3'!E25-'d3-П'!E25</f>
        <v>399600</v>
      </c>
      <c r="F25" s="501">
        <f>'d3'!F25-'d3-П'!F25</f>
        <v>239600</v>
      </c>
      <c r="G25" s="501">
        <f>'d3'!G25-'d3-П'!G25</f>
        <v>0</v>
      </c>
      <c r="H25" s="501">
        <f>'d3'!H25-'d3-П'!H25</f>
        <v>85000</v>
      </c>
      <c r="I25" s="501">
        <f>'d3'!I25-'d3-П'!I25</f>
        <v>160000</v>
      </c>
      <c r="J25" s="501">
        <f>'d3'!J25-'d3-П'!J25</f>
        <v>0</v>
      </c>
      <c r="K25" s="501">
        <f>'d3'!K25-'d3-П'!K25</f>
        <v>0</v>
      </c>
      <c r="L25" s="501">
        <f>'d3'!L25-'d3-П'!L25</f>
        <v>0</v>
      </c>
      <c r="M25" s="501">
        <f>'d3'!M25-'d3-П'!M25</f>
        <v>0</v>
      </c>
      <c r="N25" s="501">
        <f>'d3'!N25-'d3-П'!N25</f>
        <v>0</v>
      </c>
      <c r="O25" s="501">
        <f>'d3'!O25-'d3-П'!O25</f>
        <v>0</v>
      </c>
      <c r="P25" s="501">
        <f>'d3'!P25-'d3-П'!P25</f>
        <v>399600</v>
      </c>
      <c r="Q25" s="124"/>
      <c r="R25" s="28"/>
    </row>
    <row r="26" spans="1:18" ht="171.75" customHeight="1" thickTop="1" thickBot="1" x14ac:dyDescent="0.25">
      <c r="A26" s="94" t="s">
        <v>1329</v>
      </c>
      <c r="B26" s="94" t="s">
        <v>322</v>
      </c>
      <c r="C26" s="94" t="s">
        <v>186</v>
      </c>
      <c r="D26" s="507" t="s">
        <v>1392</v>
      </c>
      <c r="E26" s="501">
        <f>'d3'!E26-'d3-П'!E26</f>
        <v>399600</v>
      </c>
      <c r="F26" s="501">
        <f>'d3'!F26-'d3-П'!F26</f>
        <v>239600</v>
      </c>
      <c r="G26" s="501">
        <f>'d3'!G26-'d3-П'!G26</f>
        <v>0</v>
      </c>
      <c r="H26" s="501">
        <f>'d3'!H26-'d3-П'!H26</f>
        <v>85000</v>
      </c>
      <c r="I26" s="501">
        <f>'d3'!I26-'d3-П'!I26</f>
        <v>160000</v>
      </c>
      <c r="J26" s="501">
        <f>'d3'!J26-'d3-П'!J26</f>
        <v>0</v>
      </c>
      <c r="K26" s="501">
        <f>'d3'!K26-'d3-П'!K26</f>
        <v>0</v>
      </c>
      <c r="L26" s="501">
        <f>'d3'!L26-'d3-П'!L26</f>
        <v>0</v>
      </c>
      <c r="M26" s="501">
        <f>'d3'!M26-'d3-П'!M26</f>
        <v>0</v>
      </c>
      <c r="N26" s="501">
        <f>'d3'!N26-'d3-П'!N26</f>
        <v>0</v>
      </c>
      <c r="O26" s="501">
        <f>'d3'!O26-'d3-П'!O26</f>
        <v>0</v>
      </c>
      <c r="P26" s="501">
        <f>'d3'!P26-'d3-П'!P26</f>
        <v>399600</v>
      </c>
      <c r="Q26" s="124"/>
      <c r="R26" s="28"/>
    </row>
    <row r="27" spans="1:18" s="26" customFormat="1" ht="113.25" customHeight="1" thickTop="1" thickBot="1" x14ac:dyDescent="0.3">
      <c r="A27" s="239" t="s">
        <v>712</v>
      </c>
      <c r="B27" s="239" t="s">
        <v>713</v>
      </c>
      <c r="C27" s="239"/>
      <c r="D27" s="239" t="s">
        <v>714</v>
      </c>
      <c r="E27" s="501">
        <f>'d3'!E27-'d3-П'!E27</f>
        <v>2000000</v>
      </c>
      <c r="F27" s="501">
        <f>'d3'!F27-'d3-П'!F27</f>
        <v>0</v>
      </c>
      <c r="G27" s="501">
        <f>'d3'!G27-'d3-П'!G27</f>
        <v>0</v>
      </c>
      <c r="H27" s="501">
        <f>'d3'!H27-'d3-П'!H27</f>
        <v>0</v>
      </c>
      <c r="I27" s="501">
        <f>'d3'!I27-'d3-П'!I27</f>
        <v>2000000</v>
      </c>
      <c r="J27" s="501">
        <f>'d3'!J27-'d3-П'!J27</f>
        <v>-3697243.7099999981</v>
      </c>
      <c r="K27" s="501">
        <f>'d3'!K27-'d3-П'!K27</f>
        <v>0</v>
      </c>
      <c r="L27" s="501">
        <f>'d3'!L27-'d3-П'!L27</f>
        <v>-3697243.7099999981</v>
      </c>
      <c r="M27" s="501">
        <f>'d3'!M27-'d3-П'!M27</f>
        <v>0</v>
      </c>
      <c r="N27" s="501">
        <f>'d3'!N27-'d3-П'!N27</f>
        <v>0</v>
      </c>
      <c r="O27" s="501">
        <f>'d3'!O27-'d3-П'!O27</f>
        <v>0</v>
      </c>
      <c r="P27" s="501">
        <f>'d3'!P27-'d3-П'!P27</f>
        <v>-1697243.709999986</v>
      </c>
      <c r="Q27" s="126"/>
      <c r="R27" s="29"/>
    </row>
    <row r="28" spans="1:18" s="31" customFormat="1" ht="125.25" customHeight="1" thickTop="1" thickBot="1" x14ac:dyDescent="0.25">
      <c r="A28" s="508" t="s">
        <v>654</v>
      </c>
      <c r="B28" s="508" t="s">
        <v>655</v>
      </c>
      <c r="C28" s="508"/>
      <c r="D28" s="508" t="s">
        <v>656</v>
      </c>
      <c r="E28" s="501">
        <f>'d3'!E28-'d3-П'!E28</f>
        <v>2000000</v>
      </c>
      <c r="F28" s="501">
        <f>'d3'!F28-'d3-П'!F28</f>
        <v>0</v>
      </c>
      <c r="G28" s="501">
        <f>'d3'!G28-'d3-П'!G28</f>
        <v>0</v>
      </c>
      <c r="H28" s="501">
        <f>'d3'!H28-'d3-П'!H28</f>
        <v>0</v>
      </c>
      <c r="I28" s="501">
        <f>'d3'!I28-'d3-П'!I28</f>
        <v>2000000</v>
      </c>
      <c r="J28" s="501">
        <f>'d3'!J28-'d3-П'!J28</f>
        <v>0</v>
      </c>
      <c r="K28" s="501">
        <f>'d3'!K28-'d3-П'!K28</f>
        <v>0</v>
      </c>
      <c r="L28" s="501">
        <f>'d3'!L28-'d3-П'!L28</f>
        <v>0</v>
      </c>
      <c r="M28" s="501">
        <f>'d3'!M28-'d3-П'!M28</f>
        <v>0</v>
      </c>
      <c r="N28" s="501">
        <f>'d3'!N28-'d3-П'!N28</f>
        <v>0</v>
      </c>
      <c r="O28" s="501">
        <f>'d3'!O28-'d3-П'!O28</f>
        <v>0</v>
      </c>
      <c r="P28" s="501">
        <f>'d3'!P28-'d3-П'!P28</f>
        <v>2000000</v>
      </c>
      <c r="Q28" s="129"/>
      <c r="R28" s="30"/>
    </row>
    <row r="29" spans="1:18" ht="132" customHeight="1" thickTop="1" thickBot="1" x14ac:dyDescent="0.25">
      <c r="A29" s="94" t="s">
        <v>233</v>
      </c>
      <c r="B29" s="94" t="s">
        <v>234</v>
      </c>
      <c r="C29" s="94" t="s">
        <v>235</v>
      </c>
      <c r="D29" s="94" t="s">
        <v>232</v>
      </c>
      <c r="E29" s="501">
        <f>'d3'!E29-'d3-П'!E29</f>
        <v>2000000</v>
      </c>
      <c r="F29" s="501">
        <f>'d3'!F29-'d3-П'!F29</f>
        <v>0</v>
      </c>
      <c r="G29" s="501">
        <f>'d3'!G29-'d3-П'!G29</f>
        <v>0</v>
      </c>
      <c r="H29" s="501">
        <f>'d3'!H29-'d3-П'!H29</f>
        <v>0</v>
      </c>
      <c r="I29" s="501">
        <f>'d3'!I29-'d3-П'!I29</f>
        <v>2000000</v>
      </c>
      <c r="J29" s="501">
        <f>'d3'!J29-'d3-П'!J29</f>
        <v>0</v>
      </c>
      <c r="K29" s="501">
        <f>'d3'!K29-'d3-П'!K29</f>
        <v>0</v>
      </c>
      <c r="L29" s="501">
        <f>'d3'!L29-'d3-П'!L29</f>
        <v>0</v>
      </c>
      <c r="M29" s="501">
        <f>'d3'!M29-'d3-П'!M29</f>
        <v>0</v>
      </c>
      <c r="N29" s="501">
        <f>'d3'!N29-'d3-П'!N29</f>
        <v>0</v>
      </c>
      <c r="O29" s="501">
        <f>'d3'!O29-'d3-П'!O29</f>
        <v>0</v>
      </c>
      <c r="P29" s="501">
        <f>'d3'!P29-'d3-П'!P29</f>
        <v>2000000</v>
      </c>
      <c r="Q29" s="124"/>
      <c r="R29" s="27"/>
    </row>
    <row r="30" spans="1:18" ht="93" hidden="1" thickTop="1" thickBot="1" x14ac:dyDescent="0.25">
      <c r="A30" s="39" t="s">
        <v>915</v>
      </c>
      <c r="B30" s="39" t="s">
        <v>916</v>
      </c>
      <c r="C30" s="39" t="s">
        <v>235</v>
      </c>
      <c r="D30" s="39" t="s">
        <v>917</v>
      </c>
      <c r="E30" s="501">
        <f>'d3'!E30-'d3-П'!E30</f>
        <v>0</v>
      </c>
      <c r="F30" s="501">
        <f>'d3'!F30-'d3-П'!F30</f>
        <v>0</v>
      </c>
      <c r="G30" s="501">
        <f>'d3'!G30-'d3-П'!G30</f>
        <v>0</v>
      </c>
      <c r="H30" s="501">
        <f>'d3'!H30-'d3-П'!H30</f>
        <v>0</v>
      </c>
      <c r="I30" s="501">
        <f>'d3'!I30-'d3-П'!I30</f>
        <v>0</v>
      </c>
      <c r="J30" s="501">
        <f>'d3'!J30-'d3-П'!J30</f>
        <v>0</v>
      </c>
      <c r="K30" s="501">
        <f>'d3'!K30-'d3-П'!K30</f>
        <v>0</v>
      </c>
      <c r="L30" s="501">
        <f>'d3'!L30-'d3-П'!L30</f>
        <v>0</v>
      </c>
      <c r="M30" s="501">
        <f>'d3'!M30-'d3-П'!M30</f>
        <v>0</v>
      </c>
      <c r="N30" s="501">
        <f>'d3'!N30-'d3-П'!N30</f>
        <v>0</v>
      </c>
      <c r="O30" s="501">
        <f>'d3'!O30-'d3-П'!O30</f>
        <v>0</v>
      </c>
      <c r="P30" s="501">
        <f>'d3'!P30-'d3-П'!P30</f>
        <v>0</v>
      </c>
      <c r="Q30" s="124"/>
      <c r="R30" s="27"/>
    </row>
    <row r="31" spans="1:18" ht="122.25" customHeight="1" thickTop="1" thickBot="1" x14ac:dyDescent="0.25">
      <c r="A31" s="508" t="s">
        <v>658</v>
      </c>
      <c r="B31" s="508" t="s">
        <v>659</v>
      </c>
      <c r="C31" s="508"/>
      <c r="D31" s="508" t="s">
        <v>657</v>
      </c>
      <c r="E31" s="501">
        <f>'d3'!E31-'d3-П'!E31</f>
        <v>0</v>
      </c>
      <c r="F31" s="501">
        <f>'d3'!F31-'d3-П'!F31</f>
        <v>0</v>
      </c>
      <c r="G31" s="501">
        <f>'d3'!G31-'d3-П'!G31</f>
        <v>0</v>
      </c>
      <c r="H31" s="501">
        <f>'d3'!H31-'d3-П'!H31</f>
        <v>0</v>
      </c>
      <c r="I31" s="501">
        <f>'d3'!I31-'d3-П'!I31</f>
        <v>0</v>
      </c>
      <c r="J31" s="501">
        <f>'d3'!J31-'d3-П'!J31</f>
        <v>-3697243.71</v>
      </c>
      <c r="K31" s="501">
        <f>'d3'!K31-'d3-П'!K31</f>
        <v>0</v>
      </c>
      <c r="L31" s="501">
        <f>'d3'!L31-'d3-П'!L31</f>
        <v>-3697243.71</v>
      </c>
      <c r="M31" s="501">
        <f>'d3'!M31-'d3-П'!M31</f>
        <v>0</v>
      </c>
      <c r="N31" s="501">
        <f>'d3'!N31-'d3-П'!N31</f>
        <v>0</v>
      </c>
      <c r="O31" s="501">
        <f>'d3'!O31-'d3-П'!O31</f>
        <v>0</v>
      </c>
      <c r="P31" s="501">
        <f>'d3'!P31-'d3-П'!P31</f>
        <v>-3697243.7100000009</v>
      </c>
      <c r="Q31" s="130"/>
      <c r="R31" s="32"/>
    </row>
    <row r="32" spans="1:18" ht="113.25" customHeight="1" thickTop="1" thickBot="1" x14ac:dyDescent="0.25">
      <c r="A32" s="94" t="s">
        <v>1461</v>
      </c>
      <c r="B32" s="94" t="s">
        <v>248</v>
      </c>
      <c r="C32" s="94" t="s">
        <v>208</v>
      </c>
      <c r="D32" s="94" t="s">
        <v>247</v>
      </c>
      <c r="E32" s="501">
        <f>'d3'!E32-'d3-П'!E32</f>
        <v>0</v>
      </c>
      <c r="F32" s="501">
        <f>'d3'!F32-'d3-П'!F32</f>
        <v>0</v>
      </c>
      <c r="G32" s="501">
        <f>'d3'!G32-'d3-П'!G32</f>
        <v>0</v>
      </c>
      <c r="H32" s="501">
        <f>'d3'!H32-'d3-П'!H32</f>
        <v>0</v>
      </c>
      <c r="I32" s="501">
        <f>'d3'!I32-'d3-П'!I32</f>
        <v>0</v>
      </c>
      <c r="J32" s="501">
        <f>'d3'!J32-'d3-П'!J32</f>
        <v>0</v>
      </c>
      <c r="K32" s="501">
        <f>'d3'!K32-'d3-П'!K32</f>
        <v>0</v>
      </c>
      <c r="L32" s="501">
        <f>'d3'!L32-'d3-П'!L32</f>
        <v>0</v>
      </c>
      <c r="M32" s="501">
        <f>'d3'!M32-'d3-П'!M32</f>
        <v>0</v>
      </c>
      <c r="N32" s="501">
        <f>'d3'!N32-'d3-П'!N32</f>
        <v>0</v>
      </c>
      <c r="O32" s="501">
        <f>'d3'!O32-'d3-П'!O32</f>
        <v>0</v>
      </c>
      <c r="P32" s="501">
        <f>'d3'!P32-'d3-П'!P32</f>
        <v>0</v>
      </c>
      <c r="Q32" s="130"/>
      <c r="R32" s="32"/>
    </row>
    <row r="33" spans="1:18" ht="47.25" hidden="1" thickTop="1" thickBot="1" x14ac:dyDescent="0.25">
      <c r="A33" s="119" t="s">
        <v>1215</v>
      </c>
      <c r="B33" s="119" t="s">
        <v>207</v>
      </c>
      <c r="C33" s="119" t="s">
        <v>208</v>
      </c>
      <c r="D33" s="119" t="s">
        <v>40</v>
      </c>
      <c r="E33" s="501">
        <f>'d3'!E33-'d3-П'!E33</f>
        <v>0</v>
      </c>
      <c r="F33" s="501">
        <f>'d3'!F33-'d3-П'!F33</f>
        <v>0</v>
      </c>
      <c r="G33" s="501">
        <f>'d3'!G33-'d3-П'!G33</f>
        <v>0</v>
      </c>
      <c r="H33" s="501">
        <f>'d3'!H33-'d3-П'!H33</f>
        <v>0</v>
      </c>
      <c r="I33" s="501">
        <f>'d3'!I33-'d3-П'!I33</f>
        <v>0</v>
      </c>
      <c r="J33" s="501">
        <f>'d3'!J33-'d3-П'!J33</f>
        <v>0</v>
      </c>
      <c r="K33" s="501">
        <f>'d3'!K33-'d3-П'!K33</f>
        <v>0</v>
      </c>
      <c r="L33" s="501">
        <f>'d3'!L33-'d3-П'!L33</f>
        <v>0</v>
      </c>
      <c r="M33" s="501">
        <f>'d3'!M33-'d3-П'!M33</f>
        <v>0</v>
      </c>
      <c r="N33" s="501">
        <f>'d3'!N33-'d3-П'!N33</f>
        <v>0</v>
      </c>
      <c r="O33" s="501">
        <f>'d3'!O33-'d3-П'!O33</f>
        <v>0</v>
      </c>
      <c r="P33" s="501">
        <f>'d3'!P33-'d3-П'!P33</f>
        <v>0</v>
      </c>
      <c r="Q33" s="130"/>
      <c r="R33" s="32"/>
    </row>
    <row r="34" spans="1:18" ht="111" customHeight="1" thickTop="1" thickBot="1" x14ac:dyDescent="0.25">
      <c r="A34" s="94" t="s">
        <v>293</v>
      </c>
      <c r="B34" s="94" t="s">
        <v>294</v>
      </c>
      <c r="C34" s="94" t="s">
        <v>165</v>
      </c>
      <c r="D34" s="94" t="s">
        <v>431</v>
      </c>
      <c r="E34" s="501">
        <f>'d3'!E34-'d3-П'!E34</f>
        <v>0</v>
      </c>
      <c r="F34" s="501">
        <f>'d3'!F34-'d3-П'!F34</f>
        <v>0</v>
      </c>
      <c r="G34" s="501">
        <f>'d3'!G34-'d3-П'!G34</f>
        <v>0</v>
      </c>
      <c r="H34" s="501">
        <f>'d3'!H34-'d3-П'!H34</f>
        <v>0</v>
      </c>
      <c r="I34" s="501">
        <f>'d3'!I34-'d3-П'!I34</f>
        <v>0</v>
      </c>
      <c r="J34" s="501">
        <f>'d3'!J34-'d3-П'!J34</f>
        <v>0</v>
      </c>
      <c r="K34" s="501">
        <f>'d3'!K34-'d3-П'!K34</f>
        <v>0</v>
      </c>
      <c r="L34" s="501">
        <f>'d3'!L34-'d3-П'!L34</f>
        <v>0</v>
      </c>
      <c r="M34" s="501">
        <f>'d3'!M34-'d3-П'!M34</f>
        <v>0</v>
      </c>
      <c r="N34" s="501">
        <f>'d3'!N34-'d3-П'!N34</f>
        <v>0</v>
      </c>
      <c r="O34" s="501">
        <f>'d3'!O34-'d3-П'!O34</f>
        <v>0</v>
      </c>
      <c r="P34" s="501">
        <f>'d3'!P34-'d3-П'!P34</f>
        <v>0</v>
      </c>
      <c r="Q34" s="124"/>
      <c r="R34" s="28"/>
    </row>
    <row r="35" spans="1:18" ht="126" customHeight="1" thickTop="1" thickBot="1" x14ac:dyDescent="0.25">
      <c r="A35" s="518" t="s">
        <v>661</v>
      </c>
      <c r="B35" s="518" t="s">
        <v>662</v>
      </c>
      <c r="C35" s="518"/>
      <c r="D35" s="582" t="s">
        <v>660</v>
      </c>
      <c r="E35" s="501">
        <f>'d3'!E35-'d3-П'!E35</f>
        <v>0</v>
      </c>
      <c r="F35" s="501">
        <f>'d3'!F35-'d3-П'!F35</f>
        <v>0</v>
      </c>
      <c r="G35" s="501">
        <f>'d3'!G35-'d3-П'!G35</f>
        <v>0</v>
      </c>
      <c r="H35" s="501">
        <f>'d3'!H35-'d3-П'!H35</f>
        <v>0</v>
      </c>
      <c r="I35" s="501">
        <f>'d3'!I35-'d3-П'!I35</f>
        <v>0</v>
      </c>
      <c r="J35" s="501">
        <f>'d3'!J35-'d3-П'!J35</f>
        <v>-3697243.71</v>
      </c>
      <c r="K35" s="501">
        <f>'d3'!K35-'d3-П'!K35</f>
        <v>0</v>
      </c>
      <c r="L35" s="501">
        <f>'d3'!L35-'d3-П'!L35</f>
        <v>-3697243.71</v>
      </c>
      <c r="M35" s="501">
        <f>'d3'!M35-'d3-П'!M35</f>
        <v>0</v>
      </c>
      <c r="N35" s="501">
        <f>'d3'!N35-'d3-П'!N35</f>
        <v>0</v>
      </c>
      <c r="O35" s="501">
        <f>'d3'!O35-'d3-П'!O35</f>
        <v>0</v>
      </c>
      <c r="P35" s="501">
        <f>'d3'!P35-'d3-П'!P35</f>
        <v>-3697243.7100000009</v>
      </c>
      <c r="Q35" s="130"/>
      <c r="R35" s="33"/>
    </row>
    <row r="36" spans="1:18" s="31" customFormat="1" ht="360" customHeight="1" thickTop="1" thickBot="1" x14ac:dyDescent="0.25">
      <c r="A36" s="94" t="s">
        <v>330</v>
      </c>
      <c r="B36" s="94" t="s">
        <v>329</v>
      </c>
      <c r="C36" s="94" t="s">
        <v>165</v>
      </c>
      <c r="D36" s="581" t="s">
        <v>1456</v>
      </c>
      <c r="E36" s="501">
        <f>'d3'!E36-'d3-П'!E36</f>
        <v>0</v>
      </c>
      <c r="F36" s="501">
        <f>'d3'!F36-'d3-П'!F36</f>
        <v>0</v>
      </c>
      <c r="G36" s="501">
        <f>'d3'!G36-'d3-П'!G36</f>
        <v>0</v>
      </c>
      <c r="H36" s="501">
        <f>'d3'!H36-'d3-П'!H36</f>
        <v>0</v>
      </c>
      <c r="I36" s="501">
        <f>'d3'!I36-'d3-П'!I36</f>
        <v>0</v>
      </c>
      <c r="J36" s="501">
        <f>'d3'!J36-'d3-П'!J36</f>
        <v>-3697243.71</v>
      </c>
      <c r="K36" s="501">
        <f>'d3'!K36-'d3-П'!K36</f>
        <v>0</v>
      </c>
      <c r="L36" s="501">
        <f>'d3'!L36-'d3-П'!L36</f>
        <v>-3697243.71</v>
      </c>
      <c r="M36" s="501">
        <f>'d3'!M36-'d3-П'!M36</f>
        <v>0</v>
      </c>
      <c r="N36" s="501">
        <f>'d3'!N36-'d3-П'!N36</f>
        <v>0</v>
      </c>
      <c r="O36" s="501">
        <f>'d3'!O36-'d3-П'!O36</f>
        <v>0</v>
      </c>
      <c r="P36" s="501">
        <f>'d3'!P36-'d3-П'!P36</f>
        <v>-3697243.71</v>
      </c>
      <c r="Q36" s="133"/>
      <c r="R36" s="34"/>
    </row>
    <row r="37" spans="1:18" s="31" customFormat="1" ht="120" customHeight="1" thickTop="1" thickBot="1" x14ac:dyDescent="0.25">
      <c r="A37" s="94" t="s">
        <v>870</v>
      </c>
      <c r="B37" s="94" t="s">
        <v>251</v>
      </c>
      <c r="C37" s="94" t="s">
        <v>165</v>
      </c>
      <c r="D37" s="94" t="s">
        <v>249</v>
      </c>
      <c r="E37" s="501">
        <f>'d3'!E37-'d3-П'!E37</f>
        <v>0</v>
      </c>
      <c r="F37" s="501">
        <f>'d3'!F37-'d3-П'!F37</f>
        <v>0</v>
      </c>
      <c r="G37" s="501">
        <f>'d3'!G37-'d3-П'!G37</f>
        <v>0</v>
      </c>
      <c r="H37" s="501">
        <f>'d3'!H37-'d3-П'!H37</f>
        <v>0</v>
      </c>
      <c r="I37" s="501">
        <f>'d3'!I37-'d3-П'!I37</f>
        <v>0</v>
      </c>
      <c r="J37" s="501">
        <f>'d3'!J37-'d3-П'!J37</f>
        <v>0</v>
      </c>
      <c r="K37" s="501">
        <f>'d3'!K37-'d3-П'!K37</f>
        <v>0</v>
      </c>
      <c r="L37" s="501">
        <f>'d3'!L37-'d3-П'!L37</f>
        <v>0</v>
      </c>
      <c r="M37" s="501">
        <f>'d3'!M37-'d3-П'!M37</f>
        <v>0</v>
      </c>
      <c r="N37" s="501">
        <f>'d3'!N37-'d3-П'!N37</f>
        <v>0</v>
      </c>
      <c r="O37" s="501">
        <f>'d3'!O37-'d3-П'!O37</f>
        <v>0</v>
      </c>
      <c r="P37" s="501">
        <f>'d3'!P37-'d3-П'!P37</f>
        <v>0</v>
      </c>
      <c r="Q37" s="34"/>
      <c r="R37" s="34"/>
    </row>
    <row r="38" spans="1:18" s="31" customFormat="1" ht="99.75" customHeight="1" thickTop="1" thickBot="1" x14ac:dyDescent="0.25">
      <c r="A38" s="239" t="s">
        <v>663</v>
      </c>
      <c r="B38" s="239" t="s">
        <v>664</v>
      </c>
      <c r="C38" s="239"/>
      <c r="D38" s="239" t="s">
        <v>665</v>
      </c>
      <c r="E38" s="501">
        <f>'d3'!E38-'d3-П'!E38</f>
        <v>10189760</v>
      </c>
      <c r="F38" s="501">
        <f>'d3'!F38-'d3-П'!F38</f>
        <v>189760</v>
      </c>
      <c r="G38" s="501">
        <f>'d3'!G38-'d3-П'!G38</f>
        <v>0</v>
      </c>
      <c r="H38" s="501">
        <f>'d3'!H38-'d3-П'!H38</f>
        <v>0</v>
      </c>
      <c r="I38" s="501">
        <f>'d3'!I38-'d3-П'!I38</f>
        <v>10000000</v>
      </c>
      <c r="J38" s="501">
        <f>'d3'!J38-'d3-П'!J38</f>
        <v>0</v>
      </c>
      <c r="K38" s="501">
        <f>'d3'!K38-'d3-П'!K38</f>
        <v>0</v>
      </c>
      <c r="L38" s="501">
        <f>'d3'!L38-'d3-П'!L38</f>
        <v>0</v>
      </c>
      <c r="M38" s="501">
        <f>'d3'!M38-'d3-П'!M38</f>
        <v>0</v>
      </c>
      <c r="N38" s="501">
        <f>'d3'!N38-'d3-П'!N38</f>
        <v>0</v>
      </c>
      <c r="O38" s="501">
        <f>'d3'!O38-'d3-П'!O38</f>
        <v>0</v>
      </c>
      <c r="P38" s="501">
        <f>'d3'!P38-'d3-П'!P38</f>
        <v>10189760</v>
      </c>
      <c r="Q38" s="34"/>
      <c r="R38" s="34"/>
    </row>
    <row r="39" spans="1:18" s="31" customFormat="1" ht="107.25" customHeight="1" thickTop="1" thickBot="1" x14ac:dyDescent="0.25">
      <c r="A39" s="508" t="s">
        <v>1065</v>
      </c>
      <c r="B39" s="508" t="s">
        <v>1066</v>
      </c>
      <c r="C39" s="508"/>
      <c r="D39" s="508" t="s">
        <v>1064</v>
      </c>
      <c r="E39" s="501">
        <f>'d3'!E39-'d3-П'!E39</f>
        <v>10189760</v>
      </c>
      <c r="F39" s="501">
        <f>'d3'!F39-'d3-П'!F39</f>
        <v>189760</v>
      </c>
      <c r="G39" s="501">
        <f>'d3'!G39-'d3-П'!G39</f>
        <v>0</v>
      </c>
      <c r="H39" s="501">
        <f>'d3'!H39-'d3-П'!H39</f>
        <v>0</v>
      </c>
      <c r="I39" s="501">
        <f>'d3'!I39-'d3-П'!I39</f>
        <v>10000000</v>
      </c>
      <c r="J39" s="501">
        <f>'d3'!J39-'d3-П'!J39</f>
        <v>0</v>
      </c>
      <c r="K39" s="501">
        <f>'d3'!K39-'d3-П'!K39</f>
        <v>0</v>
      </c>
      <c r="L39" s="501">
        <f>'d3'!L39-'d3-П'!L39</f>
        <v>0</v>
      </c>
      <c r="M39" s="501">
        <f>'d3'!M39-'d3-П'!M39</f>
        <v>0</v>
      </c>
      <c r="N39" s="501">
        <f>'d3'!N39-'d3-П'!N39</f>
        <v>0</v>
      </c>
      <c r="O39" s="501">
        <f>'d3'!O39-'d3-П'!O39</f>
        <v>0</v>
      </c>
      <c r="P39" s="501">
        <f>'d3'!P39-'d3-П'!P39</f>
        <v>10189760</v>
      </c>
      <c r="Q39" s="34"/>
      <c r="R39" s="34"/>
    </row>
    <row r="40" spans="1:18" s="31" customFormat="1" ht="104.25" customHeight="1" thickTop="1" thickBot="1" x14ac:dyDescent="0.25">
      <c r="A40" s="94" t="s">
        <v>1092</v>
      </c>
      <c r="B40" s="94" t="s">
        <v>1093</v>
      </c>
      <c r="C40" s="94" t="s">
        <v>1068</v>
      </c>
      <c r="D40" s="94" t="s">
        <v>1094</v>
      </c>
      <c r="E40" s="501">
        <f>'d3'!E40-'d3-П'!E40</f>
        <v>10000000</v>
      </c>
      <c r="F40" s="501">
        <f>'d3'!F40-'d3-П'!F40</f>
        <v>0</v>
      </c>
      <c r="G40" s="501">
        <f>'d3'!G40-'d3-П'!G40</f>
        <v>0</v>
      </c>
      <c r="H40" s="501">
        <f>'d3'!H40-'d3-П'!H40</f>
        <v>0</v>
      </c>
      <c r="I40" s="501">
        <f>'d3'!I40-'d3-П'!I40</f>
        <v>10000000</v>
      </c>
      <c r="J40" s="501">
        <f>'d3'!J40-'d3-П'!J40</f>
        <v>0</v>
      </c>
      <c r="K40" s="501">
        <f>'d3'!K40-'d3-П'!K40</f>
        <v>0</v>
      </c>
      <c r="L40" s="501">
        <f>'d3'!L40-'d3-П'!L40</f>
        <v>0</v>
      </c>
      <c r="M40" s="501">
        <f>'d3'!M40-'d3-П'!M40</f>
        <v>0</v>
      </c>
      <c r="N40" s="501">
        <f>'d3'!N40-'d3-П'!N40</f>
        <v>0</v>
      </c>
      <c r="O40" s="501">
        <f>'d3'!O40-'d3-П'!O40</f>
        <v>0</v>
      </c>
      <c r="P40" s="501">
        <f>'d3'!P40-'d3-П'!P40</f>
        <v>10000000</v>
      </c>
      <c r="Q40" s="34"/>
      <c r="R40" s="34"/>
    </row>
    <row r="41" spans="1:18" s="31" customFormat="1" ht="116.25" customHeight="1" thickTop="1" thickBot="1" x14ac:dyDescent="0.25">
      <c r="A41" s="94" t="s">
        <v>1069</v>
      </c>
      <c r="B41" s="94" t="s">
        <v>1070</v>
      </c>
      <c r="C41" s="94" t="s">
        <v>1068</v>
      </c>
      <c r="D41" s="94" t="s">
        <v>1067</v>
      </c>
      <c r="E41" s="501">
        <f>'d3'!E41-'d3-П'!E41</f>
        <v>189760</v>
      </c>
      <c r="F41" s="501">
        <f>'d3'!F41-'d3-П'!F41</f>
        <v>189760</v>
      </c>
      <c r="G41" s="501">
        <f>'d3'!G41-'d3-П'!G41</f>
        <v>0</v>
      </c>
      <c r="H41" s="501">
        <f>'d3'!H41-'d3-П'!H41</f>
        <v>0</v>
      </c>
      <c r="I41" s="501">
        <f>'d3'!I41-'d3-П'!I41</f>
        <v>0</v>
      </c>
      <c r="J41" s="501">
        <f>'d3'!J41-'d3-П'!J41</f>
        <v>0</v>
      </c>
      <c r="K41" s="501">
        <f>'d3'!K41-'d3-П'!K41</f>
        <v>0</v>
      </c>
      <c r="L41" s="501">
        <f>'d3'!L41-'d3-П'!L41</f>
        <v>0</v>
      </c>
      <c r="M41" s="501">
        <f>'d3'!M41-'d3-П'!M41</f>
        <v>0</v>
      </c>
      <c r="N41" s="501">
        <f>'d3'!N41-'d3-П'!N41</f>
        <v>0</v>
      </c>
      <c r="O41" s="501">
        <f>'d3'!O41-'d3-П'!O41</f>
        <v>0</v>
      </c>
      <c r="P41" s="501">
        <f>'d3'!P41-'d3-П'!P41</f>
        <v>189760</v>
      </c>
      <c r="Q41" s="34"/>
      <c r="R41" s="34"/>
    </row>
    <row r="42" spans="1:18" s="31" customFormat="1" ht="116.25" customHeight="1" thickTop="1" thickBot="1" x14ac:dyDescent="0.25">
      <c r="A42" s="496" t="s">
        <v>666</v>
      </c>
      <c r="B42" s="496" t="s">
        <v>667</v>
      </c>
      <c r="C42" s="496"/>
      <c r="D42" s="496" t="s">
        <v>1569</v>
      </c>
      <c r="E42" s="501">
        <f>'d3'!E42-'d3-П'!E42</f>
        <v>0</v>
      </c>
      <c r="F42" s="501">
        <f>'d3'!F42-'d3-П'!F42</f>
        <v>0</v>
      </c>
      <c r="G42" s="501">
        <f>'d3'!G42-'d3-П'!G42</f>
        <v>0</v>
      </c>
      <c r="H42" s="501">
        <f>'d3'!H42-'d3-П'!H42</f>
        <v>0</v>
      </c>
      <c r="I42" s="501">
        <f>'d3'!I42-'d3-П'!I42</f>
        <v>0</v>
      </c>
      <c r="J42" s="501">
        <f>'d3'!J42-'d3-П'!J42</f>
        <v>0</v>
      </c>
      <c r="K42" s="501">
        <f>'d3'!K42-'d3-П'!K42</f>
        <v>0</v>
      </c>
      <c r="L42" s="501">
        <f>'d3'!L42-'d3-П'!L42</f>
        <v>0</v>
      </c>
      <c r="M42" s="501">
        <f>'d3'!M42-'d3-П'!M42</f>
        <v>0</v>
      </c>
      <c r="N42" s="501">
        <f>'d3'!N42-'d3-П'!N42</f>
        <v>0</v>
      </c>
      <c r="O42" s="501">
        <f>'d3'!O42-'d3-П'!O42</f>
        <v>0</v>
      </c>
      <c r="P42" s="501">
        <f>'d3'!P42-'d3-П'!P42</f>
        <v>0</v>
      </c>
      <c r="Q42" s="34"/>
    </row>
    <row r="43" spans="1:18" ht="123" customHeight="1" thickTop="1" thickBot="1" x14ac:dyDescent="0.25">
      <c r="A43" s="469" t="s">
        <v>236</v>
      </c>
      <c r="B43" s="469" t="s">
        <v>237</v>
      </c>
      <c r="C43" s="469" t="s">
        <v>238</v>
      </c>
      <c r="D43" s="469" t="s">
        <v>1365</v>
      </c>
      <c r="E43" s="501">
        <f>'d3'!E43-'d3-П'!E43</f>
        <v>0</v>
      </c>
      <c r="F43" s="501">
        <f>'d3'!F43-'d3-П'!F43</f>
        <v>0</v>
      </c>
      <c r="G43" s="501">
        <f>'d3'!G43-'d3-П'!G43</f>
        <v>0</v>
      </c>
      <c r="H43" s="501">
        <f>'d3'!H43-'d3-П'!H43</f>
        <v>0</v>
      </c>
      <c r="I43" s="501">
        <f>'d3'!I43-'d3-П'!I43</f>
        <v>0</v>
      </c>
      <c r="J43" s="501">
        <f>'d3'!J43-'d3-П'!J43</f>
        <v>0</v>
      </c>
      <c r="K43" s="501">
        <f>'d3'!K43-'d3-П'!K43</f>
        <v>0</v>
      </c>
      <c r="L43" s="501">
        <f>'d3'!L43-'d3-П'!L43</f>
        <v>0</v>
      </c>
      <c r="M43" s="501">
        <f>'d3'!M43-'d3-П'!M43</f>
        <v>0</v>
      </c>
      <c r="N43" s="501">
        <f>'d3'!N43-'d3-П'!N43</f>
        <v>0</v>
      </c>
      <c r="O43" s="501">
        <f>'d3'!O43-'d3-П'!O43</f>
        <v>0</v>
      </c>
      <c r="P43" s="501">
        <f>'d3'!P43-'d3-П'!P43</f>
        <v>0</v>
      </c>
      <c r="Q43" s="18"/>
    </row>
    <row r="44" spans="1:18" ht="119.25" customHeight="1" thickTop="1" thickBot="1" x14ac:dyDescent="0.25">
      <c r="A44" s="239" t="s">
        <v>668</v>
      </c>
      <c r="B44" s="239" t="s">
        <v>669</v>
      </c>
      <c r="C44" s="239"/>
      <c r="D44" s="239" t="s">
        <v>670</v>
      </c>
      <c r="E44" s="501">
        <f>'d3'!E44-'d3-П'!E44</f>
        <v>57013000</v>
      </c>
      <c r="F44" s="501">
        <f>'d3'!F44-'d3-П'!F44</f>
        <v>16979000</v>
      </c>
      <c r="G44" s="501">
        <f>'d3'!G44-'d3-П'!G44</f>
        <v>0</v>
      </c>
      <c r="H44" s="501">
        <f>'d3'!H44-'d3-П'!H44</f>
        <v>0</v>
      </c>
      <c r="I44" s="501">
        <f>'d3'!I44-'d3-П'!I44</f>
        <v>40034000</v>
      </c>
      <c r="J44" s="501">
        <f>'d3'!J44-'d3-П'!J44</f>
        <v>0</v>
      </c>
      <c r="K44" s="501">
        <f>'d3'!K44-'d3-П'!K44</f>
        <v>0</v>
      </c>
      <c r="L44" s="501">
        <f>'d3'!L44-'d3-П'!L44</f>
        <v>0</v>
      </c>
      <c r="M44" s="501">
        <f>'d3'!M44-'d3-П'!M44</f>
        <v>0</v>
      </c>
      <c r="N44" s="501">
        <f>'d3'!N44-'d3-П'!N44</f>
        <v>0</v>
      </c>
      <c r="O44" s="501">
        <f>'d3'!O44-'d3-П'!O44</f>
        <v>0</v>
      </c>
      <c r="P44" s="501">
        <f>'d3'!P44-'d3-П'!P44</f>
        <v>57013000</v>
      </c>
      <c r="Q44" s="18"/>
    </row>
    <row r="45" spans="1:18" s="31" customFormat="1" ht="163.5" customHeight="1" thickTop="1" thickBot="1" x14ac:dyDescent="0.25">
      <c r="A45" s="508" t="s">
        <v>671</v>
      </c>
      <c r="B45" s="508" t="s">
        <v>672</v>
      </c>
      <c r="C45" s="508"/>
      <c r="D45" s="508" t="s">
        <v>673</v>
      </c>
      <c r="E45" s="501">
        <f>'d3'!E45-'d3-П'!E45</f>
        <v>0</v>
      </c>
      <c r="F45" s="501">
        <f>'d3'!F45-'d3-П'!F45</f>
        <v>0</v>
      </c>
      <c r="G45" s="501">
        <f>'d3'!G45-'d3-П'!G45</f>
        <v>0</v>
      </c>
      <c r="H45" s="501">
        <f>'d3'!H45-'d3-П'!H45</f>
        <v>0</v>
      </c>
      <c r="I45" s="501">
        <f>'d3'!I45-'d3-П'!I45</f>
        <v>0</v>
      </c>
      <c r="J45" s="501">
        <f>'d3'!J45-'d3-П'!J45</f>
        <v>0</v>
      </c>
      <c r="K45" s="501">
        <f>'d3'!K45-'d3-П'!K45</f>
        <v>0</v>
      </c>
      <c r="L45" s="501">
        <f>'d3'!L45-'d3-П'!L45</f>
        <v>0</v>
      </c>
      <c r="M45" s="501">
        <f>'d3'!M45-'d3-П'!M45</f>
        <v>0</v>
      </c>
      <c r="N45" s="501">
        <f>'d3'!N45-'d3-П'!N45</f>
        <v>0</v>
      </c>
      <c r="O45" s="501">
        <f>'d3'!O45-'d3-П'!O45</f>
        <v>0</v>
      </c>
      <c r="P45" s="501">
        <f>'d3'!P45-'d3-П'!P45</f>
        <v>0</v>
      </c>
      <c r="Q45" s="34"/>
      <c r="R45" s="34"/>
    </row>
    <row r="46" spans="1:18" ht="213.75" customHeight="1" thickTop="1" thickBot="1" x14ac:dyDescent="0.25">
      <c r="A46" s="94" t="s">
        <v>239</v>
      </c>
      <c r="B46" s="94" t="s">
        <v>240</v>
      </c>
      <c r="C46" s="94" t="s">
        <v>42</v>
      </c>
      <c r="D46" s="94" t="s">
        <v>432</v>
      </c>
      <c r="E46" s="501">
        <f>'d3'!E46-'d3-П'!E46</f>
        <v>0</v>
      </c>
      <c r="F46" s="501">
        <f>'d3'!F46-'d3-П'!F46</f>
        <v>0</v>
      </c>
      <c r="G46" s="501">
        <f>'d3'!G46-'d3-П'!G46</f>
        <v>0</v>
      </c>
      <c r="H46" s="501">
        <f>'d3'!H46-'d3-П'!H46</f>
        <v>0</v>
      </c>
      <c r="I46" s="501">
        <f>'d3'!I46-'d3-П'!I46</f>
        <v>0</v>
      </c>
      <c r="J46" s="501">
        <f>'d3'!J46-'d3-П'!J46</f>
        <v>0</v>
      </c>
      <c r="K46" s="501">
        <f>'d3'!K46-'d3-П'!K46</f>
        <v>0</v>
      </c>
      <c r="L46" s="501">
        <f>'d3'!L46-'d3-П'!L46</f>
        <v>0</v>
      </c>
      <c r="M46" s="501">
        <f>'d3'!M46-'d3-П'!M46</f>
        <v>0</v>
      </c>
      <c r="N46" s="501">
        <f>'d3'!N46-'d3-П'!N46</f>
        <v>0</v>
      </c>
      <c r="O46" s="501">
        <f>'d3'!O46-'d3-П'!O46</f>
        <v>0</v>
      </c>
      <c r="P46" s="501">
        <f>'d3'!P46-'d3-П'!P46</f>
        <v>0</v>
      </c>
      <c r="Q46" s="18"/>
    </row>
    <row r="47" spans="1:18" ht="171.75" customHeight="1" thickTop="1" thickBot="1" x14ac:dyDescent="0.25">
      <c r="A47" s="94" t="s">
        <v>551</v>
      </c>
      <c r="B47" s="94" t="s">
        <v>353</v>
      </c>
      <c r="C47" s="94" t="s">
        <v>42</v>
      </c>
      <c r="D47" s="94" t="s">
        <v>354</v>
      </c>
      <c r="E47" s="501">
        <f>'d3'!E47-'d3-П'!E47</f>
        <v>0</v>
      </c>
      <c r="F47" s="501">
        <f>'d3'!F47-'d3-П'!F47</f>
        <v>0</v>
      </c>
      <c r="G47" s="501">
        <f>'d3'!G47-'d3-П'!G47</f>
        <v>0</v>
      </c>
      <c r="H47" s="501">
        <f>'d3'!H47-'d3-П'!H47</f>
        <v>0</v>
      </c>
      <c r="I47" s="501">
        <f>'d3'!I47-'d3-П'!I47</f>
        <v>0</v>
      </c>
      <c r="J47" s="501">
        <f>'d3'!J47-'d3-П'!J47</f>
        <v>0</v>
      </c>
      <c r="K47" s="501">
        <f>'d3'!K47-'d3-П'!K47</f>
        <v>0</v>
      </c>
      <c r="L47" s="501">
        <f>'d3'!L47-'d3-П'!L47</f>
        <v>0</v>
      </c>
      <c r="M47" s="501">
        <f>'d3'!M47-'d3-П'!M47</f>
        <v>0</v>
      </c>
      <c r="N47" s="501">
        <f>'d3'!N47-'d3-П'!N47</f>
        <v>0</v>
      </c>
      <c r="O47" s="501">
        <f>'d3'!O47-'d3-П'!O47</f>
        <v>0</v>
      </c>
      <c r="P47" s="501">
        <f>'d3'!P47-'d3-П'!P47</f>
        <v>0</v>
      </c>
      <c r="Q47" s="18"/>
    </row>
    <row r="48" spans="1:18" ht="161.25" customHeight="1" thickTop="1" thickBot="1" x14ac:dyDescent="0.25">
      <c r="A48" s="94" t="s">
        <v>496</v>
      </c>
      <c r="B48" s="94" t="s">
        <v>497</v>
      </c>
      <c r="C48" s="94" t="s">
        <v>42</v>
      </c>
      <c r="D48" s="94" t="s">
        <v>498</v>
      </c>
      <c r="E48" s="501">
        <f>'d3'!E48-'d3-П'!E48</f>
        <v>57013000</v>
      </c>
      <c r="F48" s="501">
        <f>'d3'!F48-'d3-П'!F48</f>
        <v>16979000</v>
      </c>
      <c r="G48" s="501">
        <f>'d3'!G48-'d3-П'!G48</f>
        <v>0</v>
      </c>
      <c r="H48" s="501">
        <f>'d3'!H48-'d3-П'!H48</f>
        <v>0</v>
      </c>
      <c r="I48" s="501">
        <f>'d3'!I48-'d3-П'!I48</f>
        <v>40034000</v>
      </c>
      <c r="J48" s="501">
        <f>'d3'!J48-'d3-П'!J48</f>
        <v>0</v>
      </c>
      <c r="K48" s="501">
        <f>'d3'!K48-'d3-П'!K48</f>
        <v>0</v>
      </c>
      <c r="L48" s="501">
        <f>'d3'!L48-'d3-П'!L48</f>
        <v>0</v>
      </c>
      <c r="M48" s="501">
        <f>'d3'!M48-'d3-П'!M48</f>
        <v>0</v>
      </c>
      <c r="N48" s="501">
        <f>'d3'!N48-'d3-П'!N48</f>
        <v>0</v>
      </c>
      <c r="O48" s="501">
        <f>'d3'!O48-'d3-П'!O48</f>
        <v>0</v>
      </c>
      <c r="P48" s="501">
        <f>'d3'!P48-'d3-П'!P48</f>
        <v>57013000</v>
      </c>
      <c r="Q48" s="18"/>
      <c r="R48" s="24"/>
    </row>
    <row r="49" spans="1:20" ht="165.75" customHeight="1" thickTop="1" thickBot="1" x14ac:dyDescent="0.25">
      <c r="A49" s="514" t="s">
        <v>147</v>
      </c>
      <c r="B49" s="514"/>
      <c r="C49" s="514"/>
      <c r="D49" s="515" t="s">
        <v>0</v>
      </c>
      <c r="E49" s="516">
        <f>E50</f>
        <v>27811097.909999847</v>
      </c>
      <c r="F49" s="517">
        <f t="shared" ref="F49" si="2">F50</f>
        <v>20945190.389999866</v>
      </c>
      <c r="G49" s="517">
        <f>G50</f>
        <v>122143</v>
      </c>
      <c r="H49" s="517">
        <f>H50</f>
        <v>20324</v>
      </c>
      <c r="I49" s="517">
        <f t="shared" ref="I49" si="3">I50</f>
        <v>6865907.5199999996</v>
      </c>
      <c r="J49" s="516">
        <f>J50</f>
        <v>3837990.1499999985</v>
      </c>
      <c r="K49" s="517">
        <f>K50</f>
        <v>3092119.1499999985</v>
      </c>
      <c r="L49" s="517">
        <f>L50</f>
        <v>745871</v>
      </c>
      <c r="M49" s="517">
        <f t="shared" ref="M49" si="4">M50</f>
        <v>0</v>
      </c>
      <c r="N49" s="517">
        <f>N50</f>
        <v>0</v>
      </c>
      <c r="O49" s="516">
        <f>O50</f>
        <v>3092119.1499999985</v>
      </c>
      <c r="P49" s="517">
        <f t="shared" ref="P49" si="5">P50</f>
        <v>31649088.059999846</v>
      </c>
      <c r="Q49" s="517">
        <f>O50-K50</f>
        <v>0</v>
      </c>
    </row>
    <row r="50" spans="1:20" ht="159.75" customHeight="1" thickTop="1" thickBot="1" x14ac:dyDescent="0.25">
      <c r="A50" s="511" t="s">
        <v>148</v>
      </c>
      <c r="B50" s="511"/>
      <c r="C50" s="511"/>
      <c r="D50" s="512" t="s">
        <v>1</v>
      </c>
      <c r="E50" s="513">
        <f>E51+E100+E114+E104+E109</f>
        <v>27811097.909999847</v>
      </c>
      <c r="F50" s="513">
        <f>F51+F100+F114+F104+F109</f>
        <v>20945190.389999866</v>
      </c>
      <c r="G50" s="513">
        <f>G51+G100+G114+G104+G109</f>
        <v>122143</v>
      </c>
      <c r="H50" s="513">
        <f>H51+H100+H114+H104+H109</f>
        <v>20324</v>
      </c>
      <c r="I50" s="513">
        <f>I51+I100+I114+I104+I109</f>
        <v>6865907.5199999996</v>
      </c>
      <c r="J50" s="513">
        <f>L50+O50</f>
        <v>3837990.1499999985</v>
      </c>
      <c r="K50" s="513">
        <f>K51+K100+K114+K104+K109</f>
        <v>3092119.1499999985</v>
      </c>
      <c r="L50" s="513">
        <f>L51+L100+L114+L104+L109</f>
        <v>745871</v>
      </c>
      <c r="M50" s="513">
        <f>M51+M100+M114+M104+M109</f>
        <v>0</v>
      </c>
      <c r="N50" s="513">
        <f>N51+N100+N114+N104+N109</f>
        <v>0</v>
      </c>
      <c r="O50" s="513">
        <f>O51+O100+O114+O104+O109</f>
        <v>3092119.1499999985</v>
      </c>
      <c r="P50" s="513">
        <f>E50+J50</f>
        <v>31649088.059999846</v>
      </c>
      <c r="Q50" s="597" t="b">
        <f>P50=P52+P54+P55+P56+P62+P64+P67+P68+P70+P72+P95+P101+P103+P108+P58+P59+P65+P71+P76+P77+P78+P99+P98+P89+P90</f>
        <v>0</v>
      </c>
      <c r="R50" s="24"/>
    </row>
    <row r="51" spans="1:20" ht="105.75" customHeight="1" thickTop="1" thickBot="1" x14ac:dyDescent="0.25">
      <c r="A51" s="239" t="s">
        <v>674</v>
      </c>
      <c r="B51" s="239" t="s">
        <v>675</v>
      </c>
      <c r="C51" s="239"/>
      <c r="D51" s="239" t="s">
        <v>676</v>
      </c>
      <c r="E51" s="501">
        <f>'d3'!E51-'d3-П'!E51</f>
        <v>24311097.909999847</v>
      </c>
      <c r="F51" s="501">
        <f>'d3'!F51-'d3-П'!F51</f>
        <v>19095190.389999866</v>
      </c>
      <c r="G51" s="501">
        <f>'d3'!G51-'d3-П'!G51</f>
        <v>122143</v>
      </c>
      <c r="H51" s="501">
        <f>'d3'!H51-'d3-П'!H51</f>
        <v>20324</v>
      </c>
      <c r="I51" s="501">
        <f>'d3'!I51-'d3-П'!I51</f>
        <v>5215907.5199999996</v>
      </c>
      <c r="J51" s="501">
        <f>'d3'!J51-'d3-П'!J51</f>
        <v>3837990.1499999762</v>
      </c>
      <c r="K51" s="501">
        <f>'d3'!K51-'d3-П'!K51</f>
        <v>3092119.1499999985</v>
      </c>
      <c r="L51" s="501">
        <f>'d3'!L51-'d3-П'!L51</f>
        <v>745871</v>
      </c>
      <c r="M51" s="501">
        <f>'d3'!M51-'d3-П'!M51</f>
        <v>0</v>
      </c>
      <c r="N51" s="501">
        <f>'d3'!N51-'d3-П'!N51</f>
        <v>0</v>
      </c>
      <c r="O51" s="501">
        <f>'d3'!O51-'d3-П'!O51</f>
        <v>3092119.1499999985</v>
      </c>
      <c r="P51" s="501">
        <f>'d3'!P51-'d3-П'!P51</f>
        <v>28149088.059999943</v>
      </c>
      <c r="Q51" s="28"/>
      <c r="R51" s="24"/>
    </row>
    <row r="52" spans="1:20" ht="90.75" customHeight="1" thickTop="1" thickBot="1" x14ac:dyDescent="0.6">
      <c r="A52" s="94" t="s">
        <v>193</v>
      </c>
      <c r="B52" s="94" t="s">
        <v>194</v>
      </c>
      <c r="C52" s="94" t="s">
        <v>196</v>
      </c>
      <c r="D52" s="94" t="s">
        <v>197</v>
      </c>
      <c r="E52" s="501">
        <f>'d3'!E52-'d3-П'!E52</f>
        <v>3860946.7999999523</v>
      </c>
      <c r="F52" s="501">
        <f>'d3'!F52-'d3-П'!F52</f>
        <v>3692540.1200000048</v>
      </c>
      <c r="G52" s="501">
        <f>'d3'!G52-'d3-П'!G52</f>
        <v>0</v>
      </c>
      <c r="H52" s="501">
        <f>'d3'!H52-'d3-П'!H52</f>
        <v>0</v>
      </c>
      <c r="I52" s="501">
        <f>'d3'!I52-'d3-П'!I52</f>
        <v>168406.67999999993</v>
      </c>
      <c r="J52" s="501">
        <f>'d3'!J52-'d3-П'!J52</f>
        <v>0</v>
      </c>
      <c r="K52" s="501">
        <f>'d3'!K52-'d3-П'!K52</f>
        <v>0</v>
      </c>
      <c r="L52" s="501">
        <f>'d3'!L52-'d3-П'!L52</f>
        <v>0</v>
      </c>
      <c r="M52" s="501">
        <f>'d3'!M52-'d3-П'!M52</f>
        <v>0</v>
      </c>
      <c r="N52" s="501">
        <f>'d3'!N52-'d3-П'!N52</f>
        <v>0</v>
      </c>
      <c r="O52" s="501">
        <f>'d3'!O52-'d3-П'!O52</f>
        <v>0</v>
      </c>
      <c r="P52" s="501">
        <f>'d3'!P52-'d3-П'!P52</f>
        <v>3860946.7999999523</v>
      </c>
      <c r="Q52" s="134"/>
      <c r="R52" s="24"/>
    </row>
    <row r="53" spans="1:20" ht="93.75" customHeight="1" thickTop="1" thickBot="1" x14ac:dyDescent="0.6">
      <c r="A53" s="518" t="s">
        <v>198</v>
      </c>
      <c r="B53" s="518" t="s">
        <v>195</v>
      </c>
      <c r="C53" s="518"/>
      <c r="D53" s="518" t="s">
        <v>615</v>
      </c>
      <c r="E53" s="501">
        <f>'d3'!E53-'d3-П'!E53</f>
        <v>11397775.529999971</v>
      </c>
      <c r="F53" s="501">
        <f>'d3'!F53-'d3-П'!F53</f>
        <v>6350274.689999938</v>
      </c>
      <c r="G53" s="501">
        <f>'d3'!G53-'d3-П'!G53</f>
        <v>0</v>
      </c>
      <c r="H53" s="501">
        <f>'d3'!H53-'d3-П'!H53</f>
        <v>0</v>
      </c>
      <c r="I53" s="501">
        <f>'d3'!I53-'d3-П'!I53</f>
        <v>5047500.84</v>
      </c>
      <c r="J53" s="501">
        <f>'d3'!J53-'d3-П'!J53</f>
        <v>0</v>
      </c>
      <c r="K53" s="501">
        <f>'d3'!K53-'d3-П'!K53</f>
        <v>0</v>
      </c>
      <c r="L53" s="501">
        <f>'d3'!L53-'d3-П'!L53</f>
        <v>0</v>
      </c>
      <c r="M53" s="501">
        <f>'d3'!M53-'d3-П'!M53</f>
        <v>0</v>
      </c>
      <c r="N53" s="501">
        <f>'d3'!N53-'d3-П'!N53</f>
        <v>0</v>
      </c>
      <c r="O53" s="501">
        <f>'d3'!O53-'d3-П'!O53</f>
        <v>0</v>
      </c>
      <c r="P53" s="501">
        <f>'d3'!P53-'d3-П'!P53</f>
        <v>11397775.529999971</v>
      </c>
      <c r="Q53" s="134"/>
      <c r="R53" s="35"/>
    </row>
    <row r="54" spans="1:20" ht="155.25" customHeight="1" thickTop="1" thickBot="1" x14ac:dyDescent="0.6">
      <c r="A54" s="94" t="s">
        <v>613</v>
      </c>
      <c r="B54" s="94" t="s">
        <v>614</v>
      </c>
      <c r="C54" s="94" t="s">
        <v>199</v>
      </c>
      <c r="D54" s="94" t="s">
        <v>1137</v>
      </c>
      <c r="E54" s="501">
        <f>'d3'!E54-'d3-П'!E54</f>
        <v>11181628.549999952</v>
      </c>
      <c r="F54" s="501">
        <f>'d3'!F54-'d3-П'!F54</f>
        <v>6134127.7099999189</v>
      </c>
      <c r="G54" s="501">
        <f>'d3'!G54-'d3-П'!G54</f>
        <v>0</v>
      </c>
      <c r="H54" s="501">
        <f>'d3'!H54-'d3-П'!H54</f>
        <v>0</v>
      </c>
      <c r="I54" s="501">
        <f>'d3'!I54-'d3-П'!I54</f>
        <v>5047500.84</v>
      </c>
      <c r="J54" s="501">
        <f>'d3'!J54-'d3-П'!J54</f>
        <v>0</v>
      </c>
      <c r="K54" s="501">
        <f>'d3'!K54-'d3-П'!K54</f>
        <v>0</v>
      </c>
      <c r="L54" s="501">
        <f>'d3'!L54-'d3-П'!L54</f>
        <v>0</v>
      </c>
      <c r="M54" s="501">
        <f>'d3'!M54-'d3-П'!M54</f>
        <v>0</v>
      </c>
      <c r="N54" s="501">
        <f>'d3'!N54-'d3-П'!N54</f>
        <v>0</v>
      </c>
      <c r="O54" s="501">
        <f>'d3'!O54-'d3-П'!O54</f>
        <v>0</v>
      </c>
      <c r="P54" s="501">
        <f>'d3'!P54-'d3-П'!P54</f>
        <v>11181628.549999952</v>
      </c>
      <c r="Q54" s="134"/>
      <c r="R54" s="24"/>
      <c r="T54" s="36"/>
    </row>
    <row r="55" spans="1:20" ht="252.75" customHeight="1" thickTop="1" thickBot="1" x14ac:dyDescent="0.25">
      <c r="A55" s="94" t="s">
        <v>621</v>
      </c>
      <c r="B55" s="94" t="s">
        <v>622</v>
      </c>
      <c r="C55" s="94" t="s">
        <v>202</v>
      </c>
      <c r="D55" s="94" t="s">
        <v>1369</v>
      </c>
      <c r="E55" s="501">
        <f>'d3'!E55-'d3-П'!E55</f>
        <v>34602</v>
      </c>
      <c r="F55" s="501">
        <f>'d3'!F55-'d3-П'!F55</f>
        <v>34602</v>
      </c>
      <c r="G55" s="501">
        <f>'d3'!G55-'d3-П'!G55</f>
        <v>0</v>
      </c>
      <c r="H55" s="501">
        <f>'d3'!H55-'d3-П'!H55</f>
        <v>0</v>
      </c>
      <c r="I55" s="501">
        <f>'d3'!I55-'d3-П'!I55</f>
        <v>0</v>
      </c>
      <c r="J55" s="501">
        <f>'d3'!J55-'d3-П'!J55</f>
        <v>0</v>
      </c>
      <c r="K55" s="501">
        <f>'d3'!K55-'d3-П'!K55</f>
        <v>0</v>
      </c>
      <c r="L55" s="501">
        <f>'d3'!L55-'d3-П'!L55</f>
        <v>0</v>
      </c>
      <c r="M55" s="501">
        <f>'d3'!M55-'d3-П'!M55</f>
        <v>0</v>
      </c>
      <c r="N55" s="501">
        <f>'d3'!N55-'d3-П'!N55</f>
        <v>0</v>
      </c>
      <c r="O55" s="501">
        <f>'d3'!O55-'d3-П'!O55</f>
        <v>0</v>
      </c>
      <c r="P55" s="501">
        <f>'d3'!P55-'d3-П'!P55</f>
        <v>34602</v>
      </c>
      <c r="Q55" s="18"/>
      <c r="R55" s="25"/>
    </row>
    <row r="56" spans="1:20" ht="93" thickTop="1" thickBot="1" x14ac:dyDescent="0.25">
      <c r="A56" s="94" t="s">
        <v>932</v>
      </c>
      <c r="B56" s="94" t="s">
        <v>933</v>
      </c>
      <c r="C56" s="94" t="s">
        <v>202</v>
      </c>
      <c r="D56" s="94" t="s">
        <v>1578</v>
      </c>
      <c r="E56" s="501">
        <f>'d3'!E56-'d3-П'!E56</f>
        <v>181544.98000000045</v>
      </c>
      <c r="F56" s="501">
        <f>'d3'!F56-'d3-П'!F56</f>
        <v>181544.98000000045</v>
      </c>
      <c r="G56" s="501">
        <f>'d3'!G56-'d3-П'!G56</f>
        <v>0</v>
      </c>
      <c r="H56" s="501">
        <f>'d3'!H56-'d3-П'!H56</f>
        <v>0</v>
      </c>
      <c r="I56" s="501">
        <f>'d3'!I56-'d3-П'!I56</f>
        <v>0</v>
      </c>
      <c r="J56" s="501">
        <f>'d3'!J56-'d3-П'!J56</f>
        <v>0</v>
      </c>
      <c r="K56" s="501">
        <f>'d3'!K56-'d3-П'!K56</f>
        <v>0</v>
      </c>
      <c r="L56" s="501">
        <f>'d3'!L56-'d3-П'!L56</f>
        <v>0</v>
      </c>
      <c r="M56" s="501">
        <f>'d3'!M56-'d3-П'!M56</f>
        <v>0</v>
      </c>
      <c r="N56" s="501">
        <f>'d3'!N56-'d3-П'!N56</f>
        <v>0</v>
      </c>
      <c r="O56" s="501">
        <f>'d3'!O56-'d3-П'!O56</f>
        <v>0</v>
      </c>
      <c r="P56" s="501">
        <f>'d3'!P56-'d3-П'!P56</f>
        <v>181544.98000000045</v>
      </c>
      <c r="Q56" s="18"/>
      <c r="R56" s="25"/>
    </row>
    <row r="57" spans="1:20" ht="113.25" customHeight="1" thickTop="1" thickBot="1" x14ac:dyDescent="0.25">
      <c r="A57" s="518" t="s">
        <v>482</v>
      </c>
      <c r="B57" s="518" t="s">
        <v>200</v>
      </c>
      <c r="C57" s="518"/>
      <c r="D57" s="518" t="s">
        <v>627</v>
      </c>
      <c r="E57" s="501">
        <f>'d3'!E57-'d3-П'!E57</f>
        <v>5962100</v>
      </c>
      <c r="F57" s="501">
        <f>'d3'!F57-'d3-П'!F57</f>
        <v>5962100</v>
      </c>
      <c r="G57" s="501">
        <f>'d3'!G57-'d3-П'!G57</f>
        <v>0</v>
      </c>
      <c r="H57" s="501">
        <f>'d3'!H57-'d3-П'!H57</f>
        <v>0</v>
      </c>
      <c r="I57" s="501">
        <f>'d3'!I57-'d3-П'!I57</f>
        <v>0</v>
      </c>
      <c r="J57" s="501">
        <f>'d3'!J57-'d3-П'!J57</f>
        <v>0</v>
      </c>
      <c r="K57" s="501">
        <f>'d3'!K57-'d3-П'!K57</f>
        <v>0</v>
      </c>
      <c r="L57" s="501">
        <f>'d3'!L57-'d3-П'!L57</f>
        <v>0</v>
      </c>
      <c r="M57" s="501">
        <f>'d3'!M57-'d3-П'!M57</f>
        <v>0</v>
      </c>
      <c r="N57" s="501">
        <f>'d3'!N57-'d3-П'!N57</f>
        <v>0</v>
      </c>
      <c r="O57" s="501">
        <f>'d3'!O57-'d3-П'!O57</f>
        <v>0</v>
      </c>
      <c r="P57" s="501">
        <f>'d3'!P57-'d3-П'!P57</f>
        <v>5962100</v>
      </c>
      <c r="Q57" s="18"/>
      <c r="R57" s="35"/>
    </row>
    <row r="58" spans="1:20" ht="138.75" customHeight="1" thickTop="1" thickBot="1" x14ac:dyDescent="0.25">
      <c r="A58" s="94" t="s">
        <v>628</v>
      </c>
      <c r="B58" s="94" t="s">
        <v>629</v>
      </c>
      <c r="C58" s="94" t="s">
        <v>199</v>
      </c>
      <c r="D58" s="94" t="s">
        <v>1138</v>
      </c>
      <c r="E58" s="501">
        <f>'d3'!E58-'d3-П'!E58</f>
        <v>5962100</v>
      </c>
      <c r="F58" s="501">
        <f>'d3'!F58-'d3-П'!F58</f>
        <v>5962100</v>
      </c>
      <c r="G58" s="501">
        <f>'d3'!G58-'d3-П'!G58</f>
        <v>0</v>
      </c>
      <c r="H58" s="501">
        <f>'d3'!H58-'d3-П'!H58</f>
        <v>0</v>
      </c>
      <c r="I58" s="501">
        <f>'d3'!I58-'d3-П'!I58</f>
        <v>0</v>
      </c>
      <c r="J58" s="501">
        <f>'d3'!J58-'d3-П'!J58</f>
        <v>0</v>
      </c>
      <c r="K58" s="501">
        <f>'d3'!K58-'d3-П'!K58</f>
        <v>0</v>
      </c>
      <c r="L58" s="501">
        <f>'d3'!L58-'d3-П'!L58</f>
        <v>0</v>
      </c>
      <c r="M58" s="501">
        <f>'d3'!M58-'d3-П'!M58</f>
        <v>0</v>
      </c>
      <c r="N58" s="501">
        <f>'d3'!N58-'d3-П'!N58</f>
        <v>0</v>
      </c>
      <c r="O58" s="501">
        <f>'d3'!O58-'d3-П'!O58</f>
        <v>0</v>
      </c>
      <c r="P58" s="501">
        <f>'d3'!P58-'d3-П'!P58</f>
        <v>5962100</v>
      </c>
      <c r="Q58" s="18"/>
      <c r="R58" s="24"/>
    </row>
    <row r="59" spans="1:20" ht="135.75" customHeight="1" thickTop="1" thickBot="1" x14ac:dyDescent="0.25">
      <c r="A59" s="94" t="s">
        <v>1031</v>
      </c>
      <c r="B59" s="689" t="s">
        <v>1032</v>
      </c>
      <c r="C59" s="94" t="s">
        <v>202</v>
      </c>
      <c r="D59" s="94" t="s">
        <v>1139</v>
      </c>
      <c r="E59" s="501">
        <f>'d3'!E59-'d3-П'!E59</f>
        <v>0</v>
      </c>
      <c r="F59" s="501">
        <f>'d3'!F59-'d3-П'!F59</f>
        <v>0</v>
      </c>
      <c r="G59" s="501">
        <f>'d3'!G59-'d3-П'!G59</f>
        <v>0</v>
      </c>
      <c r="H59" s="501">
        <f>'d3'!H59-'d3-П'!H59</f>
        <v>0</v>
      </c>
      <c r="I59" s="501">
        <f>'d3'!I59-'d3-П'!I59</f>
        <v>0</v>
      </c>
      <c r="J59" s="501">
        <f>'d3'!J59-'d3-П'!J59</f>
        <v>0</v>
      </c>
      <c r="K59" s="501">
        <f>'d3'!K59-'d3-П'!K59</f>
        <v>0</v>
      </c>
      <c r="L59" s="501">
        <f>'d3'!L59-'d3-П'!L59</f>
        <v>0</v>
      </c>
      <c r="M59" s="501">
        <f>'d3'!M59-'d3-П'!M59</f>
        <v>0</v>
      </c>
      <c r="N59" s="501">
        <f>'d3'!N59-'d3-П'!N59</f>
        <v>0</v>
      </c>
      <c r="O59" s="501">
        <f>'d3'!O59-'d3-П'!O59</f>
        <v>0</v>
      </c>
      <c r="P59" s="501">
        <f>'d3'!P59-'d3-П'!P59</f>
        <v>0</v>
      </c>
      <c r="Q59" s="18"/>
      <c r="R59" s="24"/>
    </row>
    <row r="60" spans="1:20" ht="184.5" hidden="1" thickTop="1" thickBot="1" x14ac:dyDescent="0.25">
      <c r="A60" s="320" t="s">
        <v>881</v>
      </c>
      <c r="B60" s="320" t="s">
        <v>48</v>
      </c>
      <c r="C60" s="320"/>
      <c r="D60" s="347" t="s">
        <v>1370</v>
      </c>
      <c r="E60" s="501">
        <f>'d3'!E60-'d3-П'!E60</f>
        <v>0</v>
      </c>
      <c r="F60" s="501">
        <f>'d3'!F60-'d3-П'!F60</f>
        <v>0</v>
      </c>
      <c r="G60" s="501">
        <f>'d3'!G60-'d3-П'!G60</f>
        <v>0</v>
      </c>
      <c r="H60" s="501">
        <f>'d3'!H60-'d3-П'!H60</f>
        <v>0</v>
      </c>
      <c r="I60" s="501">
        <f>'d3'!I60-'d3-П'!I60</f>
        <v>0</v>
      </c>
      <c r="J60" s="501">
        <f>'d3'!J60-'d3-П'!J60</f>
        <v>0</v>
      </c>
      <c r="K60" s="501">
        <f>'d3'!K60-'d3-П'!K60</f>
        <v>0</v>
      </c>
      <c r="L60" s="501">
        <f>'d3'!L60-'d3-П'!L60</f>
        <v>0</v>
      </c>
      <c r="M60" s="501">
        <f>'d3'!M60-'d3-П'!M60</f>
        <v>0</v>
      </c>
      <c r="N60" s="501">
        <f>'d3'!N60-'d3-П'!N60</f>
        <v>0</v>
      </c>
      <c r="O60" s="501">
        <f>'d3'!O60-'d3-П'!O60</f>
        <v>0</v>
      </c>
      <c r="P60" s="501">
        <f>'d3'!P60-'d3-П'!P60</f>
        <v>0</v>
      </c>
      <c r="Q60" s="18"/>
      <c r="R60" s="28"/>
    </row>
    <row r="61" spans="1:20" ht="230.25" hidden="1" thickTop="1" thickBot="1" x14ac:dyDescent="0.25">
      <c r="A61" s="119" t="s">
        <v>882</v>
      </c>
      <c r="B61" s="119" t="s">
        <v>883</v>
      </c>
      <c r="C61" s="119" t="s">
        <v>199</v>
      </c>
      <c r="D61" s="119" t="s">
        <v>1371</v>
      </c>
      <c r="E61" s="501">
        <f>'d3'!E61-'d3-П'!E61</f>
        <v>0</v>
      </c>
      <c r="F61" s="501">
        <f>'d3'!F61-'d3-П'!F61</f>
        <v>0</v>
      </c>
      <c r="G61" s="501">
        <f>'d3'!G61-'d3-П'!G61</f>
        <v>0</v>
      </c>
      <c r="H61" s="501">
        <f>'d3'!H61-'d3-П'!H61</f>
        <v>0</v>
      </c>
      <c r="I61" s="501">
        <f>'d3'!I61-'d3-П'!I61</f>
        <v>0</v>
      </c>
      <c r="J61" s="501">
        <f>'d3'!J61-'d3-П'!J61</f>
        <v>0</v>
      </c>
      <c r="K61" s="501">
        <f>'d3'!K61-'d3-П'!K61</f>
        <v>0</v>
      </c>
      <c r="L61" s="501">
        <f>'d3'!L61-'d3-П'!L61</f>
        <v>0</v>
      </c>
      <c r="M61" s="501">
        <f>'d3'!M61-'d3-П'!M61</f>
        <v>0</v>
      </c>
      <c r="N61" s="501">
        <f>'d3'!N61-'d3-П'!N61</f>
        <v>0</v>
      </c>
      <c r="O61" s="501">
        <f>'d3'!O61-'d3-П'!O61</f>
        <v>0</v>
      </c>
      <c r="P61" s="501">
        <f>'d3'!P61-'d3-П'!P61</f>
        <v>0</v>
      </c>
      <c r="Q61" s="18"/>
      <c r="R61" s="24"/>
    </row>
    <row r="62" spans="1:20" ht="122.25" customHeight="1" thickTop="1" thickBot="1" x14ac:dyDescent="0.25">
      <c r="A62" s="94" t="s">
        <v>630</v>
      </c>
      <c r="B62" s="94" t="s">
        <v>201</v>
      </c>
      <c r="C62" s="94" t="s">
        <v>176</v>
      </c>
      <c r="D62" s="94" t="s">
        <v>483</v>
      </c>
      <c r="E62" s="501">
        <f>'d3'!E62-'d3-П'!E62</f>
        <v>0</v>
      </c>
      <c r="F62" s="501">
        <f>'d3'!F62-'d3-П'!F62</f>
        <v>0</v>
      </c>
      <c r="G62" s="501">
        <f>'d3'!G62-'d3-П'!G62</f>
        <v>0</v>
      </c>
      <c r="H62" s="501">
        <f>'d3'!H62-'d3-П'!H62</f>
        <v>0</v>
      </c>
      <c r="I62" s="501">
        <f>'d3'!I62-'d3-П'!I62</f>
        <v>0</v>
      </c>
      <c r="J62" s="501">
        <f>'d3'!J62-'d3-П'!J62</f>
        <v>0</v>
      </c>
      <c r="K62" s="501">
        <f>'d3'!K62-'d3-П'!K62</f>
        <v>0</v>
      </c>
      <c r="L62" s="501">
        <f>'d3'!L62-'d3-П'!L62</f>
        <v>0</v>
      </c>
      <c r="M62" s="501">
        <f>'d3'!M62-'d3-П'!M62</f>
        <v>0</v>
      </c>
      <c r="N62" s="501">
        <f>'d3'!N62-'d3-П'!N62</f>
        <v>0</v>
      </c>
      <c r="O62" s="501">
        <f>'d3'!O62-'d3-П'!O62</f>
        <v>0</v>
      </c>
      <c r="P62" s="501">
        <f>'d3'!P62-'d3-П'!P62</f>
        <v>0</v>
      </c>
      <c r="Q62" s="18"/>
      <c r="R62" s="24"/>
    </row>
    <row r="63" spans="1:20" ht="141.75" customHeight="1" thickTop="1" thickBot="1" x14ac:dyDescent="0.25">
      <c r="A63" s="518" t="s">
        <v>203</v>
      </c>
      <c r="B63" s="518" t="s">
        <v>186</v>
      </c>
      <c r="C63" s="518"/>
      <c r="D63" s="518" t="s">
        <v>1699</v>
      </c>
      <c r="E63" s="501">
        <f>'d3'!E63-'d3-П'!E63</f>
        <v>2128670</v>
      </c>
      <c r="F63" s="501">
        <f>'d3'!F63-'d3-П'!F63</f>
        <v>2128670</v>
      </c>
      <c r="G63" s="501">
        <f>'d3'!G63-'d3-П'!G63</f>
        <v>122143</v>
      </c>
      <c r="H63" s="501">
        <f>'d3'!H63-'d3-П'!H63</f>
        <v>20324</v>
      </c>
      <c r="I63" s="501">
        <f>'d3'!I63-'d3-П'!I63</f>
        <v>0</v>
      </c>
      <c r="J63" s="501">
        <f>'d3'!J63-'d3-П'!J63</f>
        <v>0</v>
      </c>
      <c r="K63" s="501">
        <f>'d3'!K63-'d3-П'!K63</f>
        <v>0</v>
      </c>
      <c r="L63" s="501">
        <f>'d3'!L63-'d3-П'!L63</f>
        <v>0</v>
      </c>
      <c r="M63" s="501">
        <f>'d3'!M63-'d3-П'!M63</f>
        <v>0</v>
      </c>
      <c r="N63" s="501">
        <f>'d3'!N63-'d3-П'!N63</f>
        <v>0</v>
      </c>
      <c r="O63" s="501">
        <f>'d3'!O63-'d3-П'!O63</f>
        <v>0</v>
      </c>
      <c r="P63" s="501">
        <f>'d3'!P63-'d3-П'!P63</f>
        <v>2128670</v>
      </c>
      <c r="Q63" s="18"/>
      <c r="R63" s="33"/>
    </row>
    <row r="64" spans="1:20" ht="184.5" customHeight="1" thickTop="1" thickBot="1" x14ac:dyDescent="0.25">
      <c r="A64" s="94" t="s">
        <v>631</v>
      </c>
      <c r="B64" s="94" t="s">
        <v>632</v>
      </c>
      <c r="C64" s="94" t="s">
        <v>204</v>
      </c>
      <c r="D64" s="94" t="s">
        <v>1700</v>
      </c>
      <c r="E64" s="501">
        <f>'d3'!E64-'d3-П'!E64</f>
        <v>2128670</v>
      </c>
      <c r="F64" s="501">
        <f>'d3'!F64-'d3-П'!F64</f>
        <v>2128670</v>
      </c>
      <c r="G64" s="501">
        <f>'d3'!G64-'d3-П'!G64</f>
        <v>122143</v>
      </c>
      <c r="H64" s="501">
        <f>'d3'!H64-'d3-П'!H64</f>
        <v>20324</v>
      </c>
      <c r="I64" s="501">
        <f>'d3'!I64-'d3-П'!I64</f>
        <v>0</v>
      </c>
      <c r="J64" s="501">
        <f>'d3'!J64-'d3-П'!J64</f>
        <v>0</v>
      </c>
      <c r="K64" s="501">
        <f>'d3'!K64-'d3-П'!K64</f>
        <v>0</v>
      </c>
      <c r="L64" s="501">
        <f>'d3'!L64-'d3-П'!L64</f>
        <v>0</v>
      </c>
      <c r="M64" s="501">
        <f>'d3'!M64-'d3-П'!M64</f>
        <v>0</v>
      </c>
      <c r="N64" s="501">
        <f>'d3'!N64-'d3-П'!N64</f>
        <v>0</v>
      </c>
      <c r="O64" s="501">
        <f>'d3'!O64-'d3-П'!O64</f>
        <v>0</v>
      </c>
      <c r="P64" s="501">
        <f>'d3'!P64-'d3-П'!P64</f>
        <v>2128670</v>
      </c>
      <c r="Q64" s="18"/>
      <c r="R64" s="24"/>
    </row>
    <row r="65" spans="1:18" ht="155.25" customHeight="1" thickTop="1" thickBot="1" x14ac:dyDescent="0.25">
      <c r="A65" s="94" t="s">
        <v>635</v>
      </c>
      <c r="B65" s="94" t="s">
        <v>634</v>
      </c>
      <c r="C65" s="94" t="s">
        <v>204</v>
      </c>
      <c r="D65" s="94" t="s">
        <v>1701</v>
      </c>
      <c r="E65" s="501">
        <f>'d3'!E65-'d3-П'!E65</f>
        <v>0</v>
      </c>
      <c r="F65" s="501">
        <f>'d3'!F65-'d3-П'!F65</f>
        <v>0</v>
      </c>
      <c r="G65" s="501">
        <f>'d3'!G65-'d3-П'!G65</f>
        <v>0</v>
      </c>
      <c r="H65" s="501">
        <f>'d3'!H65-'d3-П'!H65</f>
        <v>0</v>
      </c>
      <c r="I65" s="501">
        <f>'d3'!I65-'d3-П'!I65</f>
        <v>0</v>
      </c>
      <c r="J65" s="501">
        <f>'d3'!J65-'d3-П'!J65</f>
        <v>0</v>
      </c>
      <c r="K65" s="501">
        <f>'d3'!K65-'d3-П'!K65</f>
        <v>0</v>
      </c>
      <c r="L65" s="501">
        <f>'d3'!L65-'d3-П'!L65</f>
        <v>0</v>
      </c>
      <c r="M65" s="501">
        <f>'d3'!M65-'d3-П'!M65</f>
        <v>0</v>
      </c>
      <c r="N65" s="501">
        <f>'d3'!N65-'d3-П'!N65</f>
        <v>0</v>
      </c>
      <c r="O65" s="501">
        <f>'d3'!O65-'d3-П'!O65</f>
        <v>0</v>
      </c>
      <c r="P65" s="501">
        <f>'d3'!P65-'d3-П'!P65</f>
        <v>0</v>
      </c>
      <c r="Q65" s="18"/>
      <c r="R65" s="28"/>
    </row>
    <row r="66" spans="1:18" ht="106.5" customHeight="1" thickTop="1" thickBot="1" x14ac:dyDescent="0.25">
      <c r="A66" s="518" t="s">
        <v>637</v>
      </c>
      <c r="B66" s="518" t="s">
        <v>636</v>
      </c>
      <c r="C66" s="518"/>
      <c r="D66" s="518" t="s">
        <v>638</v>
      </c>
      <c r="E66" s="501">
        <f>'d3'!E66-'d3-П'!E66</f>
        <v>521146.57999999821</v>
      </c>
      <c r="F66" s="501">
        <f>'d3'!F66-'d3-П'!F66</f>
        <v>521146.57999999821</v>
      </c>
      <c r="G66" s="501">
        <f>'d3'!G66-'d3-П'!G66</f>
        <v>0</v>
      </c>
      <c r="H66" s="501">
        <f>'d3'!H66-'d3-П'!H66</f>
        <v>0</v>
      </c>
      <c r="I66" s="501">
        <f>'d3'!I66-'d3-П'!I66</f>
        <v>0</v>
      </c>
      <c r="J66" s="501">
        <f>'d3'!J66-'d3-П'!J66</f>
        <v>0</v>
      </c>
      <c r="K66" s="501">
        <f>'d3'!K66-'d3-П'!K66</f>
        <v>0</v>
      </c>
      <c r="L66" s="501">
        <f>'d3'!L66-'d3-П'!L66</f>
        <v>0</v>
      </c>
      <c r="M66" s="501">
        <f>'d3'!M66-'d3-П'!M66</f>
        <v>0</v>
      </c>
      <c r="N66" s="501">
        <f>'d3'!N66-'d3-П'!N66</f>
        <v>0</v>
      </c>
      <c r="O66" s="501">
        <f>'d3'!O66-'d3-П'!O66</f>
        <v>0</v>
      </c>
      <c r="P66" s="501">
        <f>'d3'!P66-'d3-П'!P66</f>
        <v>521146.57999999821</v>
      </c>
      <c r="Q66" s="18"/>
      <c r="R66" s="33"/>
    </row>
    <row r="67" spans="1:18" ht="106.5" customHeight="1" thickTop="1" thickBot="1" x14ac:dyDescent="0.25">
      <c r="A67" s="94" t="s">
        <v>639</v>
      </c>
      <c r="B67" s="94" t="s">
        <v>640</v>
      </c>
      <c r="C67" s="94" t="s">
        <v>205</v>
      </c>
      <c r="D67" s="94" t="s">
        <v>484</v>
      </c>
      <c r="E67" s="501">
        <f>'d3'!E67-'d3-П'!E67</f>
        <v>512146.57999999821</v>
      </c>
      <c r="F67" s="501">
        <f>'d3'!F67-'d3-П'!F67</f>
        <v>512146.57999999821</v>
      </c>
      <c r="G67" s="501">
        <f>'d3'!G67-'d3-П'!G67</f>
        <v>0</v>
      </c>
      <c r="H67" s="501">
        <f>'d3'!H67-'d3-П'!H67</f>
        <v>0</v>
      </c>
      <c r="I67" s="501">
        <f>'d3'!I67-'d3-П'!I67</f>
        <v>0</v>
      </c>
      <c r="J67" s="501">
        <f>'d3'!J67-'d3-П'!J67</f>
        <v>0</v>
      </c>
      <c r="K67" s="501">
        <f>'d3'!K67-'d3-П'!K67</f>
        <v>0</v>
      </c>
      <c r="L67" s="501">
        <f>'d3'!L67-'d3-П'!L67</f>
        <v>0</v>
      </c>
      <c r="M67" s="501">
        <f>'d3'!M67-'d3-П'!M67</f>
        <v>0</v>
      </c>
      <c r="N67" s="501">
        <f>'d3'!N67-'d3-П'!N67</f>
        <v>0</v>
      </c>
      <c r="O67" s="501">
        <f>'d3'!O67-'d3-П'!O67</f>
        <v>0</v>
      </c>
      <c r="P67" s="501">
        <f>'d3'!P67-'d3-П'!P67</f>
        <v>512146.57999999821</v>
      </c>
      <c r="Q67" s="18"/>
      <c r="R67" s="28"/>
    </row>
    <row r="68" spans="1:18" ht="96.75" customHeight="1" thickTop="1" thickBot="1" x14ac:dyDescent="0.25">
      <c r="A68" s="94" t="s">
        <v>641</v>
      </c>
      <c r="B68" s="94" t="s">
        <v>642</v>
      </c>
      <c r="C68" s="94" t="s">
        <v>205</v>
      </c>
      <c r="D68" s="94" t="s">
        <v>328</v>
      </c>
      <c r="E68" s="501">
        <f>'d3'!E68-'d3-П'!E68</f>
        <v>9000</v>
      </c>
      <c r="F68" s="501">
        <f>'d3'!F68-'d3-П'!F68</f>
        <v>9000</v>
      </c>
      <c r="G68" s="501">
        <f>'d3'!G68-'d3-П'!G68</f>
        <v>0</v>
      </c>
      <c r="H68" s="501">
        <f>'d3'!H68-'d3-П'!H68</f>
        <v>0</v>
      </c>
      <c r="I68" s="501">
        <f>'d3'!I68-'d3-П'!I68</f>
        <v>0</v>
      </c>
      <c r="J68" s="501">
        <f>'d3'!J68-'d3-П'!J68</f>
        <v>0</v>
      </c>
      <c r="K68" s="501">
        <f>'d3'!K68-'d3-П'!K68</f>
        <v>0</v>
      </c>
      <c r="L68" s="501">
        <f>'d3'!L68-'d3-П'!L68</f>
        <v>0</v>
      </c>
      <c r="M68" s="501">
        <f>'d3'!M68-'d3-П'!M68</f>
        <v>0</v>
      </c>
      <c r="N68" s="501">
        <f>'d3'!N68-'d3-П'!N68</f>
        <v>0</v>
      </c>
      <c r="O68" s="501">
        <f>'d3'!O68-'d3-П'!O68</f>
        <v>0</v>
      </c>
      <c r="P68" s="501">
        <f>'d3'!P68-'d3-П'!P68</f>
        <v>9000</v>
      </c>
      <c r="Q68" s="18"/>
      <c r="R68" s="28"/>
    </row>
    <row r="69" spans="1:18" ht="96.75" customHeight="1" thickTop="1" thickBot="1" x14ac:dyDescent="0.25">
      <c r="A69" s="518" t="s">
        <v>643</v>
      </c>
      <c r="B69" s="518" t="s">
        <v>644</v>
      </c>
      <c r="C69" s="518"/>
      <c r="D69" s="518" t="s">
        <v>418</v>
      </c>
      <c r="E69" s="501">
        <f>'d3'!E69-'d3-П'!E69</f>
        <v>0</v>
      </c>
      <c r="F69" s="501">
        <f>'d3'!F69-'d3-П'!F69</f>
        <v>0</v>
      </c>
      <c r="G69" s="501">
        <f>'d3'!G69-'d3-П'!G69</f>
        <v>0</v>
      </c>
      <c r="H69" s="501">
        <f>'d3'!H69-'d3-П'!H69</f>
        <v>0</v>
      </c>
      <c r="I69" s="501">
        <f>'d3'!I69-'d3-П'!I69</f>
        <v>0</v>
      </c>
      <c r="J69" s="501">
        <f>'d3'!J69-'d3-П'!J69</f>
        <v>0</v>
      </c>
      <c r="K69" s="501">
        <f>'d3'!K69-'d3-П'!K69</f>
        <v>0</v>
      </c>
      <c r="L69" s="501">
        <f>'d3'!L69-'d3-П'!L69</f>
        <v>0</v>
      </c>
      <c r="M69" s="501">
        <f>'d3'!M69-'d3-П'!M69</f>
        <v>0</v>
      </c>
      <c r="N69" s="501">
        <f>'d3'!N69-'d3-П'!N69</f>
        <v>0</v>
      </c>
      <c r="O69" s="501">
        <f>'d3'!O69-'d3-П'!O69</f>
        <v>0</v>
      </c>
      <c r="P69" s="501">
        <f>'d3'!P69-'d3-П'!P69</f>
        <v>0</v>
      </c>
      <c r="Q69" s="18"/>
      <c r="R69" s="33"/>
    </row>
    <row r="70" spans="1:18" ht="129" customHeight="1" thickTop="1" thickBot="1" x14ac:dyDescent="0.25">
      <c r="A70" s="94" t="s">
        <v>645</v>
      </c>
      <c r="B70" s="94" t="s">
        <v>646</v>
      </c>
      <c r="C70" s="94" t="s">
        <v>205</v>
      </c>
      <c r="D70" s="94" t="s">
        <v>647</v>
      </c>
      <c r="E70" s="501">
        <f>'d3'!E70-'d3-П'!E70</f>
        <v>0</v>
      </c>
      <c r="F70" s="501">
        <f>'d3'!F70-'d3-П'!F70</f>
        <v>0</v>
      </c>
      <c r="G70" s="501">
        <f>'d3'!G70-'d3-П'!G70</f>
        <v>0</v>
      </c>
      <c r="H70" s="501">
        <f>'d3'!H70-'d3-П'!H70</f>
        <v>0</v>
      </c>
      <c r="I70" s="501">
        <f>'d3'!I70-'d3-П'!I70</f>
        <v>0</v>
      </c>
      <c r="J70" s="501">
        <f>'d3'!J70-'d3-П'!J70</f>
        <v>0</v>
      </c>
      <c r="K70" s="501">
        <f>'d3'!K70-'d3-П'!K70</f>
        <v>0</v>
      </c>
      <c r="L70" s="501">
        <f>'d3'!L70-'d3-П'!L70</f>
        <v>0</v>
      </c>
      <c r="M70" s="501">
        <f>'d3'!M70-'d3-П'!M70</f>
        <v>0</v>
      </c>
      <c r="N70" s="501">
        <f>'d3'!N70-'d3-П'!N70</f>
        <v>0</v>
      </c>
      <c r="O70" s="501">
        <f>'d3'!O70-'d3-П'!O70</f>
        <v>0</v>
      </c>
      <c r="P70" s="501">
        <f>'d3'!P70-'d3-П'!P70</f>
        <v>0</v>
      </c>
      <c r="Q70" s="18"/>
      <c r="R70" s="24"/>
    </row>
    <row r="71" spans="1:18" ht="171" customHeight="1" thickTop="1" thickBot="1" x14ac:dyDescent="0.25">
      <c r="A71" s="94" t="s">
        <v>648</v>
      </c>
      <c r="B71" s="94" t="s">
        <v>649</v>
      </c>
      <c r="C71" s="94" t="s">
        <v>205</v>
      </c>
      <c r="D71" s="94" t="s">
        <v>650</v>
      </c>
      <c r="E71" s="501">
        <f>'d3'!E71-'d3-П'!E71</f>
        <v>0</v>
      </c>
      <c r="F71" s="501">
        <f>'d3'!F71-'d3-П'!F71</f>
        <v>0</v>
      </c>
      <c r="G71" s="501">
        <f>'d3'!G71-'d3-П'!G71</f>
        <v>0</v>
      </c>
      <c r="H71" s="501">
        <f>'d3'!H71-'d3-П'!H71</f>
        <v>0</v>
      </c>
      <c r="I71" s="501">
        <f>'d3'!I71-'d3-П'!I71</f>
        <v>0</v>
      </c>
      <c r="J71" s="501">
        <f>'d3'!J71-'d3-П'!J71</f>
        <v>0</v>
      </c>
      <c r="K71" s="501">
        <f>'d3'!K71-'d3-П'!K71</f>
        <v>0</v>
      </c>
      <c r="L71" s="501">
        <f>'d3'!L71-'d3-П'!L71</f>
        <v>0</v>
      </c>
      <c r="M71" s="501">
        <f>'d3'!M71-'d3-П'!M71</f>
        <v>0</v>
      </c>
      <c r="N71" s="501">
        <f>'d3'!N71-'d3-П'!N71</f>
        <v>0</v>
      </c>
      <c r="O71" s="501">
        <f>'d3'!O71-'d3-П'!O71</f>
        <v>0</v>
      </c>
      <c r="P71" s="501">
        <f>'d3'!P71-'d3-П'!P71</f>
        <v>0</v>
      </c>
      <c r="Q71" s="18"/>
      <c r="R71" s="28"/>
    </row>
    <row r="72" spans="1:18" ht="93" thickTop="1" thickBot="1" x14ac:dyDescent="0.25">
      <c r="A72" s="94" t="s">
        <v>618</v>
      </c>
      <c r="B72" s="94" t="s">
        <v>619</v>
      </c>
      <c r="C72" s="94" t="s">
        <v>205</v>
      </c>
      <c r="D72" s="94" t="s">
        <v>620</v>
      </c>
      <c r="E72" s="501">
        <f>'d3'!E72-'d3-П'!E72</f>
        <v>0</v>
      </c>
      <c r="F72" s="501">
        <f>'d3'!F72-'d3-П'!F72</f>
        <v>0</v>
      </c>
      <c r="G72" s="501">
        <f>'d3'!G72-'d3-П'!G72</f>
        <v>0</v>
      </c>
      <c r="H72" s="501">
        <f>'d3'!H72-'d3-П'!H72</f>
        <v>0</v>
      </c>
      <c r="I72" s="501">
        <f>'d3'!I72-'d3-П'!I72</f>
        <v>0</v>
      </c>
      <c r="J72" s="501">
        <f>'d3'!J72-'d3-П'!J72</f>
        <v>0</v>
      </c>
      <c r="K72" s="501">
        <f>'d3'!K72-'d3-П'!K72</f>
        <v>0</v>
      </c>
      <c r="L72" s="501">
        <f>'d3'!L72-'d3-П'!L72</f>
        <v>0</v>
      </c>
      <c r="M72" s="501">
        <f>'d3'!M72-'d3-П'!M72</f>
        <v>0</v>
      </c>
      <c r="N72" s="501">
        <f>'d3'!N72-'d3-П'!N72</f>
        <v>0</v>
      </c>
      <c r="O72" s="501">
        <f>'d3'!O72-'d3-П'!O72</f>
        <v>0</v>
      </c>
      <c r="P72" s="501">
        <f>'d3'!P72-'d3-П'!P72</f>
        <v>0</v>
      </c>
      <c r="Q72" s="18"/>
      <c r="R72" s="24"/>
    </row>
    <row r="73" spans="1:18" s="31" customFormat="1" ht="158.25" customHeight="1" thickTop="1" thickBot="1" x14ac:dyDescent="0.25">
      <c r="A73" s="518" t="s">
        <v>623</v>
      </c>
      <c r="B73" s="518" t="s">
        <v>624</v>
      </c>
      <c r="C73" s="518"/>
      <c r="D73" s="518" t="s">
        <v>1337</v>
      </c>
      <c r="E73" s="501">
        <f>'d3'!E73-'d3-П'!E73</f>
        <v>319659</v>
      </c>
      <c r="F73" s="501">
        <f>'d3'!F73-'d3-П'!F73</f>
        <v>319659</v>
      </c>
      <c r="G73" s="501">
        <f>'d3'!G73-'d3-П'!G73</f>
        <v>0</v>
      </c>
      <c r="H73" s="501">
        <f>'d3'!H73-'d3-П'!H73</f>
        <v>0</v>
      </c>
      <c r="I73" s="501">
        <f>'d3'!I73-'d3-П'!I73</f>
        <v>0</v>
      </c>
      <c r="J73" s="501">
        <f>'d3'!J73-'d3-П'!J73</f>
        <v>678913</v>
      </c>
      <c r="K73" s="501">
        <f>'d3'!K73-'d3-П'!K73</f>
        <v>-66958</v>
      </c>
      <c r="L73" s="501">
        <f>'d3'!L73-'d3-П'!L73</f>
        <v>745871</v>
      </c>
      <c r="M73" s="501">
        <f>'d3'!M73-'d3-П'!M73</f>
        <v>0</v>
      </c>
      <c r="N73" s="501">
        <f>'d3'!N73-'d3-П'!N73</f>
        <v>0</v>
      </c>
      <c r="O73" s="501">
        <f>'d3'!O73-'d3-П'!O73</f>
        <v>-66958</v>
      </c>
      <c r="P73" s="501">
        <f>'d3'!P73-'d3-П'!P73</f>
        <v>998572</v>
      </c>
      <c r="Q73" s="34"/>
      <c r="R73" s="35"/>
    </row>
    <row r="74" spans="1:18" s="31" customFormat="1" ht="138.75" hidden="1" thickTop="1" thickBot="1" x14ac:dyDescent="0.25">
      <c r="A74" s="119" t="s">
        <v>625</v>
      </c>
      <c r="B74" s="119" t="s">
        <v>626</v>
      </c>
      <c r="C74" s="119" t="s">
        <v>205</v>
      </c>
      <c r="D74" s="119" t="s">
        <v>1338</v>
      </c>
      <c r="E74" s="501">
        <f>'d3'!E74-'d3-П'!E74</f>
        <v>0</v>
      </c>
      <c r="F74" s="501">
        <f>'d3'!F74-'d3-П'!F74</f>
        <v>0</v>
      </c>
      <c r="G74" s="501">
        <f>'d3'!G74-'d3-П'!G74</f>
        <v>0</v>
      </c>
      <c r="H74" s="501">
        <f>'d3'!H74-'d3-П'!H74</f>
        <v>0</v>
      </c>
      <c r="I74" s="501">
        <f>'d3'!I74-'d3-П'!I74</f>
        <v>0</v>
      </c>
      <c r="J74" s="501">
        <f>'d3'!J74-'d3-П'!J74</f>
        <v>0</v>
      </c>
      <c r="K74" s="501">
        <f>'d3'!K74-'d3-П'!K74</f>
        <v>0</v>
      </c>
      <c r="L74" s="501">
        <f>'d3'!L74-'d3-П'!L74</f>
        <v>0</v>
      </c>
      <c r="M74" s="501">
        <f>'d3'!M74-'d3-П'!M74</f>
        <v>0</v>
      </c>
      <c r="N74" s="501">
        <f>'d3'!N74-'d3-П'!N74</f>
        <v>0</v>
      </c>
      <c r="O74" s="501">
        <f>'d3'!O74-'d3-П'!O74</f>
        <v>0</v>
      </c>
      <c r="P74" s="501">
        <f>'d3'!P74-'d3-П'!P74</f>
        <v>0</v>
      </c>
      <c r="Q74" s="34"/>
      <c r="R74" s="24"/>
    </row>
    <row r="75" spans="1:18" s="31" customFormat="1" ht="138.75" hidden="1" thickTop="1" thickBot="1" x14ac:dyDescent="0.25">
      <c r="A75" s="119" t="s">
        <v>918</v>
      </c>
      <c r="B75" s="119" t="s">
        <v>919</v>
      </c>
      <c r="C75" s="119" t="s">
        <v>205</v>
      </c>
      <c r="D75" s="119" t="s">
        <v>1339</v>
      </c>
      <c r="E75" s="501">
        <f>'d3'!E75-'d3-П'!E75</f>
        <v>0</v>
      </c>
      <c r="F75" s="501">
        <f>'d3'!F75-'d3-П'!F75</f>
        <v>0</v>
      </c>
      <c r="G75" s="501">
        <f>'d3'!G75-'d3-П'!G75</f>
        <v>0</v>
      </c>
      <c r="H75" s="501">
        <f>'d3'!H75-'d3-П'!H75</f>
        <v>0</v>
      </c>
      <c r="I75" s="501">
        <f>'d3'!I75-'d3-П'!I75</f>
        <v>0</v>
      </c>
      <c r="J75" s="501">
        <f>'d3'!J75-'d3-П'!J75</f>
        <v>0</v>
      </c>
      <c r="K75" s="501">
        <f>'d3'!K75-'d3-П'!K75</f>
        <v>0</v>
      </c>
      <c r="L75" s="501">
        <f>'d3'!L75-'d3-П'!L75</f>
        <v>0</v>
      </c>
      <c r="M75" s="501">
        <f>'d3'!M75-'d3-П'!M75</f>
        <v>0</v>
      </c>
      <c r="N75" s="501">
        <f>'d3'!N75-'d3-П'!N75</f>
        <v>0</v>
      </c>
      <c r="O75" s="501">
        <f>'d3'!O75-'d3-П'!O75</f>
        <v>0</v>
      </c>
      <c r="P75" s="501">
        <f>'d3'!P75-'d3-П'!P75</f>
        <v>0</v>
      </c>
      <c r="Q75" s="34"/>
      <c r="R75" s="24"/>
    </row>
    <row r="76" spans="1:18" s="31" customFormat="1" ht="240" customHeight="1" thickTop="1" thickBot="1" x14ac:dyDescent="0.25">
      <c r="A76" s="94" t="s">
        <v>1404</v>
      </c>
      <c r="B76" s="94" t="s">
        <v>1406</v>
      </c>
      <c r="C76" s="94" t="s">
        <v>205</v>
      </c>
      <c r="D76" s="94" t="s">
        <v>1408</v>
      </c>
      <c r="E76" s="501">
        <f>'d3'!E76-'d3-П'!E76</f>
        <v>319659</v>
      </c>
      <c r="F76" s="501">
        <f>'d3'!F76-'d3-П'!F76</f>
        <v>319659</v>
      </c>
      <c r="G76" s="501">
        <f>'d3'!G76-'d3-П'!G76</f>
        <v>0</v>
      </c>
      <c r="H76" s="501">
        <f>'d3'!H76-'d3-П'!H76</f>
        <v>0</v>
      </c>
      <c r="I76" s="501">
        <f>'d3'!I76-'d3-П'!I76</f>
        <v>0</v>
      </c>
      <c r="J76" s="501">
        <f>'d3'!J76-'d3-П'!J76</f>
        <v>-20087</v>
      </c>
      <c r="K76" s="501">
        <f>'d3'!K76-'d3-П'!K76</f>
        <v>-20087</v>
      </c>
      <c r="L76" s="501">
        <f>'d3'!L76-'d3-П'!L76</f>
        <v>0</v>
      </c>
      <c r="M76" s="501">
        <f>'d3'!M76-'d3-П'!M76</f>
        <v>0</v>
      </c>
      <c r="N76" s="501">
        <f>'d3'!N76-'d3-П'!N76</f>
        <v>0</v>
      </c>
      <c r="O76" s="501">
        <f>'d3'!O76-'d3-П'!O76</f>
        <v>-20087</v>
      </c>
      <c r="P76" s="501">
        <f>'d3'!P76-'d3-П'!P76</f>
        <v>299572</v>
      </c>
      <c r="Q76" s="34"/>
      <c r="R76" s="24"/>
    </row>
    <row r="77" spans="1:18" s="31" customFormat="1" ht="184.5" thickTop="1" thickBot="1" x14ac:dyDescent="0.25">
      <c r="A77" s="94" t="s">
        <v>1405</v>
      </c>
      <c r="B77" s="94" t="s">
        <v>1407</v>
      </c>
      <c r="C77" s="94" t="s">
        <v>205</v>
      </c>
      <c r="D77" s="94" t="s">
        <v>1409</v>
      </c>
      <c r="E77" s="501">
        <f>'d3'!E77-'d3-П'!E77</f>
        <v>0</v>
      </c>
      <c r="F77" s="501">
        <f>'d3'!F77-'d3-П'!F77</f>
        <v>0</v>
      </c>
      <c r="G77" s="501">
        <f>'d3'!G77-'d3-П'!G77</f>
        <v>0</v>
      </c>
      <c r="H77" s="501">
        <f>'d3'!H77-'d3-П'!H77</f>
        <v>0</v>
      </c>
      <c r="I77" s="501">
        <f>'d3'!I77-'d3-П'!I77</f>
        <v>0</v>
      </c>
      <c r="J77" s="501">
        <f>'d3'!J77-'d3-П'!J77</f>
        <v>699000</v>
      </c>
      <c r="K77" s="501">
        <f>'d3'!K77-'d3-П'!K77</f>
        <v>-46871</v>
      </c>
      <c r="L77" s="501">
        <f>'d3'!L77-'d3-П'!L77</f>
        <v>745871</v>
      </c>
      <c r="M77" s="501">
        <f>'d3'!M77-'d3-П'!M77</f>
        <v>0</v>
      </c>
      <c r="N77" s="501">
        <f>'d3'!N77-'d3-П'!N77</f>
        <v>0</v>
      </c>
      <c r="O77" s="501">
        <f>'d3'!O77-'d3-П'!O77</f>
        <v>-46871</v>
      </c>
      <c r="P77" s="501">
        <f>'d3'!P77-'d3-П'!P77</f>
        <v>699000</v>
      </c>
      <c r="Q77" s="34"/>
      <c r="R77" s="24"/>
    </row>
    <row r="78" spans="1:18" s="31" customFormat="1" ht="269.25" customHeight="1" thickTop="1" thickBot="1" x14ac:dyDescent="0.25">
      <c r="A78" s="94" t="s">
        <v>616</v>
      </c>
      <c r="B78" s="94" t="s">
        <v>617</v>
      </c>
      <c r="C78" s="94" t="s">
        <v>205</v>
      </c>
      <c r="D78" s="94" t="s">
        <v>1400</v>
      </c>
      <c r="E78" s="501">
        <f>'d3'!E78-'d3-П'!E78</f>
        <v>0</v>
      </c>
      <c r="F78" s="501">
        <f>'d3'!F78-'d3-П'!F78</f>
        <v>0</v>
      </c>
      <c r="G78" s="501">
        <f>'d3'!G78-'d3-П'!G78</f>
        <v>0</v>
      </c>
      <c r="H78" s="501">
        <f>'d3'!H78-'d3-П'!H78</f>
        <v>0</v>
      </c>
      <c r="I78" s="501">
        <f>'d3'!I78-'d3-П'!I78</f>
        <v>0</v>
      </c>
      <c r="J78" s="501">
        <f>'d3'!J78-'d3-П'!J78</f>
        <v>0</v>
      </c>
      <c r="K78" s="501">
        <f>'d3'!K78-'d3-П'!K78</f>
        <v>0</v>
      </c>
      <c r="L78" s="501">
        <f>'d3'!L78-'d3-П'!L78</f>
        <v>0</v>
      </c>
      <c r="M78" s="501">
        <f>'d3'!M78-'d3-П'!M78</f>
        <v>0</v>
      </c>
      <c r="N78" s="501">
        <f>'d3'!N78-'d3-П'!N78</f>
        <v>0</v>
      </c>
      <c r="O78" s="501">
        <f>'d3'!O78-'d3-П'!O78</f>
        <v>0</v>
      </c>
      <c r="P78" s="501">
        <f>'d3'!P78-'d3-П'!P78</f>
        <v>0</v>
      </c>
      <c r="Q78" s="34"/>
      <c r="R78" s="24"/>
    </row>
    <row r="79" spans="1:18" s="31" customFormat="1" ht="138.75" hidden="1" thickTop="1" thickBot="1" x14ac:dyDescent="0.25">
      <c r="A79" s="119" t="s">
        <v>885</v>
      </c>
      <c r="B79" s="119" t="s">
        <v>886</v>
      </c>
      <c r="C79" s="119" t="s">
        <v>205</v>
      </c>
      <c r="D79" s="119" t="s">
        <v>1249</v>
      </c>
      <c r="E79" s="501">
        <f>'d3'!E79-'d3-П'!E79</f>
        <v>0</v>
      </c>
      <c r="F79" s="501">
        <f>'d3'!F79-'d3-П'!F79</f>
        <v>0</v>
      </c>
      <c r="G79" s="501">
        <f>'d3'!G79-'d3-П'!G79</f>
        <v>0</v>
      </c>
      <c r="H79" s="501">
        <f>'d3'!H79-'d3-П'!H79</f>
        <v>0</v>
      </c>
      <c r="I79" s="501">
        <f>'d3'!I79-'d3-П'!I79</f>
        <v>0</v>
      </c>
      <c r="J79" s="501">
        <f>'d3'!J79-'d3-П'!J79</f>
        <v>0</v>
      </c>
      <c r="K79" s="501">
        <f>'d3'!K79-'d3-П'!K79</f>
        <v>0</v>
      </c>
      <c r="L79" s="501">
        <f>'d3'!L79-'d3-П'!L79</f>
        <v>0</v>
      </c>
      <c r="M79" s="501">
        <f>'d3'!M79-'d3-П'!M79</f>
        <v>0</v>
      </c>
      <c r="N79" s="501">
        <f>'d3'!N79-'d3-П'!N79</f>
        <v>0</v>
      </c>
      <c r="O79" s="501">
        <f>'d3'!O79-'d3-П'!O79</f>
        <v>0</v>
      </c>
      <c r="P79" s="501">
        <f>'d3'!P79-'d3-П'!P79</f>
        <v>0</v>
      </c>
      <c r="Q79" s="34"/>
      <c r="R79" s="24"/>
    </row>
    <row r="80" spans="1:18" s="31" customFormat="1" ht="93" hidden="1" thickTop="1" thickBot="1" x14ac:dyDescent="0.25">
      <c r="A80" s="131" t="s">
        <v>934</v>
      </c>
      <c r="B80" s="131" t="s">
        <v>936</v>
      </c>
      <c r="C80" s="131"/>
      <c r="D80" s="131" t="s">
        <v>1242</v>
      </c>
      <c r="E80" s="501">
        <f>'d3'!E80-'d3-П'!E80</f>
        <v>0</v>
      </c>
      <c r="F80" s="501">
        <f>'d3'!F80-'d3-П'!F80</f>
        <v>0</v>
      </c>
      <c r="G80" s="501">
        <f>'d3'!G80-'d3-П'!G80</f>
        <v>0</v>
      </c>
      <c r="H80" s="501">
        <f>'d3'!H80-'d3-П'!H80</f>
        <v>0</v>
      </c>
      <c r="I80" s="501">
        <f>'d3'!I80-'d3-П'!I80</f>
        <v>0</v>
      </c>
      <c r="J80" s="501">
        <f>'d3'!J80-'d3-П'!J80</f>
        <v>0</v>
      </c>
      <c r="K80" s="501">
        <f>'d3'!K80-'d3-П'!K80</f>
        <v>0</v>
      </c>
      <c r="L80" s="501">
        <f>'d3'!L80-'d3-П'!L80</f>
        <v>0</v>
      </c>
      <c r="M80" s="501">
        <f>'d3'!M80-'d3-П'!M80</f>
        <v>0</v>
      </c>
      <c r="N80" s="501">
        <f>'d3'!N80-'d3-П'!N80</f>
        <v>0</v>
      </c>
      <c r="O80" s="501">
        <f>'d3'!O80-'d3-П'!O80</f>
        <v>0</v>
      </c>
      <c r="P80" s="501">
        <f>'d3'!P80-'d3-П'!P80</f>
        <v>0</v>
      </c>
      <c r="Q80" s="34"/>
      <c r="R80" s="24"/>
    </row>
    <row r="81" spans="1:18" s="31" customFormat="1" ht="138.75" hidden="1" thickTop="1" thickBot="1" x14ac:dyDescent="0.25">
      <c r="A81" s="119" t="s">
        <v>935</v>
      </c>
      <c r="B81" s="119" t="s">
        <v>937</v>
      </c>
      <c r="C81" s="119" t="s">
        <v>205</v>
      </c>
      <c r="D81" s="119" t="s">
        <v>1124</v>
      </c>
      <c r="E81" s="501">
        <f>'d3'!E81-'d3-П'!E81</f>
        <v>0</v>
      </c>
      <c r="F81" s="501">
        <f>'d3'!F81-'d3-П'!F81</f>
        <v>0</v>
      </c>
      <c r="G81" s="501">
        <f>'d3'!G81-'d3-П'!G81</f>
        <v>0</v>
      </c>
      <c r="H81" s="501">
        <f>'d3'!H81-'d3-П'!H81</f>
        <v>0</v>
      </c>
      <c r="I81" s="501">
        <f>'d3'!I81-'d3-П'!I81</f>
        <v>0</v>
      </c>
      <c r="J81" s="501">
        <f>'d3'!J81-'d3-П'!J81</f>
        <v>0</v>
      </c>
      <c r="K81" s="501">
        <f>'d3'!K81-'d3-П'!K81</f>
        <v>0</v>
      </c>
      <c r="L81" s="501">
        <f>'d3'!L81-'d3-П'!L81</f>
        <v>0</v>
      </c>
      <c r="M81" s="501">
        <f>'d3'!M81-'d3-П'!M81</f>
        <v>0</v>
      </c>
      <c r="N81" s="501">
        <f>'d3'!N81-'d3-П'!N81</f>
        <v>0</v>
      </c>
      <c r="O81" s="501">
        <f>'d3'!O81-'d3-П'!O81</f>
        <v>0</v>
      </c>
      <c r="P81" s="501">
        <f>'d3'!P81-'d3-П'!P81</f>
        <v>0</v>
      </c>
      <c r="Q81" s="34"/>
      <c r="R81" s="24"/>
    </row>
    <row r="82" spans="1:18" s="31" customFormat="1" ht="138.75" hidden="1" thickTop="1" thickBot="1" x14ac:dyDescent="0.25">
      <c r="A82" s="119" t="s">
        <v>971</v>
      </c>
      <c r="B82" s="119" t="s">
        <v>972</v>
      </c>
      <c r="C82" s="119" t="s">
        <v>205</v>
      </c>
      <c r="D82" s="119" t="s">
        <v>1315</v>
      </c>
      <c r="E82" s="501">
        <f>'d3'!E82-'d3-П'!E82</f>
        <v>0</v>
      </c>
      <c r="F82" s="501">
        <f>'d3'!F82-'d3-П'!F82</f>
        <v>0</v>
      </c>
      <c r="G82" s="501">
        <f>'d3'!G82-'d3-П'!G82</f>
        <v>0</v>
      </c>
      <c r="H82" s="501">
        <f>'d3'!H82-'d3-П'!H82</f>
        <v>0</v>
      </c>
      <c r="I82" s="501">
        <f>'d3'!I82-'d3-П'!I82</f>
        <v>0</v>
      </c>
      <c r="J82" s="501">
        <f>'d3'!J82-'d3-П'!J82</f>
        <v>0</v>
      </c>
      <c r="K82" s="501">
        <f>'d3'!K82-'d3-П'!K82</f>
        <v>0</v>
      </c>
      <c r="L82" s="501">
        <f>'d3'!L82-'d3-П'!L82</f>
        <v>0</v>
      </c>
      <c r="M82" s="501">
        <f>'d3'!M82-'d3-П'!M82</f>
        <v>0</v>
      </c>
      <c r="N82" s="501">
        <f>'d3'!N82-'d3-П'!N82</f>
        <v>0</v>
      </c>
      <c r="O82" s="501">
        <f>'d3'!O82-'d3-П'!O82</f>
        <v>0</v>
      </c>
      <c r="P82" s="501">
        <f>'d3'!P82-'d3-П'!P82</f>
        <v>0</v>
      </c>
      <c r="Q82" s="34"/>
      <c r="R82" s="24"/>
    </row>
    <row r="83" spans="1:18" s="31" customFormat="1" ht="184.5" hidden="1" thickTop="1" thickBot="1" x14ac:dyDescent="0.25">
      <c r="A83" s="131" t="s">
        <v>1203</v>
      </c>
      <c r="B83" s="131" t="s">
        <v>1204</v>
      </c>
      <c r="C83" s="131"/>
      <c r="D83" s="131" t="s">
        <v>1386</v>
      </c>
      <c r="E83" s="501">
        <f>'d3'!E83-'d3-П'!E83</f>
        <v>0</v>
      </c>
      <c r="F83" s="501">
        <f>'d3'!F83-'d3-П'!F83</f>
        <v>0</v>
      </c>
      <c r="G83" s="501">
        <f>'d3'!G83-'d3-П'!G83</f>
        <v>0</v>
      </c>
      <c r="H83" s="501">
        <f>'d3'!H83-'d3-П'!H83</f>
        <v>0</v>
      </c>
      <c r="I83" s="501">
        <f>'d3'!I83-'d3-П'!I83</f>
        <v>0</v>
      </c>
      <c r="J83" s="501">
        <f>'d3'!J83-'d3-П'!J83</f>
        <v>0</v>
      </c>
      <c r="K83" s="501">
        <f>'d3'!K83-'d3-П'!K83</f>
        <v>0</v>
      </c>
      <c r="L83" s="501">
        <f>'d3'!L83-'d3-П'!L83</f>
        <v>0</v>
      </c>
      <c r="M83" s="501">
        <f>'d3'!M83-'d3-П'!M83</f>
        <v>0</v>
      </c>
      <c r="N83" s="501">
        <f>'d3'!N83-'d3-П'!N83</f>
        <v>0</v>
      </c>
      <c r="O83" s="501">
        <f>'d3'!O83-'d3-П'!O83</f>
        <v>0</v>
      </c>
      <c r="P83" s="501">
        <f>'d3'!P83-'d3-П'!P83</f>
        <v>0</v>
      </c>
      <c r="Q83" s="34"/>
      <c r="R83" s="24"/>
    </row>
    <row r="84" spans="1:18" s="31" customFormat="1" ht="276" hidden="1" thickTop="1" thickBot="1" x14ac:dyDescent="0.25">
      <c r="A84" s="119" t="s">
        <v>1205</v>
      </c>
      <c r="B84" s="119" t="s">
        <v>1206</v>
      </c>
      <c r="C84" s="119" t="s">
        <v>205</v>
      </c>
      <c r="D84" s="119" t="s">
        <v>1387</v>
      </c>
      <c r="E84" s="501">
        <f>'d3'!E84-'d3-П'!E84</f>
        <v>0</v>
      </c>
      <c r="F84" s="501">
        <f>'d3'!F84-'d3-П'!F84</f>
        <v>0</v>
      </c>
      <c r="G84" s="501">
        <f>'d3'!G84-'d3-П'!G84</f>
        <v>0</v>
      </c>
      <c r="H84" s="501">
        <f>'d3'!H84-'d3-П'!H84</f>
        <v>0</v>
      </c>
      <c r="I84" s="501">
        <f>'d3'!I84-'d3-П'!I84</f>
        <v>0</v>
      </c>
      <c r="J84" s="501">
        <f>'d3'!J84-'d3-П'!J84</f>
        <v>0</v>
      </c>
      <c r="K84" s="501">
        <f>'d3'!K84-'d3-П'!K84</f>
        <v>0</v>
      </c>
      <c r="L84" s="501">
        <f>'d3'!L84-'d3-П'!L84</f>
        <v>0</v>
      </c>
      <c r="M84" s="501">
        <f>'d3'!M84-'d3-П'!M84</f>
        <v>0</v>
      </c>
      <c r="N84" s="501">
        <f>'d3'!N84-'d3-П'!N84</f>
        <v>0</v>
      </c>
      <c r="O84" s="501">
        <f>'d3'!O84-'d3-П'!O84</f>
        <v>0</v>
      </c>
      <c r="P84" s="501">
        <f>'d3'!P84-'d3-П'!P84</f>
        <v>0</v>
      </c>
      <c r="Q84" s="34"/>
      <c r="R84" s="24"/>
    </row>
    <row r="85" spans="1:18" s="31" customFormat="1" ht="138.75" hidden="1" thickTop="1" thickBot="1" x14ac:dyDescent="0.25">
      <c r="A85" s="119" t="s">
        <v>1207</v>
      </c>
      <c r="B85" s="119" t="s">
        <v>1208</v>
      </c>
      <c r="C85" s="119" t="s">
        <v>205</v>
      </c>
      <c r="D85" s="119" t="s">
        <v>1209</v>
      </c>
      <c r="E85" s="501">
        <f>'d3'!E85-'d3-П'!E85</f>
        <v>0</v>
      </c>
      <c r="F85" s="501">
        <f>'d3'!F85-'d3-П'!F85</f>
        <v>0</v>
      </c>
      <c r="G85" s="501">
        <f>'d3'!G85-'d3-П'!G85</f>
        <v>0</v>
      </c>
      <c r="H85" s="501">
        <f>'d3'!H85-'d3-П'!H85</f>
        <v>0</v>
      </c>
      <c r="I85" s="501">
        <f>'d3'!I85-'d3-П'!I85</f>
        <v>0</v>
      </c>
      <c r="J85" s="501">
        <f>'d3'!J85-'d3-П'!J85</f>
        <v>0</v>
      </c>
      <c r="K85" s="501">
        <f>'d3'!K85-'d3-П'!K85</f>
        <v>0</v>
      </c>
      <c r="L85" s="501">
        <f>'d3'!L85-'d3-П'!L85</f>
        <v>0</v>
      </c>
      <c r="M85" s="501">
        <f>'d3'!M85-'d3-П'!M85</f>
        <v>0</v>
      </c>
      <c r="N85" s="501">
        <f>'d3'!N85-'d3-П'!N85</f>
        <v>0</v>
      </c>
      <c r="O85" s="501">
        <f>'d3'!O85-'d3-П'!O85</f>
        <v>0</v>
      </c>
      <c r="P85" s="501">
        <f>'d3'!P85-'d3-П'!P85</f>
        <v>0</v>
      </c>
      <c r="Q85" s="34"/>
      <c r="R85" s="24"/>
    </row>
    <row r="86" spans="1:18" s="31" customFormat="1" ht="138.75" thickTop="1" thickBot="1" x14ac:dyDescent="0.25">
      <c r="A86" s="518" t="s">
        <v>1256</v>
      </c>
      <c r="B86" s="518" t="s">
        <v>1255</v>
      </c>
      <c r="C86" s="518"/>
      <c r="D86" s="518" t="s">
        <v>1257</v>
      </c>
      <c r="E86" s="501">
        <f>'d3'!E86-'d3-П'!E86</f>
        <v>120800</v>
      </c>
      <c r="F86" s="501">
        <f>'d3'!F86-'d3-П'!F86</f>
        <v>120800</v>
      </c>
      <c r="G86" s="501">
        <f>'d3'!G86-'d3-П'!G86</f>
        <v>0</v>
      </c>
      <c r="H86" s="501">
        <f>'d3'!H86-'d3-П'!H86</f>
        <v>0</v>
      </c>
      <c r="I86" s="501">
        <f>'d3'!I86-'d3-П'!I86</f>
        <v>0</v>
      </c>
      <c r="J86" s="501">
        <f>'d3'!J86-'d3-П'!J86</f>
        <v>-1840922.85</v>
      </c>
      <c r="K86" s="501">
        <f>'d3'!K86-'d3-П'!K86</f>
        <v>-1840922.85</v>
      </c>
      <c r="L86" s="501">
        <f>'d3'!L86-'d3-П'!L86</f>
        <v>0</v>
      </c>
      <c r="M86" s="501">
        <f>'d3'!M86-'d3-П'!M86</f>
        <v>0</v>
      </c>
      <c r="N86" s="501">
        <f>'d3'!N86-'d3-П'!N86</f>
        <v>0</v>
      </c>
      <c r="O86" s="501">
        <f>'d3'!O86-'d3-П'!O86</f>
        <v>-1840922.85</v>
      </c>
      <c r="P86" s="501">
        <f>'d3'!P86-'d3-П'!P86</f>
        <v>-1720122.85</v>
      </c>
      <c r="Q86" s="34"/>
      <c r="R86" s="24"/>
    </row>
    <row r="87" spans="1:18" s="31" customFormat="1" ht="93" hidden="1" thickTop="1" thickBot="1" x14ac:dyDescent="0.25">
      <c r="A87" s="119" t="s">
        <v>1258</v>
      </c>
      <c r="B87" s="119" t="s">
        <v>1259</v>
      </c>
      <c r="C87" s="119" t="s">
        <v>205</v>
      </c>
      <c r="D87" s="119" t="s">
        <v>1263</v>
      </c>
      <c r="E87" s="501">
        <f>'d3'!E87-'d3-П'!E87</f>
        <v>0</v>
      </c>
      <c r="F87" s="501">
        <f>'d3'!F87-'d3-П'!F87</f>
        <v>0</v>
      </c>
      <c r="G87" s="501">
        <f>'d3'!G87-'d3-П'!G87</f>
        <v>0</v>
      </c>
      <c r="H87" s="501">
        <f>'d3'!H87-'d3-П'!H87</f>
        <v>0</v>
      </c>
      <c r="I87" s="501">
        <f>'d3'!I87-'d3-П'!I87</f>
        <v>0</v>
      </c>
      <c r="J87" s="501">
        <f>'d3'!J87-'d3-П'!J87</f>
        <v>0</v>
      </c>
      <c r="K87" s="501">
        <f>'d3'!K87-'d3-П'!K87</f>
        <v>0</v>
      </c>
      <c r="L87" s="501">
        <f>'d3'!L87-'d3-П'!L87</f>
        <v>0</v>
      </c>
      <c r="M87" s="501">
        <f>'d3'!M87-'d3-П'!M87</f>
        <v>0</v>
      </c>
      <c r="N87" s="501">
        <f>'d3'!N87-'d3-П'!N87</f>
        <v>0</v>
      </c>
      <c r="O87" s="501">
        <f>'d3'!O87-'d3-П'!O87</f>
        <v>0</v>
      </c>
      <c r="P87" s="501">
        <f>'d3'!P87-'d3-П'!P87</f>
        <v>0</v>
      </c>
      <c r="Q87" s="34"/>
      <c r="R87" s="24"/>
    </row>
    <row r="88" spans="1:18" s="31" customFormat="1" ht="138.75" hidden="1" thickTop="1" thickBot="1" x14ac:dyDescent="0.25">
      <c r="A88" s="119" t="s">
        <v>1260</v>
      </c>
      <c r="B88" s="119" t="s">
        <v>1261</v>
      </c>
      <c r="C88" s="119" t="s">
        <v>205</v>
      </c>
      <c r="D88" s="119" t="s">
        <v>1262</v>
      </c>
      <c r="E88" s="501">
        <f>'d3'!E88-'d3-П'!E88</f>
        <v>0</v>
      </c>
      <c r="F88" s="501">
        <f>'d3'!F88-'d3-П'!F88</f>
        <v>0</v>
      </c>
      <c r="G88" s="501">
        <f>'d3'!G88-'d3-П'!G88</f>
        <v>0</v>
      </c>
      <c r="H88" s="501">
        <f>'d3'!H88-'d3-П'!H88</f>
        <v>0</v>
      </c>
      <c r="I88" s="501">
        <f>'d3'!I88-'d3-П'!I88</f>
        <v>0</v>
      </c>
      <c r="J88" s="501">
        <f>'d3'!J88-'d3-П'!J88</f>
        <v>0</v>
      </c>
      <c r="K88" s="501">
        <f>'d3'!K88-'d3-П'!K88</f>
        <v>0</v>
      </c>
      <c r="L88" s="501">
        <f>'d3'!L88-'d3-П'!L88</f>
        <v>0</v>
      </c>
      <c r="M88" s="501">
        <f>'d3'!M88-'d3-П'!M88</f>
        <v>0</v>
      </c>
      <c r="N88" s="501">
        <f>'d3'!N88-'d3-П'!N88</f>
        <v>0</v>
      </c>
      <c r="O88" s="501">
        <f>'d3'!O88-'d3-П'!O88</f>
        <v>0</v>
      </c>
      <c r="P88" s="501">
        <f>'d3'!P88-'d3-П'!P88</f>
        <v>0</v>
      </c>
      <c r="Q88" s="34"/>
      <c r="R88" s="24"/>
    </row>
    <row r="89" spans="1:18" s="31" customFormat="1" ht="298.5" customHeight="1" thickTop="1" thickBot="1" x14ac:dyDescent="0.25">
      <c r="A89" s="94" t="s">
        <v>1762</v>
      </c>
      <c r="B89" s="94" t="s">
        <v>1763</v>
      </c>
      <c r="C89" s="94" t="s">
        <v>205</v>
      </c>
      <c r="D89" s="94" t="s">
        <v>1801</v>
      </c>
      <c r="E89" s="501">
        <f>'d3'!E89-'d3-П'!E89</f>
        <v>0</v>
      </c>
      <c r="F89" s="501">
        <f>'d3'!F89-'d3-П'!F89</f>
        <v>0</v>
      </c>
      <c r="G89" s="501">
        <f>'d3'!G89-'d3-П'!G89</f>
        <v>0</v>
      </c>
      <c r="H89" s="501">
        <f>'d3'!H89-'d3-П'!H89</f>
        <v>0</v>
      </c>
      <c r="I89" s="501">
        <f>'d3'!I89-'d3-П'!I89</f>
        <v>0</v>
      </c>
      <c r="J89" s="501">
        <f>'d3'!J89-'d3-П'!J89</f>
        <v>-2178472.85</v>
      </c>
      <c r="K89" s="501">
        <f>'d3'!K89-'d3-П'!K89</f>
        <v>-2178472.85</v>
      </c>
      <c r="L89" s="501">
        <f>'d3'!L89-'d3-П'!L89</f>
        <v>0</v>
      </c>
      <c r="M89" s="501">
        <f>'d3'!M89-'d3-П'!M89</f>
        <v>0</v>
      </c>
      <c r="N89" s="501">
        <f>'d3'!N89-'d3-П'!N89</f>
        <v>0</v>
      </c>
      <c r="O89" s="501">
        <f>'d3'!O89-'d3-П'!O89</f>
        <v>-2178472.85</v>
      </c>
      <c r="P89" s="501">
        <f>'d3'!P89-'d3-П'!P89</f>
        <v>-2178472.85</v>
      </c>
      <c r="Q89" s="34"/>
      <c r="R89" s="24"/>
    </row>
    <row r="90" spans="1:18" s="31" customFormat="1" ht="184.5" thickTop="1" thickBot="1" x14ac:dyDescent="0.25">
      <c r="A90" s="713" t="s">
        <v>1447</v>
      </c>
      <c r="B90" s="713" t="s">
        <v>1442</v>
      </c>
      <c r="C90" s="713" t="s">
        <v>205</v>
      </c>
      <c r="D90" s="713" t="s">
        <v>1800</v>
      </c>
      <c r="E90" s="501">
        <f>'d3'!E90-'d3-П'!E90</f>
        <v>120800</v>
      </c>
      <c r="F90" s="501">
        <f>'d3'!F90-'d3-П'!F90</f>
        <v>120800</v>
      </c>
      <c r="G90" s="501">
        <f>'d3'!G90-'d3-П'!G90</f>
        <v>0</v>
      </c>
      <c r="H90" s="501">
        <f>'d3'!H90-'d3-П'!H90</f>
        <v>0</v>
      </c>
      <c r="I90" s="501">
        <f>'d3'!I90-'d3-П'!I90</f>
        <v>0</v>
      </c>
      <c r="J90" s="501">
        <f>'d3'!J90-'d3-П'!J90</f>
        <v>337550</v>
      </c>
      <c r="K90" s="501">
        <f>'d3'!K90-'d3-П'!K90</f>
        <v>337550</v>
      </c>
      <c r="L90" s="501">
        <f>'d3'!L90-'d3-П'!L90</f>
        <v>0</v>
      </c>
      <c r="M90" s="501">
        <f>'d3'!M90-'d3-П'!M90</f>
        <v>0</v>
      </c>
      <c r="N90" s="501">
        <f>'d3'!N90-'d3-П'!N90</f>
        <v>0</v>
      </c>
      <c r="O90" s="501">
        <f>'d3'!O90-'d3-П'!O90</f>
        <v>337550</v>
      </c>
      <c r="P90" s="501">
        <f>'d3'!P90-'d3-П'!P90</f>
        <v>458350</v>
      </c>
      <c r="Q90" s="34"/>
      <c r="R90" s="24"/>
    </row>
    <row r="91" spans="1:18" s="31" customFormat="1" ht="138.75" hidden="1" thickTop="1" thickBot="1" x14ac:dyDescent="0.25">
      <c r="A91" s="119" t="s">
        <v>1448</v>
      </c>
      <c r="B91" s="119" t="s">
        <v>1444</v>
      </c>
      <c r="C91" s="119" t="s">
        <v>205</v>
      </c>
      <c r="D91" s="119" t="s">
        <v>1443</v>
      </c>
      <c r="E91" s="118"/>
      <c r="F91" s="125"/>
      <c r="G91" s="125"/>
      <c r="H91" s="125"/>
      <c r="I91" s="125"/>
      <c r="J91" s="118"/>
      <c r="K91" s="125"/>
      <c r="L91" s="125"/>
      <c r="M91" s="125"/>
      <c r="N91" s="125"/>
      <c r="O91" s="123"/>
      <c r="P91" s="118"/>
      <c r="Q91" s="34"/>
      <c r="R91" s="24"/>
    </row>
    <row r="92" spans="1:18" s="31" customFormat="1" ht="184.5" hidden="1" thickTop="1" thickBot="1" x14ac:dyDescent="0.25">
      <c r="A92" s="131" t="s">
        <v>1302</v>
      </c>
      <c r="B92" s="131" t="s">
        <v>1304</v>
      </c>
      <c r="C92" s="119"/>
      <c r="D92" s="131" t="s">
        <v>1301</v>
      </c>
      <c r="E92" s="132"/>
      <c r="F92" s="132"/>
      <c r="G92" s="132"/>
      <c r="H92" s="132"/>
      <c r="I92" s="132"/>
      <c r="J92" s="132"/>
      <c r="K92" s="132"/>
      <c r="L92" s="132"/>
      <c r="M92" s="132"/>
      <c r="N92" s="132"/>
      <c r="O92" s="132"/>
      <c r="P92" s="132"/>
      <c r="Q92" s="34"/>
      <c r="R92" s="24"/>
    </row>
    <row r="93" spans="1:18" s="31" customFormat="1" ht="230.25" hidden="1" thickTop="1" thickBot="1" x14ac:dyDescent="0.25">
      <c r="A93" s="119" t="s">
        <v>1305</v>
      </c>
      <c r="B93" s="119" t="s">
        <v>1303</v>
      </c>
      <c r="C93" s="119" t="s">
        <v>205</v>
      </c>
      <c r="D93" s="119" t="s">
        <v>1306</v>
      </c>
      <c r="E93" s="118"/>
      <c r="F93" s="125"/>
      <c r="G93" s="125"/>
      <c r="H93" s="125"/>
      <c r="I93" s="125"/>
      <c r="J93" s="118"/>
      <c r="K93" s="125"/>
      <c r="L93" s="125"/>
      <c r="M93" s="125"/>
      <c r="N93" s="125"/>
      <c r="O93" s="123"/>
      <c r="P93" s="118"/>
      <c r="Q93" s="34"/>
      <c r="R93" s="24"/>
    </row>
    <row r="94" spans="1:18" s="31" customFormat="1" ht="184.5" hidden="1" thickTop="1" thickBot="1" x14ac:dyDescent="0.25">
      <c r="A94" s="119" t="s">
        <v>1307</v>
      </c>
      <c r="B94" s="119" t="s">
        <v>1308</v>
      </c>
      <c r="C94" s="119" t="s">
        <v>205</v>
      </c>
      <c r="D94" s="119" t="s">
        <v>1309</v>
      </c>
      <c r="E94" s="118"/>
      <c r="F94" s="125"/>
      <c r="G94" s="125"/>
      <c r="H94" s="125"/>
      <c r="I94" s="125"/>
      <c r="J94" s="118"/>
      <c r="K94" s="125"/>
      <c r="L94" s="125"/>
      <c r="M94" s="125"/>
      <c r="N94" s="125"/>
      <c r="O94" s="123"/>
      <c r="P94" s="118"/>
      <c r="Q94" s="34"/>
      <c r="R94" s="24"/>
    </row>
    <row r="95" spans="1:18" s="31" customFormat="1" ht="197.25" customHeight="1" thickTop="1" thickBot="1" x14ac:dyDescent="0.25">
      <c r="A95" s="94" t="s">
        <v>1372</v>
      </c>
      <c r="B95" s="94" t="s">
        <v>1359</v>
      </c>
      <c r="C95" s="94" t="s">
        <v>205</v>
      </c>
      <c r="D95" s="94" t="s">
        <v>1538</v>
      </c>
      <c r="E95" s="501">
        <f>'d3'!E95-'d3-П'!E95</f>
        <v>0</v>
      </c>
      <c r="F95" s="501">
        <f>'d3'!F95-'d3-П'!F95</f>
        <v>0</v>
      </c>
      <c r="G95" s="501">
        <f>'d3'!G95-'d3-П'!G95</f>
        <v>0</v>
      </c>
      <c r="H95" s="501">
        <f>'d3'!H95-'d3-П'!H95</f>
        <v>0</v>
      </c>
      <c r="I95" s="501">
        <f>'d3'!I95-'d3-П'!I95</f>
        <v>0</v>
      </c>
      <c r="J95" s="501">
        <f>'d3'!J95-'d3-П'!J95</f>
        <v>5000000</v>
      </c>
      <c r="K95" s="501">
        <f>'d3'!K95-'d3-П'!K95</f>
        <v>5000000</v>
      </c>
      <c r="L95" s="501">
        <f>'d3'!L95-'d3-П'!L95</f>
        <v>0</v>
      </c>
      <c r="M95" s="501">
        <f>'d3'!M95-'d3-П'!M95</f>
        <v>0</v>
      </c>
      <c r="N95" s="501">
        <f>'d3'!N95-'d3-П'!N95</f>
        <v>0</v>
      </c>
      <c r="O95" s="501">
        <f>'d3'!O95-'d3-П'!O95</f>
        <v>5000000</v>
      </c>
      <c r="P95" s="501">
        <f>'d3'!P95-'d3-П'!P95</f>
        <v>5000000</v>
      </c>
      <c r="Q95" s="34"/>
      <c r="R95" s="24"/>
    </row>
    <row r="96" spans="1:18" s="31" customFormat="1" ht="93" hidden="1" thickTop="1" thickBot="1" x14ac:dyDescent="0.25">
      <c r="A96" s="131" t="s">
        <v>1342</v>
      </c>
      <c r="B96" s="131" t="s">
        <v>1345</v>
      </c>
      <c r="C96" s="119"/>
      <c r="D96" s="131" t="s">
        <v>1346</v>
      </c>
      <c r="E96" s="501">
        <f>'d3'!E96-'d3-П'!E96</f>
        <v>0</v>
      </c>
      <c r="F96" s="501">
        <f>'d3'!F96-'d3-П'!F96</f>
        <v>0</v>
      </c>
      <c r="G96" s="501">
        <f>'d3'!G96-'d3-П'!G96</f>
        <v>0</v>
      </c>
      <c r="H96" s="501">
        <f>'d3'!H96-'d3-П'!H96</f>
        <v>0</v>
      </c>
      <c r="I96" s="501">
        <f>'d3'!I96-'d3-П'!I96</f>
        <v>0</v>
      </c>
      <c r="J96" s="501">
        <f>'d3'!J96-'d3-П'!J96</f>
        <v>0</v>
      </c>
      <c r="K96" s="501">
        <f>'d3'!K96-'d3-П'!K96</f>
        <v>0</v>
      </c>
      <c r="L96" s="501">
        <f>'d3'!L96-'d3-П'!L96</f>
        <v>0</v>
      </c>
      <c r="M96" s="501">
        <f>'d3'!M96-'d3-П'!M96</f>
        <v>0</v>
      </c>
      <c r="N96" s="501">
        <f>'d3'!N96-'d3-П'!N96</f>
        <v>0</v>
      </c>
      <c r="O96" s="501">
        <f>'d3'!O96-'d3-П'!O96</f>
        <v>0</v>
      </c>
      <c r="P96" s="501">
        <f>'d3'!P96-'d3-П'!P96</f>
        <v>0</v>
      </c>
      <c r="Q96" s="34"/>
      <c r="R96" s="24"/>
    </row>
    <row r="97" spans="1:18" s="31" customFormat="1" ht="138.75" hidden="1" thickTop="1" thickBot="1" x14ac:dyDescent="0.25">
      <c r="A97" s="119" t="s">
        <v>1343</v>
      </c>
      <c r="B97" s="119" t="s">
        <v>1344</v>
      </c>
      <c r="C97" s="119" t="s">
        <v>205</v>
      </c>
      <c r="D97" s="119" t="s">
        <v>1347</v>
      </c>
      <c r="E97" s="501">
        <f>'d3'!E97-'d3-П'!E97</f>
        <v>0</v>
      </c>
      <c r="F97" s="501">
        <f>'d3'!F97-'d3-П'!F97</f>
        <v>0</v>
      </c>
      <c r="G97" s="501">
        <f>'d3'!G97-'d3-П'!G97</f>
        <v>0</v>
      </c>
      <c r="H97" s="501">
        <f>'d3'!H97-'d3-П'!H97</f>
        <v>0</v>
      </c>
      <c r="I97" s="501">
        <f>'d3'!I97-'d3-П'!I97</f>
        <v>0</v>
      </c>
      <c r="J97" s="501">
        <f>'d3'!J97-'d3-П'!J97</f>
        <v>0</v>
      </c>
      <c r="K97" s="501">
        <f>'d3'!K97-'d3-П'!K97</f>
        <v>0</v>
      </c>
      <c r="L97" s="501">
        <f>'d3'!L97-'d3-П'!L97</f>
        <v>0</v>
      </c>
      <c r="M97" s="501">
        <f>'d3'!M97-'d3-П'!M97</f>
        <v>0</v>
      </c>
      <c r="N97" s="501">
        <f>'d3'!N97-'d3-П'!N97</f>
        <v>0</v>
      </c>
      <c r="O97" s="501">
        <f>'d3'!O97-'d3-П'!O97</f>
        <v>0</v>
      </c>
      <c r="P97" s="501">
        <f>'d3'!P97-'d3-П'!P97</f>
        <v>0</v>
      </c>
      <c r="Q97" s="34"/>
      <c r="R97" s="24"/>
    </row>
    <row r="98" spans="1:18" s="31" customFormat="1" ht="148.5" customHeight="1" thickTop="1" thickBot="1" x14ac:dyDescent="0.25">
      <c r="A98" s="94" t="s">
        <v>1401</v>
      </c>
      <c r="B98" s="94" t="s">
        <v>1402</v>
      </c>
      <c r="C98" s="94" t="s">
        <v>205</v>
      </c>
      <c r="D98" s="94" t="s">
        <v>1403</v>
      </c>
      <c r="E98" s="501">
        <f>'d3'!E98-'d3-П'!E98</f>
        <v>0</v>
      </c>
      <c r="F98" s="501">
        <f>'d3'!F98-'d3-П'!F98</f>
        <v>0</v>
      </c>
      <c r="G98" s="501">
        <f>'d3'!G98-'d3-П'!G98</f>
        <v>0</v>
      </c>
      <c r="H98" s="501">
        <f>'d3'!H98-'d3-П'!H98</f>
        <v>0</v>
      </c>
      <c r="I98" s="501">
        <f>'d3'!I98-'d3-П'!I98</f>
        <v>0</v>
      </c>
      <c r="J98" s="501">
        <f>'d3'!J98-'d3-П'!J98</f>
        <v>0</v>
      </c>
      <c r="K98" s="501">
        <f>'d3'!K98-'d3-П'!K98</f>
        <v>0</v>
      </c>
      <c r="L98" s="501">
        <f>'d3'!L98-'d3-П'!L98</f>
        <v>0</v>
      </c>
      <c r="M98" s="501">
        <f>'d3'!M98-'d3-П'!M98</f>
        <v>0</v>
      </c>
      <c r="N98" s="501">
        <f>'d3'!N98-'d3-П'!N98</f>
        <v>0</v>
      </c>
      <c r="O98" s="501">
        <f>'d3'!O98-'d3-П'!O98</f>
        <v>0</v>
      </c>
      <c r="P98" s="501">
        <f>'d3'!P98-'d3-П'!P98</f>
        <v>0</v>
      </c>
      <c r="Q98" s="34"/>
      <c r="R98" s="24"/>
    </row>
    <row r="99" spans="1:18" s="31" customFormat="1" ht="148.5" customHeight="1" thickTop="1" thickBot="1" x14ac:dyDescent="0.25">
      <c r="A99" s="94" t="s">
        <v>1703</v>
      </c>
      <c r="B99" s="94" t="s">
        <v>1704</v>
      </c>
      <c r="C99" s="94" t="s">
        <v>205</v>
      </c>
      <c r="D99" s="94" t="s">
        <v>1705</v>
      </c>
      <c r="E99" s="501">
        <f>'d3'!E99-'d3-П'!E99</f>
        <v>0</v>
      </c>
      <c r="F99" s="501">
        <f>'d3'!F99-'d3-П'!F99</f>
        <v>0</v>
      </c>
      <c r="G99" s="501">
        <f>'d3'!G99-'d3-П'!G99</f>
        <v>0</v>
      </c>
      <c r="H99" s="501">
        <f>'d3'!H99-'d3-П'!H99</f>
        <v>0</v>
      </c>
      <c r="I99" s="501">
        <f>'d3'!I99-'d3-П'!I99</f>
        <v>0</v>
      </c>
      <c r="J99" s="501">
        <f>'d3'!J99-'d3-П'!J99</f>
        <v>0</v>
      </c>
      <c r="K99" s="501">
        <f>'d3'!K99-'d3-П'!K99</f>
        <v>0</v>
      </c>
      <c r="L99" s="501">
        <f>'d3'!L99-'d3-П'!L99</f>
        <v>0</v>
      </c>
      <c r="M99" s="501">
        <f>'d3'!M99-'d3-П'!M99</f>
        <v>0</v>
      </c>
      <c r="N99" s="501">
        <f>'d3'!N99-'d3-П'!N99</f>
        <v>0</v>
      </c>
      <c r="O99" s="501">
        <f>'d3'!O99-'d3-П'!O99</f>
        <v>0</v>
      </c>
      <c r="P99" s="501">
        <f>'d3'!P99-'d3-П'!P99</f>
        <v>0</v>
      </c>
      <c r="Q99" s="34"/>
      <c r="R99" s="24"/>
    </row>
    <row r="100" spans="1:18" s="31" customFormat="1" ht="99.75" customHeight="1" thickTop="1" thickBot="1" x14ac:dyDescent="0.25">
      <c r="A100" s="239" t="s">
        <v>677</v>
      </c>
      <c r="B100" s="239" t="s">
        <v>678</v>
      </c>
      <c r="C100" s="239"/>
      <c r="D100" s="239" t="s">
        <v>679</v>
      </c>
      <c r="E100" s="501">
        <f>'d3'!E100-'d3-П'!E100</f>
        <v>2500000</v>
      </c>
      <c r="F100" s="501">
        <f>'d3'!F100-'d3-П'!F100</f>
        <v>1850000</v>
      </c>
      <c r="G100" s="501">
        <f>'d3'!G100-'d3-П'!G100</f>
        <v>0</v>
      </c>
      <c r="H100" s="501">
        <f>'d3'!H100-'d3-П'!H100</f>
        <v>0</v>
      </c>
      <c r="I100" s="501">
        <f>'d3'!I100-'d3-П'!I100</f>
        <v>650000</v>
      </c>
      <c r="J100" s="501">
        <f>'d3'!J100-'d3-П'!J100</f>
        <v>0</v>
      </c>
      <c r="K100" s="501">
        <f>'d3'!K100-'d3-П'!K100</f>
        <v>0</v>
      </c>
      <c r="L100" s="501">
        <f>'d3'!L100-'d3-П'!L100</f>
        <v>0</v>
      </c>
      <c r="M100" s="501">
        <f>'d3'!M100-'d3-П'!M100</f>
        <v>0</v>
      </c>
      <c r="N100" s="501">
        <f>'d3'!N100-'d3-П'!N100</f>
        <v>0</v>
      </c>
      <c r="O100" s="501">
        <f>'d3'!O100-'d3-П'!O100</f>
        <v>0</v>
      </c>
      <c r="P100" s="501">
        <f>'d3'!P100-'d3-П'!P100</f>
        <v>2500000</v>
      </c>
      <c r="Q100" s="34"/>
      <c r="R100" s="24"/>
    </row>
    <row r="101" spans="1:18" s="31" customFormat="1" ht="210.75" customHeight="1" thickTop="1" thickBot="1" x14ac:dyDescent="0.25">
      <c r="A101" s="94" t="s">
        <v>420</v>
      </c>
      <c r="B101" s="94" t="s">
        <v>421</v>
      </c>
      <c r="C101" s="94" t="s">
        <v>180</v>
      </c>
      <c r="D101" s="94" t="s">
        <v>419</v>
      </c>
      <c r="E101" s="501">
        <f>'d3'!E101-'d3-П'!E101</f>
        <v>1850000</v>
      </c>
      <c r="F101" s="501">
        <f>'d3'!F101-'d3-П'!F101</f>
        <v>1850000</v>
      </c>
      <c r="G101" s="501">
        <f>'d3'!G101-'d3-П'!G101</f>
        <v>0</v>
      </c>
      <c r="H101" s="501">
        <f>'d3'!H101-'d3-П'!H101</f>
        <v>0</v>
      </c>
      <c r="I101" s="501">
        <f>'d3'!I101-'d3-П'!I101</f>
        <v>0</v>
      </c>
      <c r="J101" s="501">
        <f>'d3'!J101-'d3-П'!J101</f>
        <v>0</v>
      </c>
      <c r="K101" s="501">
        <f>'d3'!K101-'d3-П'!K101</f>
        <v>0</v>
      </c>
      <c r="L101" s="501">
        <f>'d3'!L101-'d3-П'!L101</f>
        <v>0</v>
      </c>
      <c r="M101" s="501">
        <f>'d3'!M101-'d3-П'!M101</f>
        <v>0</v>
      </c>
      <c r="N101" s="501">
        <f>'d3'!N101-'d3-П'!N101</f>
        <v>0</v>
      </c>
      <c r="O101" s="501">
        <f>'d3'!O101-'d3-П'!O101</f>
        <v>0</v>
      </c>
      <c r="P101" s="501">
        <f>'d3'!P101-'d3-П'!P101</f>
        <v>1850000</v>
      </c>
      <c r="Q101" s="34"/>
      <c r="R101" s="37"/>
    </row>
    <row r="102" spans="1:18" s="31" customFormat="1" ht="93" hidden="1" thickTop="1" thickBot="1" x14ac:dyDescent="0.25">
      <c r="A102" s="119" t="s">
        <v>1111</v>
      </c>
      <c r="B102" s="119" t="s">
        <v>1080</v>
      </c>
      <c r="C102" s="119" t="s">
        <v>201</v>
      </c>
      <c r="D102" s="277" t="s">
        <v>1081</v>
      </c>
      <c r="E102" s="118"/>
      <c r="F102" s="125"/>
      <c r="G102" s="125"/>
      <c r="H102" s="125"/>
      <c r="I102" s="125"/>
      <c r="J102" s="118"/>
      <c r="K102" s="125"/>
      <c r="L102" s="125"/>
      <c r="M102" s="125"/>
      <c r="N102" s="125"/>
      <c r="O102" s="123"/>
      <c r="P102" s="118"/>
      <c r="Q102" s="34"/>
      <c r="R102" s="37"/>
    </row>
    <row r="103" spans="1:18" s="31" customFormat="1" ht="96.75" customHeight="1" thickTop="1" thickBot="1" x14ac:dyDescent="0.25">
      <c r="A103" s="94" t="s">
        <v>1582</v>
      </c>
      <c r="B103" s="94" t="s">
        <v>323</v>
      </c>
      <c r="C103" s="94" t="s">
        <v>186</v>
      </c>
      <c r="D103" s="507" t="s">
        <v>1702</v>
      </c>
      <c r="E103" s="501">
        <f>'d3'!E103-'d3-П'!E103</f>
        <v>650000</v>
      </c>
      <c r="F103" s="501">
        <f>'d3'!F103-'d3-П'!F103</f>
        <v>0</v>
      </c>
      <c r="G103" s="501">
        <f>'d3'!G103-'d3-П'!G103</f>
        <v>0</v>
      </c>
      <c r="H103" s="501">
        <f>'d3'!H103-'d3-П'!H103</f>
        <v>0</v>
      </c>
      <c r="I103" s="501">
        <f>'d3'!I103-'d3-П'!I103</f>
        <v>650000</v>
      </c>
      <c r="J103" s="501">
        <f>'d3'!J103-'d3-П'!J103</f>
        <v>0</v>
      </c>
      <c r="K103" s="501">
        <f>'d3'!K103-'d3-П'!K103</f>
        <v>0</v>
      </c>
      <c r="L103" s="501">
        <f>'d3'!L103-'d3-П'!L103</f>
        <v>0</v>
      </c>
      <c r="M103" s="501">
        <f>'d3'!M103-'d3-П'!M103</f>
        <v>0</v>
      </c>
      <c r="N103" s="501">
        <f>'d3'!N103-'d3-П'!N103</f>
        <v>0</v>
      </c>
      <c r="O103" s="501">
        <f>'d3'!O103-'d3-П'!O103</f>
        <v>0</v>
      </c>
      <c r="P103" s="501">
        <f>'d3'!P103-'d3-П'!P103</f>
        <v>650000</v>
      </c>
      <c r="Q103" s="34"/>
      <c r="R103" s="37"/>
    </row>
    <row r="104" spans="1:18" s="31" customFormat="1" ht="86.25" customHeight="1" thickTop="1" thickBot="1" x14ac:dyDescent="0.25">
      <c r="A104" s="239" t="s">
        <v>1008</v>
      </c>
      <c r="B104" s="239" t="s">
        <v>713</v>
      </c>
      <c r="C104" s="239"/>
      <c r="D104" s="239" t="s">
        <v>1007</v>
      </c>
      <c r="E104" s="501">
        <f>'d3'!E104-'d3-П'!E104</f>
        <v>1000000</v>
      </c>
      <c r="F104" s="501">
        <f>'d3'!F104-'d3-П'!F104</f>
        <v>0</v>
      </c>
      <c r="G104" s="501">
        <f>'d3'!G104-'d3-П'!G104</f>
        <v>0</v>
      </c>
      <c r="H104" s="501">
        <f>'d3'!H104-'d3-П'!H104</f>
        <v>0</v>
      </c>
      <c r="I104" s="501">
        <f>'d3'!I104-'d3-П'!I104</f>
        <v>1000000</v>
      </c>
      <c r="J104" s="501">
        <f>'d3'!J104-'d3-П'!J104</f>
        <v>0</v>
      </c>
      <c r="K104" s="501">
        <f>'d3'!K104-'d3-П'!K104</f>
        <v>0</v>
      </c>
      <c r="L104" s="501">
        <f>'d3'!L104-'d3-П'!L104</f>
        <v>0</v>
      </c>
      <c r="M104" s="501">
        <f>'d3'!M104-'d3-П'!M104</f>
        <v>0</v>
      </c>
      <c r="N104" s="501">
        <f>'d3'!N104-'d3-П'!N104</f>
        <v>0</v>
      </c>
      <c r="O104" s="501">
        <f>'d3'!O104-'d3-П'!O104</f>
        <v>0</v>
      </c>
      <c r="P104" s="501">
        <f>'d3'!P104-'d3-П'!P104</f>
        <v>1000000</v>
      </c>
      <c r="Q104" s="34"/>
      <c r="R104" s="24"/>
    </row>
    <row r="105" spans="1:18" s="31" customFormat="1" ht="47.25" hidden="1" thickTop="1" thickBot="1" x14ac:dyDescent="0.25">
      <c r="A105" s="127" t="s">
        <v>1421</v>
      </c>
      <c r="B105" s="348" t="s">
        <v>765</v>
      </c>
      <c r="C105" s="348"/>
      <c r="D105" s="348" t="s">
        <v>1394</v>
      </c>
      <c r="E105" s="501">
        <f>'d3'!E105-'d3-П'!E105</f>
        <v>0</v>
      </c>
      <c r="F105" s="501">
        <f>'d3'!F105-'d3-П'!F105</f>
        <v>0</v>
      </c>
      <c r="G105" s="501">
        <f>'d3'!G105-'d3-П'!G105</f>
        <v>0</v>
      </c>
      <c r="H105" s="501">
        <f>'d3'!H105-'d3-П'!H105</f>
        <v>0</v>
      </c>
      <c r="I105" s="501">
        <f>'d3'!I105-'d3-П'!I105</f>
        <v>0</v>
      </c>
      <c r="J105" s="501">
        <f>'d3'!J105-'d3-П'!J105</f>
        <v>0</v>
      </c>
      <c r="K105" s="501">
        <f>'d3'!K105-'d3-П'!K105</f>
        <v>0</v>
      </c>
      <c r="L105" s="501">
        <f>'d3'!L105-'d3-П'!L105</f>
        <v>0</v>
      </c>
      <c r="M105" s="501">
        <f>'d3'!M105-'d3-П'!M105</f>
        <v>0</v>
      </c>
      <c r="N105" s="501">
        <f>'d3'!N105-'d3-П'!N105</f>
        <v>0</v>
      </c>
      <c r="O105" s="501">
        <f>'d3'!O105-'d3-П'!O105</f>
        <v>0</v>
      </c>
      <c r="P105" s="501">
        <f>'d3'!P105-'d3-П'!P105</f>
        <v>0</v>
      </c>
      <c r="Q105" s="34"/>
      <c r="R105" s="24"/>
    </row>
    <row r="106" spans="1:18" s="31" customFormat="1" ht="54" hidden="1" thickTop="1" thickBot="1" x14ac:dyDescent="0.25">
      <c r="A106" s="119" t="s">
        <v>1422</v>
      </c>
      <c r="B106" s="349" t="s">
        <v>308</v>
      </c>
      <c r="C106" s="349" t="s">
        <v>298</v>
      </c>
      <c r="D106" s="349" t="s">
        <v>1279</v>
      </c>
      <c r="E106" s="501">
        <f>'d3'!E106-'d3-П'!E106</f>
        <v>0</v>
      </c>
      <c r="F106" s="501">
        <f>'d3'!F106-'d3-П'!F106</f>
        <v>0</v>
      </c>
      <c r="G106" s="501">
        <f>'d3'!G106-'d3-П'!G106</f>
        <v>0</v>
      </c>
      <c r="H106" s="501">
        <f>'d3'!H106-'d3-П'!H106</f>
        <v>0</v>
      </c>
      <c r="I106" s="501">
        <f>'d3'!I106-'d3-П'!I106</f>
        <v>0</v>
      </c>
      <c r="J106" s="501">
        <f>'d3'!J106-'d3-П'!J106</f>
        <v>0</v>
      </c>
      <c r="K106" s="501">
        <f>'d3'!K106-'d3-П'!K106</f>
        <v>0</v>
      </c>
      <c r="L106" s="501">
        <f>'d3'!L106-'d3-П'!L106</f>
        <v>0</v>
      </c>
      <c r="M106" s="501">
        <f>'d3'!M106-'d3-П'!M106</f>
        <v>0</v>
      </c>
      <c r="N106" s="501">
        <f>'d3'!N106-'d3-П'!N106</f>
        <v>0</v>
      </c>
      <c r="O106" s="501">
        <f>'d3'!O106-'d3-П'!O106</f>
        <v>0</v>
      </c>
      <c r="P106" s="501">
        <f>'d3'!P106-'d3-П'!P106</f>
        <v>0</v>
      </c>
      <c r="Q106" s="34"/>
      <c r="R106" s="24"/>
    </row>
    <row r="107" spans="1:18" s="31" customFormat="1" ht="99.75" customHeight="1" thickTop="1" thickBot="1" x14ac:dyDescent="0.25">
      <c r="A107" s="508" t="s">
        <v>1009</v>
      </c>
      <c r="B107" s="508" t="s">
        <v>659</v>
      </c>
      <c r="C107" s="508"/>
      <c r="D107" s="508" t="s">
        <v>657</v>
      </c>
      <c r="E107" s="501">
        <f>'d3'!E107-'d3-П'!E107</f>
        <v>1000000</v>
      </c>
      <c r="F107" s="501">
        <f>'d3'!F107-'d3-П'!F107</f>
        <v>0</v>
      </c>
      <c r="G107" s="501">
        <f>'d3'!G107-'d3-П'!G107</f>
        <v>0</v>
      </c>
      <c r="H107" s="501">
        <f>'d3'!H107-'d3-П'!H107</f>
        <v>0</v>
      </c>
      <c r="I107" s="501">
        <f>'d3'!I107-'d3-П'!I107</f>
        <v>1000000</v>
      </c>
      <c r="J107" s="501">
        <f>'d3'!J107-'d3-П'!J107</f>
        <v>0</v>
      </c>
      <c r="K107" s="501">
        <f>'d3'!K107-'d3-П'!K107</f>
        <v>0</v>
      </c>
      <c r="L107" s="501">
        <f>'d3'!L107-'d3-П'!L107</f>
        <v>0</v>
      </c>
      <c r="M107" s="501">
        <f>'d3'!M107-'d3-П'!M107</f>
        <v>0</v>
      </c>
      <c r="N107" s="501">
        <f>'d3'!N107-'d3-П'!N107</f>
        <v>0</v>
      </c>
      <c r="O107" s="501">
        <f>'d3'!O107-'d3-П'!O107</f>
        <v>0</v>
      </c>
      <c r="P107" s="501">
        <f>'d3'!P107-'d3-П'!P107</f>
        <v>1000000</v>
      </c>
      <c r="Q107" s="28"/>
      <c r="R107" s="24"/>
    </row>
    <row r="108" spans="1:18" s="31" customFormat="1" ht="90.75" customHeight="1" thickTop="1" thickBot="1" x14ac:dyDescent="0.25">
      <c r="A108" s="94" t="s">
        <v>1010</v>
      </c>
      <c r="B108" s="94" t="s">
        <v>207</v>
      </c>
      <c r="C108" s="94" t="s">
        <v>208</v>
      </c>
      <c r="D108" s="94" t="s">
        <v>40</v>
      </c>
      <c r="E108" s="501">
        <f>'d3'!E108-'d3-П'!E108</f>
        <v>1000000</v>
      </c>
      <c r="F108" s="501">
        <f>'d3'!F108-'d3-П'!F108</f>
        <v>0</v>
      </c>
      <c r="G108" s="501">
        <f>'d3'!G108-'d3-П'!G108</f>
        <v>0</v>
      </c>
      <c r="H108" s="501">
        <f>'d3'!H108-'d3-П'!H108</f>
        <v>0</v>
      </c>
      <c r="I108" s="501">
        <f>'d3'!I108-'d3-П'!I108</f>
        <v>1000000</v>
      </c>
      <c r="J108" s="501">
        <f>'d3'!J108-'d3-П'!J108</f>
        <v>0</v>
      </c>
      <c r="K108" s="501">
        <f>'d3'!K108-'d3-П'!K108</f>
        <v>0</v>
      </c>
      <c r="L108" s="501">
        <f>'d3'!L108-'d3-П'!L108</f>
        <v>0</v>
      </c>
      <c r="M108" s="501">
        <f>'d3'!M108-'d3-П'!M108</f>
        <v>0</v>
      </c>
      <c r="N108" s="501">
        <f>'d3'!N108-'d3-П'!N108</f>
        <v>0</v>
      </c>
      <c r="O108" s="501">
        <f>'d3'!O108-'d3-П'!O108</f>
        <v>0</v>
      </c>
      <c r="P108" s="501">
        <f>'d3'!P108-'d3-П'!P108</f>
        <v>1000000</v>
      </c>
      <c r="Q108" s="28"/>
      <c r="R108" s="24"/>
    </row>
    <row r="109" spans="1:18" s="31" customFormat="1" ht="47.25" hidden="1" thickTop="1" thickBot="1" x14ac:dyDescent="0.25">
      <c r="A109" s="116" t="s">
        <v>1103</v>
      </c>
      <c r="B109" s="116" t="s">
        <v>664</v>
      </c>
      <c r="C109" s="116"/>
      <c r="D109" s="116" t="s">
        <v>665</v>
      </c>
      <c r="E109" s="118">
        <f>E112+E110</f>
        <v>0</v>
      </c>
      <c r="F109" s="118">
        <f t="shared" ref="F109:P109" si="6">F112+F110</f>
        <v>0</v>
      </c>
      <c r="G109" s="118">
        <f t="shared" si="6"/>
        <v>0</v>
      </c>
      <c r="H109" s="118">
        <f t="shared" si="6"/>
        <v>0</v>
      </c>
      <c r="I109" s="118">
        <f t="shared" si="6"/>
        <v>0</v>
      </c>
      <c r="J109" s="118">
        <f t="shared" si="6"/>
        <v>0</v>
      </c>
      <c r="K109" s="118">
        <f t="shared" si="6"/>
        <v>0</v>
      </c>
      <c r="L109" s="118">
        <f t="shared" si="6"/>
        <v>0</v>
      </c>
      <c r="M109" s="118">
        <f t="shared" si="6"/>
        <v>0</v>
      </c>
      <c r="N109" s="118">
        <f t="shared" si="6"/>
        <v>0</v>
      </c>
      <c r="O109" s="118">
        <f t="shared" si="6"/>
        <v>0</v>
      </c>
      <c r="P109" s="118">
        <f t="shared" si="6"/>
        <v>0</v>
      </c>
      <c r="Q109" s="28"/>
      <c r="R109" s="24"/>
    </row>
    <row r="110" spans="1:18" s="31" customFormat="1" ht="47.25" hidden="1" thickTop="1" thickBot="1" x14ac:dyDescent="0.25">
      <c r="A110" s="127" t="s">
        <v>1462</v>
      </c>
      <c r="B110" s="127" t="s">
        <v>774</v>
      </c>
      <c r="C110" s="127"/>
      <c r="D110" s="127" t="s">
        <v>1140</v>
      </c>
      <c r="E110" s="128">
        <f>E111</f>
        <v>0</v>
      </c>
      <c r="F110" s="128">
        <f t="shared" ref="F110:P110" si="7">F111</f>
        <v>0</v>
      </c>
      <c r="G110" s="128">
        <f t="shared" si="7"/>
        <v>0</v>
      </c>
      <c r="H110" s="128">
        <f t="shared" si="7"/>
        <v>0</v>
      </c>
      <c r="I110" s="128">
        <f t="shared" si="7"/>
        <v>0</v>
      </c>
      <c r="J110" s="128">
        <f t="shared" si="7"/>
        <v>0</v>
      </c>
      <c r="K110" s="128">
        <f t="shared" si="7"/>
        <v>0</v>
      </c>
      <c r="L110" s="128">
        <f t="shared" si="7"/>
        <v>0</v>
      </c>
      <c r="M110" s="128">
        <f t="shared" si="7"/>
        <v>0</v>
      </c>
      <c r="N110" s="128">
        <f t="shared" si="7"/>
        <v>0</v>
      </c>
      <c r="O110" s="128">
        <f t="shared" si="7"/>
        <v>0</v>
      </c>
      <c r="P110" s="128">
        <f t="shared" si="7"/>
        <v>0</v>
      </c>
      <c r="Q110" s="28"/>
      <c r="R110" s="24"/>
    </row>
    <row r="111" spans="1:18" s="31" customFormat="1" ht="93" hidden="1" thickTop="1" thickBot="1" x14ac:dyDescent="0.25">
      <c r="A111" s="119" t="s">
        <v>1463</v>
      </c>
      <c r="B111" s="119" t="s">
        <v>499</v>
      </c>
      <c r="C111" s="119" t="s">
        <v>245</v>
      </c>
      <c r="D111" s="119" t="s">
        <v>500</v>
      </c>
      <c r="E111" s="118"/>
      <c r="F111" s="125">
        <v>0</v>
      </c>
      <c r="G111" s="125"/>
      <c r="H111" s="125"/>
      <c r="I111" s="125"/>
      <c r="J111" s="118">
        <f t="shared" ref="J111" si="8">L111+O111</f>
        <v>0</v>
      </c>
      <c r="K111" s="125"/>
      <c r="L111" s="125"/>
      <c r="M111" s="125"/>
      <c r="N111" s="125"/>
      <c r="O111" s="123">
        <f t="shared" ref="O111" si="9">K111</f>
        <v>0</v>
      </c>
      <c r="P111" s="118">
        <f>E111+J111</f>
        <v>0</v>
      </c>
      <c r="Q111" s="28"/>
      <c r="R111" s="24"/>
    </row>
    <row r="112" spans="1:18" s="31" customFormat="1" ht="47.25" hidden="1" thickTop="1" thickBot="1" x14ac:dyDescent="0.25">
      <c r="A112" s="127" t="s">
        <v>1104</v>
      </c>
      <c r="B112" s="127" t="s">
        <v>1066</v>
      </c>
      <c r="C112" s="127"/>
      <c r="D112" s="127" t="s">
        <v>1064</v>
      </c>
      <c r="E112" s="128">
        <f t="shared" ref="E112:P112" si="10">E113</f>
        <v>0</v>
      </c>
      <c r="F112" s="128">
        <f t="shared" si="10"/>
        <v>0</v>
      </c>
      <c r="G112" s="128">
        <f t="shared" si="10"/>
        <v>0</v>
      </c>
      <c r="H112" s="128">
        <f t="shared" si="10"/>
        <v>0</v>
      </c>
      <c r="I112" s="128">
        <f t="shared" si="10"/>
        <v>0</v>
      </c>
      <c r="J112" s="128">
        <f t="shared" si="10"/>
        <v>0</v>
      </c>
      <c r="K112" s="128">
        <f t="shared" si="10"/>
        <v>0</v>
      </c>
      <c r="L112" s="128">
        <f t="shared" si="10"/>
        <v>0</v>
      </c>
      <c r="M112" s="128">
        <f t="shared" si="10"/>
        <v>0</v>
      </c>
      <c r="N112" s="128">
        <f t="shared" si="10"/>
        <v>0</v>
      </c>
      <c r="O112" s="128">
        <f t="shared" si="10"/>
        <v>0</v>
      </c>
      <c r="P112" s="128">
        <f t="shared" si="10"/>
        <v>0</v>
      </c>
      <c r="Q112" s="28"/>
      <c r="R112" s="24"/>
    </row>
    <row r="113" spans="1:18" s="31" customFormat="1" ht="48" hidden="1" thickTop="1" thickBot="1" x14ac:dyDescent="0.25">
      <c r="A113" s="119" t="s">
        <v>1105</v>
      </c>
      <c r="B113" s="119" t="s">
        <v>1070</v>
      </c>
      <c r="C113" s="119" t="s">
        <v>1068</v>
      </c>
      <c r="D113" s="119" t="s">
        <v>1067</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952</v>
      </c>
      <c r="B114" s="137" t="s">
        <v>669</v>
      </c>
      <c r="C114" s="137"/>
      <c r="D114" s="137" t="s">
        <v>670</v>
      </c>
      <c r="E114" s="40">
        <f>E115</f>
        <v>0</v>
      </c>
      <c r="F114" s="40">
        <f t="shared" ref="F114:P115" si="11">F115</f>
        <v>0</v>
      </c>
      <c r="G114" s="40">
        <f t="shared" si="11"/>
        <v>0</v>
      </c>
      <c r="H114" s="40">
        <f t="shared" si="11"/>
        <v>0</v>
      </c>
      <c r="I114" s="40">
        <f t="shared" si="11"/>
        <v>0</v>
      </c>
      <c r="J114" s="40">
        <f t="shared" si="11"/>
        <v>0</v>
      </c>
      <c r="K114" s="40">
        <f t="shared" si="11"/>
        <v>0</v>
      </c>
      <c r="L114" s="40">
        <f t="shared" si="11"/>
        <v>0</v>
      </c>
      <c r="M114" s="40">
        <f t="shared" si="11"/>
        <v>0</v>
      </c>
      <c r="N114" s="40">
        <f t="shared" si="11"/>
        <v>0</v>
      </c>
      <c r="O114" s="40">
        <f t="shared" si="11"/>
        <v>0</v>
      </c>
      <c r="P114" s="40">
        <f t="shared" si="11"/>
        <v>0</v>
      </c>
      <c r="Q114" s="34"/>
      <c r="R114" s="24"/>
    </row>
    <row r="115" spans="1:18" s="31" customFormat="1" ht="91.5" hidden="1" thickTop="1" thickBot="1" x14ac:dyDescent="0.25">
      <c r="A115" s="138" t="s">
        <v>953</v>
      </c>
      <c r="B115" s="138" t="s">
        <v>672</v>
      </c>
      <c r="C115" s="138"/>
      <c r="D115" s="138" t="s">
        <v>673</v>
      </c>
      <c r="E115" s="139">
        <f>E116</f>
        <v>0</v>
      </c>
      <c r="F115" s="139">
        <f t="shared" si="11"/>
        <v>0</v>
      </c>
      <c r="G115" s="139">
        <f t="shared" si="11"/>
        <v>0</v>
      </c>
      <c r="H115" s="139">
        <f t="shared" si="11"/>
        <v>0</v>
      </c>
      <c r="I115" s="139">
        <f t="shared" si="11"/>
        <v>0</v>
      </c>
      <c r="J115" s="139">
        <f t="shared" si="11"/>
        <v>0</v>
      </c>
      <c r="K115" s="139">
        <f t="shared" si="11"/>
        <v>0</v>
      </c>
      <c r="L115" s="139">
        <f t="shared" si="11"/>
        <v>0</v>
      </c>
      <c r="M115" s="139">
        <f t="shared" si="11"/>
        <v>0</v>
      </c>
      <c r="N115" s="139">
        <f t="shared" si="11"/>
        <v>0</v>
      </c>
      <c r="O115" s="139">
        <f t="shared" si="11"/>
        <v>0</v>
      </c>
      <c r="P115" s="139">
        <f t="shared" si="11"/>
        <v>0</v>
      </c>
      <c r="Q115" s="34"/>
      <c r="R115" s="24"/>
    </row>
    <row r="116" spans="1:18" s="31" customFormat="1" ht="48" hidden="1" thickTop="1" thickBot="1" x14ac:dyDescent="0.25">
      <c r="A116" s="39" t="s">
        <v>954</v>
      </c>
      <c r="B116" s="39" t="s">
        <v>353</v>
      </c>
      <c r="C116" s="39" t="s">
        <v>42</v>
      </c>
      <c r="D116" s="39" t="s">
        <v>354</v>
      </c>
      <c r="E116" s="40">
        <f t="shared" ref="E116" si="12">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4" t="s">
        <v>149</v>
      </c>
      <c r="B117" s="514"/>
      <c r="C117" s="514"/>
      <c r="D117" s="515" t="s">
        <v>18</v>
      </c>
      <c r="E117" s="516">
        <f>E118</f>
        <v>13240546.219999999</v>
      </c>
      <c r="F117" s="517">
        <f t="shared" ref="F117:G117" si="13">F118</f>
        <v>4241552.2199999988</v>
      </c>
      <c r="G117" s="517">
        <f t="shared" si="13"/>
        <v>0</v>
      </c>
      <c r="H117" s="517">
        <f>H118</f>
        <v>0</v>
      </c>
      <c r="I117" s="517">
        <f t="shared" ref="I117" si="14">I118</f>
        <v>8998994</v>
      </c>
      <c r="J117" s="516">
        <f>J118</f>
        <v>1500000</v>
      </c>
      <c r="K117" s="517">
        <f>K118</f>
        <v>1500000</v>
      </c>
      <c r="L117" s="517">
        <f>L118</f>
        <v>0</v>
      </c>
      <c r="M117" s="517">
        <f t="shared" ref="M117" si="15">M118</f>
        <v>0</v>
      </c>
      <c r="N117" s="517">
        <f>N118</f>
        <v>0</v>
      </c>
      <c r="O117" s="516">
        <f>O118</f>
        <v>1500000</v>
      </c>
      <c r="P117" s="517">
        <f>P118</f>
        <v>14740546.219999999</v>
      </c>
      <c r="Q117" s="18"/>
    </row>
    <row r="118" spans="1:18" ht="178.5" customHeight="1" thickTop="1" thickBot="1" x14ac:dyDescent="0.25">
      <c r="A118" s="511" t="s">
        <v>150</v>
      </c>
      <c r="B118" s="511"/>
      <c r="C118" s="511"/>
      <c r="D118" s="512" t="s">
        <v>35</v>
      </c>
      <c r="E118" s="513">
        <f>E119+E122+E138+E142+E148</f>
        <v>13240546.219999999</v>
      </c>
      <c r="F118" s="513">
        <f t="shared" ref="F118:P118" si="16">F119+F122+F138+F142+F148</f>
        <v>4241552.2199999988</v>
      </c>
      <c r="G118" s="513">
        <f t="shared" si="16"/>
        <v>0</v>
      </c>
      <c r="H118" s="513">
        <f t="shared" si="16"/>
        <v>0</v>
      </c>
      <c r="I118" s="513">
        <f t="shared" si="16"/>
        <v>8998994</v>
      </c>
      <c r="J118" s="513">
        <f t="shared" si="16"/>
        <v>1500000</v>
      </c>
      <c r="K118" s="513">
        <f t="shared" si="16"/>
        <v>1500000</v>
      </c>
      <c r="L118" s="513">
        <f t="shared" si="16"/>
        <v>0</v>
      </c>
      <c r="M118" s="513">
        <f t="shared" si="16"/>
        <v>0</v>
      </c>
      <c r="N118" s="513">
        <f t="shared" si="16"/>
        <v>0</v>
      </c>
      <c r="O118" s="513">
        <f t="shared" si="16"/>
        <v>1500000</v>
      </c>
      <c r="P118" s="513">
        <f t="shared" si="16"/>
        <v>14740546.219999999</v>
      </c>
      <c r="Q118" s="597" t="b">
        <f>P118=P120+P123+P124+P125+P126+P129+P133+P134+P137+P141+P140+P150</f>
        <v>1</v>
      </c>
      <c r="R118" s="24"/>
    </row>
    <row r="119" spans="1:18" ht="90.75" customHeight="1" thickTop="1" thickBot="1" x14ac:dyDescent="0.25">
      <c r="A119" s="239" t="s">
        <v>680</v>
      </c>
      <c r="B119" s="239" t="s">
        <v>652</v>
      </c>
      <c r="C119" s="239"/>
      <c r="D119" s="239" t="s">
        <v>653</v>
      </c>
      <c r="E119" s="501">
        <f>'d3'!E119-'d3-П'!E119</f>
        <v>0</v>
      </c>
      <c r="F119" s="501">
        <f>'d3'!F119-'d3-П'!F119</f>
        <v>0</v>
      </c>
      <c r="G119" s="501">
        <f>'d3'!G119-'d3-П'!G119</f>
        <v>0</v>
      </c>
      <c r="H119" s="501">
        <f>'d3'!H119-'d3-П'!H119</f>
        <v>0</v>
      </c>
      <c r="I119" s="501">
        <f>'d3'!I119-'d3-П'!I119</f>
        <v>0</v>
      </c>
      <c r="J119" s="501">
        <f>'d3'!J119-'d3-П'!J119</f>
        <v>0</v>
      </c>
      <c r="K119" s="501">
        <f>'d3'!K119-'d3-П'!K119</f>
        <v>0</v>
      </c>
      <c r="L119" s="501">
        <f>'d3'!L119-'d3-П'!L119</f>
        <v>0</v>
      </c>
      <c r="M119" s="501">
        <f>'d3'!M119-'d3-П'!M119</f>
        <v>0</v>
      </c>
      <c r="N119" s="501">
        <f>'d3'!N119-'d3-П'!N119</f>
        <v>0</v>
      </c>
      <c r="O119" s="501">
        <f>'d3'!O119-'d3-П'!O119</f>
        <v>0</v>
      </c>
      <c r="P119" s="501">
        <f>'d3'!P119-'d3-П'!P119</f>
        <v>0</v>
      </c>
      <c r="Q119" s="28"/>
      <c r="R119" s="24"/>
    </row>
    <row r="120" spans="1:18" ht="130.69999999999999" customHeight="1" thickTop="1" thickBot="1" x14ac:dyDescent="0.25">
      <c r="A120" s="94" t="s">
        <v>405</v>
      </c>
      <c r="B120" s="94" t="s">
        <v>231</v>
      </c>
      <c r="C120" s="94" t="s">
        <v>229</v>
      </c>
      <c r="D120" s="94" t="s">
        <v>1515</v>
      </c>
      <c r="E120" s="501">
        <f>'d3'!E120-'d3-П'!E120</f>
        <v>0</v>
      </c>
      <c r="F120" s="501">
        <f>'d3'!F120-'d3-П'!F120</f>
        <v>0</v>
      </c>
      <c r="G120" s="501">
        <f>'d3'!G120-'d3-П'!G120</f>
        <v>0</v>
      </c>
      <c r="H120" s="501">
        <f>'d3'!H120-'d3-П'!H120</f>
        <v>0</v>
      </c>
      <c r="I120" s="501">
        <f>'d3'!I120-'d3-П'!I120</f>
        <v>0</v>
      </c>
      <c r="J120" s="501">
        <f>'d3'!J120-'d3-П'!J120</f>
        <v>0</v>
      </c>
      <c r="K120" s="501">
        <f>'d3'!K120-'d3-П'!K120</f>
        <v>0</v>
      </c>
      <c r="L120" s="501">
        <f>'d3'!L120-'d3-П'!L120</f>
        <v>0</v>
      </c>
      <c r="M120" s="501">
        <f>'d3'!M120-'d3-П'!M120</f>
        <v>0</v>
      </c>
      <c r="N120" s="501">
        <f>'d3'!N120-'d3-П'!N120</f>
        <v>0</v>
      </c>
      <c r="O120" s="501">
        <f>'d3'!O120-'d3-П'!O120</f>
        <v>0</v>
      </c>
      <c r="P120" s="501">
        <f>'d3'!P120-'d3-П'!P120</f>
        <v>0</v>
      </c>
      <c r="Q120" s="37"/>
      <c r="R120" s="24"/>
    </row>
    <row r="121" spans="1:18" ht="93" hidden="1" thickTop="1" thickBot="1" x14ac:dyDescent="0.25">
      <c r="A121" s="119" t="s">
        <v>1127</v>
      </c>
      <c r="B121" s="119" t="s">
        <v>352</v>
      </c>
      <c r="C121" s="119" t="s">
        <v>598</v>
      </c>
      <c r="D121" s="119" t="s">
        <v>599</v>
      </c>
      <c r="E121" s="501">
        <f>'d3'!E121-'d3-П'!E121</f>
        <v>0</v>
      </c>
      <c r="F121" s="501">
        <f>'d3'!F121-'d3-П'!F121</f>
        <v>0</v>
      </c>
      <c r="G121" s="501">
        <f>'d3'!G121-'d3-П'!G121</f>
        <v>0</v>
      </c>
      <c r="H121" s="501">
        <f>'d3'!H121-'d3-П'!H121</f>
        <v>0</v>
      </c>
      <c r="I121" s="501">
        <f>'d3'!I121-'d3-П'!I121</f>
        <v>0</v>
      </c>
      <c r="J121" s="501">
        <f>'d3'!J121-'d3-П'!J121</f>
        <v>0</v>
      </c>
      <c r="K121" s="501">
        <f>'d3'!K121-'d3-П'!K121</f>
        <v>0</v>
      </c>
      <c r="L121" s="501">
        <f>'d3'!L121-'d3-П'!L121</f>
        <v>0</v>
      </c>
      <c r="M121" s="501">
        <f>'d3'!M121-'d3-П'!M121</f>
        <v>0</v>
      </c>
      <c r="N121" s="501">
        <f>'d3'!N121-'d3-П'!N121</f>
        <v>0</v>
      </c>
      <c r="O121" s="501">
        <f>'d3'!O121-'d3-П'!O121</f>
        <v>0</v>
      </c>
      <c r="P121" s="501">
        <f>'d3'!P121-'d3-П'!P121</f>
        <v>0</v>
      </c>
      <c r="Q121" s="37"/>
      <c r="R121" s="24"/>
    </row>
    <row r="122" spans="1:18" ht="90.75" customHeight="1" thickTop="1" thickBot="1" x14ac:dyDescent="0.25">
      <c r="A122" s="239" t="s">
        <v>681</v>
      </c>
      <c r="B122" s="239" t="s">
        <v>682</v>
      </c>
      <c r="C122" s="239"/>
      <c r="D122" s="239" t="s">
        <v>683</v>
      </c>
      <c r="E122" s="501">
        <f>'d3'!E122-'d3-П'!E122</f>
        <v>12740546.219999999</v>
      </c>
      <c r="F122" s="501">
        <f>'d3'!F122-'d3-П'!F122</f>
        <v>4241552.2199999988</v>
      </c>
      <c r="G122" s="501">
        <f>'d3'!G122-'d3-П'!G122</f>
        <v>0</v>
      </c>
      <c r="H122" s="501">
        <f>'d3'!H122-'d3-П'!H122</f>
        <v>0</v>
      </c>
      <c r="I122" s="501">
        <f>'d3'!I122-'d3-П'!I122</f>
        <v>8498994</v>
      </c>
      <c r="J122" s="501">
        <f>'d3'!J122-'d3-П'!J122</f>
        <v>1500000</v>
      </c>
      <c r="K122" s="501">
        <f>'d3'!K122-'d3-П'!K122</f>
        <v>1500000</v>
      </c>
      <c r="L122" s="501">
        <f>'d3'!L122-'d3-П'!L122</f>
        <v>0</v>
      </c>
      <c r="M122" s="501">
        <f>'d3'!M122-'d3-П'!M122</f>
        <v>0</v>
      </c>
      <c r="N122" s="501">
        <f>'d3'!N122-'d3-П'!N122</f>
        <v>0</v>
      </c>
      <c r="O122" s="501">
        <f>'d3'!O122-'d3-П'!O122</f>
        <v>1500000</v>
      </c>
      <c r="P122" s="501">
        <f>'d3'!P122-'d3-П'!P122</f>
        <v>14240546.219999999</v>
      </c>
      <c r="Q122" s="37"/>
      <c r="R122" s="37"/>
    </row>
    <row r="123" spans="1:18" ht="101.25" customHeight="1" thickTop="1" thickBot="1" x14ac:dyDescent="0.25">
      <c r="A123" s="94" t="s">
        <v>209</v>
      </c>
      <c r="B123" s="94" t="s">
        <v>206</v>
      </c>
      <c r="C123" s="94" t="s">
        <v>210</v>
      </c>
      <c r="D123" s="94" t="s">
        <v>19</v>
      </c>
      <c r="E123" s="501">
        <f>'d3'!E123-'d3-П'!E123</f>
        <v>5560000</v>
      </c>
      <c r="F123" s="501">
        <f>'d3'!F123-'d3-П'!F123</f>
        <v>0</v>
      </c>
      <c r="G123" s="501">
        <f>'d3'!G123-'d3-П'!G123</f>
        <v>0</v>
      </c>
      <c r="H123" s="501">
        <f>'d3'!H123-'d3-П'!H123</f>
        <v>0</v>
      </c>
      <c r="I123" s="501">
        <f>'d3'!I123-'d3-П'!I123</f>
        <v>5560000</v>
      </c>
      <c r="J123" s="501">
        <f>'d3'!J123-'d3-П'!J123</f>
        <v>0</v>
      </c>
      <c r="K123" s="501">
        <f>'d3'!K123-'d3-П'!K123</f>
        <v>0</v>
      </c>
      <c r="L123" s="501">
        <f>'d3'!L123-'d3-П'!L123</f>
        <v>0</v>
      </c>
      <c r="M123" s="501">
        <f>'d3'!M123-'d3-П'!M123</f>
        <v>0</v>
      </c>
      <c r="N123" s="501">
        <f>'d3'!N123-'d3-П'!N123</f>
        <v>0</v>
      </c>
      <c r="O123" s="501">
        <f>'d3'!O123-'d3-П'!O123</f>
        <v>0</v>
      </c>
      <c r="P123" s="501">
        <f>'d3'!P123-'d3-П'!P123</f>
        <v>5560000</v>
      </c>
      <c r="Q123" s="18"/>
      <c r="R123" s="28"/>
    </row>
    <row r="124" spans="1:18" ht="97.5" customHeight="1" thickTop="1" thickBot="1" x14ac:dyDescent="0.25">
      <c r="A124" s="94" t="s">
        <v>488</v>
      </c>
      <c r="B124" s="94" t="s">
        <v>491</v>
      </c>
      <c r="C124" s="94" t="s">
        <v>490</v>
      </c>
      <c r="D124" s="94" t="s">
        <v>489</v>
      </c>
      <c r="E124" s="501">
        <f>'d3'!E124-'d3-П'!E124</f>
        <v>4000000</v>
      </c>
      <c r="F124" s="501">
        <f>'d3'!F124-'d3-П'!F124</f>
        <v>4000000</v>
      </c>
      <c r="G124" s="501">
        <f>'d3'!G124-'d3-П'!G124</f>
        <v>0</v>
      </c>
      <c r="H124" s="501">
        <f>'d3'!H124-'d3-П'!H124</f>
        <v>0</v>
      </c>
      <c r="I124" s="501">
        <f>'d3'!I124-'d3-П'!I124</f>
        <v>0</v>
      </c>
      <c r="J124" s="501">
        <f>'d3'!J124-'d3-П'!J124</f>
        <v>0</v>
      </c>
      <c r="K124" s="501">
        <f>'d3'!K124-'d3-П'!K124</f>
        <v>0</v>
      </c>
      <c r="L124" s="501">
        <f>'d3'!L124-'d3-П'!L124</f>
        <v>0</v>
      </c>
      <c r="M124" s="501">
        <f>'d3'!M124-'d3-П'!M124</f>
        <v>0</v>
      </c>
      <c r="N124" s="501">
        <f>'d3'!N124-'d3-П'!N124</f>
        <v>0</v>
      </c>
      <c r="O124" s="501">
        <f>'d3'!O124-'d3-П'!O124</f>
        <v>0</v>
      </c>
      <c r="P124" s="501">
        <f>'d3'!P124-'d3-П'!P124</f>
        <v>4000000</v>
      </c>
      <c r="Q124" s="18"/>
      <c r="R124" s="37"/>
    </row>
    <row r="125" spans="1:18" ht="94.7" customHeight="1" thickTop="1" thickBot="1" x14ac:dyDescent="0.25">
      <c r="A125" s="94" t="s">
        <v>211</v>
      </c>
      <c r="B125" s="94" t="s">
        <v>212</v>
      </c>
      <c r="C125" s="94" t="s">
        <v>213</v>
      </c>
      <c r="D125" s="94" t="s">
        <v>214</v>
      </c>
      <c r="E125" s="501">
        <f>'d3'!E125-'d3-П'!E125</f>
        <v>2543994</v>
      </c>
      <c r="F125" s="501">
        <f>'d3'!F125-'d3-П'!F125</f>
        <v>0</v>
      </c>
      <c r="G125" s="501">
        <f>'d3'!G125-'d3-П'!G125</f>
        <v>0</v>
      </c>
      <c r="H125" s="501">
        <f>'d3'!H125-'d3-П'!H125</f>
        <v>0</v>
      </c>
      <c r="I125" s="501">
        <f>'d3'!I125-'d3-П'!I125</f>
        <v>2543994</v>
      </c>
      <c r="J125" s="501">
        <f>'d3'!J125-'d3-П'!J125</f>
        <v>0</v>
      </c>
      <c r="K125" s="501">
        <f>'d3'!K125-'d3-П'!K125</f>
        <v>0</v>
      </c>
      <c r="L125" s="501">
        <f>'d3'!L125-'d3-П'!L125</f>
        <v>0</v>
      </c>
      <c r="M125" s="501">
        <f>'d3'!M125-'d3-П'!M125</f>
        <v>0</v>
      </c>
      <c r="N125" s="501">
        <f>'d3'!N125-'d3-П'!N125</f>
        <v>0</v>
      </c>
      <c r="O125" s="501">
        <f>'d3'!O125-'d3-П'!O125</f>
        <v>0</v>
      </c>
      <c r="P125" s="501">
        <f>'d3'!P125-'d3-П'!P125</f>
        <v>2543994</v>
      </c>
      <c r="Q125" s="18"/>
      <c r="R125" s="37"/>
    </row>
    <row r="126" spans="1:18" ht="122.25" customHeight="1" thickTop="1" thickBot="1" x14ac:dyDescent="0.25">
      <c r="A126" s="94" t="s">
        <v>215</v>
      </c>
      <c r="B126" s="94" t="s">
        <v>216</v>
      </c>
      <c r="C126" s="94" t="s">
        <v>217</v>
      </c>
      <c r="D126" s="94" t="s">
        <v>336</v>
      </c>
      <c r="E126" s="501">
        <f>'d3'!E126-'d3-П'!E126</f>
        <v>501552.21999999881</v>
      </c>
      <c r="F126" s="501">
        <f>'d3'!F126-'d3-П'!F126</f>
        <v>151552.21999999881</v>
      </c>
      <c r="G126" s="501">
        <f>'d3'!G126-'d3-П'!G126</f>
        <v>0</v>
      </c>
      <c r="H126" s="501">
        <f>'d3'!H126-'d3-П'!H126</f>
        <v>0</v>
      </c>
      <c r="I126" s="501">
        <f>'d3'!I126-'d3-П'!I126</f>
        <v>350000</v>
      </c>
      <c r="J126" s="501">
        <f>'d3'!J126-'d3-П'!J126</f>
        <v>0</v>
      </c>
      <c r="K126" s="501">
        <f>'d3'!K126-'d3-П'!K126</f>
        <v>0</v>
      </c>
      <c r="L126" s="501">
        <f>'d3'!L126-'d3-П'!L126</f>
        <v>0</v>
      </c>
      <c r="M126" s="501">
        <f>'d3'!M126-'d3-П'!M126</f>
        <v>0</v>
      </c>
      <c r="N126" s="501">
        <f>'d3'!N126-'d3-П'!N126</f>
        <v>0</v>
      </c>
      <c r="O126" s="501">
        <f>'d3'!O126-'d3-П'!O126</f>
        <v>0</v>
      </c>
      <c r="P126" s="501">
        <f>'d3'!P126-'d3-П'!P126</f>
        <v>501552.21999999881</v>
      </c>
      <c r="Q126" s="18"/>
      <c r="R126" s="37"/>
    </row>
    <row r="127" spans="1:18" ht="47.25" hidden="1" thickTop="1" thickBot="1" x14ac:dyDescent="0.25">
      <c r="A127" s="119" t="s">
        <v>218</v>
      </c>
      <c r="B127" s="119" t="s">
        <v>219</v>
      </c>
      <c r="C127" s="119" t="s">
        <v>220</v>
      </c>
      <c r="D127" s="119" t="s">
        <v>221</v>
      </c>
      <c r="E127" s="501">
        <f>'d3'!E127-'d3-П'!E127</f>
        <v>0</v>
      </c>
      <c r="F127" s="501">
        <f>'d3'!F127-'d3-П'!F127</f>
        <v>0</v>
      </c>
      <c r="G127" s="501">
        <f>'d3'!G127-'d3-П'!G127</f>
        <v>0</v>
      </c>
      <c r="H127" s="501">
        <f>'d3'!H127-'d3-П'!H127</f>
        <v>0</v>
      </c>
      <c r="I127" s="501">
        <f>'d3'!I127-'d3-П'!I127</f>
        <v>0</v>
      </c>
      <c r="J127" s="501">
        <f>'d3'!J127-'d3-П'!J127</f>
        <v>0</v>
      </c>
      <c r="K127" s="501">
        <f>'d3'!K127-'d3-П'!K127</f>
        <v>0</v>
      </c>
      <c r="L127" s="501">
        <f>'d3'!L127-'d3-П'!L127</f>
        <v>0</v>
      </c>
      <c r="M127" s="501">
        <f>'d3'!M127-'d3-П'!M127</f>
        <v>0</v>
      </c>
      <c r="N127" s="501">
        <f>'d3'!N127-'d3-П'!N127</f>
        <v>0</v>
      </c>
      <c r="O127" s="501">
        <f>'d3'!O127-'d3-П'!O127</f>
        <v>0</v>
      </c>
      <c r="P127" s="501">
        <f>'d3'!P127-'d3-П'!P127</f>
        <v>0</v>
      </c>
      <c r="Q127" s="18"/>
      <c r="R127" s="37"/>
    </row>
    <row r="128" spans="1:18" ht="95.25" customHeight="1" thickTop="1" thickBot="1" x14ac:dyDescent="0.25">
      <c r="A128" s="518" t="s">
        <v>684</v>
      </c>
      <c r="B128" s="518" t="s">
        <v>685</v>
      </c>
      <c r="C128" s="518"/>
      <c r="D128" s="518" t="s">
        <v>686</v>
      </c>
      <c r="E128" s="501">
        <f>'d3'!E128-'d3-П'!E128</f>
        <v>0</v>
      </c>
      <c r="F128" s="501">
        <f>'d3'!F128-'d3-П'!F128</f>
        <v>0</v>
      </c>
      <c r="G128" s="501">
        <f>'d3'!G128-'d3-П'!G128</f>
        <v>0</v>
      </c>
      <c r="H128" s="501">
        <f>'d3'!H128-'d3-П'!H128</f>
        <v>0</v>
      </c>
      <c r="I128" s="501">
        <f>'d3'!I128-'d3-П'!I128</f>
        <v>0</v>
      </c>
      <c r="J128" s="501">
        <f>'d3'!J128-'d3-П'!J128</f>
        <v>0</v>
      </c>
      <c r="K128" s="501">
        <f>'d3'!K128-'d3-П'!K128</f>
        <v>0</v>
      </c>
      <c r="L128" s="501">
        <f>'d3'!L128-'d3-П'!L128</f>
        <v>0</v>
      </c>
      <c r="M128" s="501">
        <f>'d3'!M128-'d3-П'!M128</f>
        <v>0</v>
      </c>
      <c r="N128" s="501">
        <f>'d3'!N128-'d3-П'!N128</f>
        <v>0</v>
      </c>
      <c r="O128" s="501">
        <f>'d3'!O128-'d3-П'!O128</f>
        <v>0</v>
      </c>
      <c r="P128" s="501">
        <f>'d3'!P128-'d3-П'!P128</f>
        <v>0</v>
      </c>
      <c r="Q128" s="18"/>
      <c r="R128" s="37"/>
    </row>
    <row r="129" spans="1:18" ht="127.5" customHeight="1" thickTop="1" thickBot="1" x14ac:dyDescent="0.25">
      <c r="A129" s="94" t="s">
        <v>222</v>
      </c>
      <c r="B129" s="94" t="s">
        <v>223</v>
      </c>
      <c r="C129" s="94" t="s">
        <v>337</v>
      </c>
      <c r="D129" s="94" t="s">
        <v>224</v>
      </c>
      <c r="E129" s="501">
        <f>'d3'!E129-'d3-П'!E129</f>
        <v>0</v>
      </c>
      <c r="F129" s="501">
        <f>'d3'!F129-'d3-П'!F129</f>
        <v>0</v>
      </c>
      <c r="G129" s="501">
        <f>'d3'!G129-'d3-П'!G129</f>
        <v>0</v>
      </c>
      <c r="H129" s="501">
        <f>'d3'!H129-'d3-П'!H129</f>
        <v>0</v>
      </c>
      <c r="I129" s="501">
        <f>'d3'!I129-'d3-П'!I129</f>
        <v>0</v>
      </c>
      <c r="J129" s="501">
        <f>'d3'!J129-'d3-П'!J129</f>
        <v>0</v>
      </c>
      <c r="K129" s="501">
        <f>'d3'!K129-'d3-П'!K129</f>
        <v>0</v>
      </c>
      <c r="L129" s="501">
        <f>'d3'!L129-'d3-П'!L129</f>
        <v>0</v>
      </c>
      <c r="M129" s="501">
        <f>'d3'!M129-'d3-П'!M129</f>
        <v>0</v>
      </c>
      <c r="N129" s="501">
        <f>'d3'!N129-'d3-П'!N129</f>
        <v>0</v>
      </c>
      <c r="O129" s="501">
        <f>'d3'!O129-'d3-П'!O129</f>
        <v>0</v>
      </c>
      <c r="P129" s="501">
        <f>'d3'!P129-'d3-П'!P129</f>
        <v>0</v>
      </c>
      <c r="Q129" s="18"/>
      <c r="R129" s="37"/>
    </row>
    <row r="130" spans="1:18" ht="47.25" hidden="1" thickTop="1" thickBot="1" x14ac:dyDescent="0.25">
      <c r="A130" s="131" t="s">
        <v>687</v>
      </c>
      <c r="B130" s="131" t="s">
        <v>688</v>
      </c>
      <c r="C130" s="131"/>
      <c r="D130" s="131" t="s">
        <v>689</v>
      </c>
      <c r="E130" s="501">
        <f>'d3'!E130-'d3-П'!E130</f>
        <v>0</v>
      </c>
      <c r="F130" s="501">
        <f>'d3'!F130-'d3-П'!F130</f>
        <v>0</v>
      </c>
      <c r="G130" s="501">
        <f>'d3'!G130-'d3-П'!G130</f>
        <v>0</v>
      </c>
      <c r="H130" s="501">
        <f>'d3'!H130-'d3-П'!H130</f>
        <v>0</v>
      </c>
      <c r="I130" s="501">
        <f>'d3'!I130-'d3-П'!I130</f>
        <v>0</v>
      </c>
      <c r="J130" s="501">
        <f>'d3'!J130-'d3-П'!J130</f>
        <v>0</v>
      </c>
      <c r="K130" s="501">
        <f>'d3'!K130-'d3-П'!K130</f>
        <v>0</v>
      </c>
      <c r="L130" s="501">
        <f>'d3'!L130-'d3-П'!L130</f>
        <v>0</v>
      </c>
      <c r="M130" s="501">
        <f>'d3'!M130-'d3-П'!M130</f>
        <v>0</v>
      </c>
      <c r="N130" s="501">
        <f>'d3'!N130-'d3-П'!N130</f>
        <v>0</v>
      </c>
      <c r="O130" s="501">
        <f>'d3'!O130-'d3-П'!O130</f>
        <v>0</v>
      </c>
      <c r="P130" s="501">
        <f>'d3'!P130-'d3-П'!P130</f>
        <v>0</v>
      </c>
      <c r="Q130" s="18"/>
      <c r="R130" s="37"/>
    </row>
    <row r="131" spans="1:18" ht="47.25" hidden="1" thickTop="1" thickBot="1" x14ac:dyDescent="0.25">
      <c r="A131" s="119" t="s">
        <v>459</v>
      </c>
      <c r="B131" s="119" t="s">
        <v>460</v>
      </c>
      <c r="C131" s="119" t="s">
        <v>225</v>
      </c>
      <c r="D131" s="119" t="s">
        <v>461</v>
      </c>
      <c r="E131" s="501">
        <f>'d3'!E131-'d3-П'!E131</f>
        <v>0</v>
      </c>
      <c r="F131" s="501">
        <f>'d3'!F131-'d3-П'!F131</f>
        <v>0</v>
      </c>
      <c r="G131" s="501">
        <f>'d3'!G131-'d3-П'!G131</f>
        <v>0</v>
      </c>
      <c r="H131" s="501">
        <f>'d3'!H131-'d3-П'!H131</f>
        <v>0</v>
      </c>
      <c r="I131" s="501">
        <f>'d3'!I131-'d3-П'!I131</f>
        <v>0</v>
      </c>
      <c r="J131" s="501">
        <f>'d3'!J131-'d3-П'!J131</f>
        <v>0</v>
      </c>
      <c r="K131" s="501">
        <f>'d3'!K131-'d3-П'!K131</f>
        <v>0</v>
      </c>
      <c r="L131" s="501">
        <f>'d3'!L131-'d3-П'!L131</f>
        <v>0</v>
      </c>
      <c r="M131" s="501">
        <f>'d3'!M131-'d3-П'!M131</f>
        <v>0</v>
      </c>
      <c r="N131" s="501">
        <f>'d3'!N131-'d3-П'!N131</f>
        <v>0</v>
      </c>
      <c r="O131" s="501">
        <f>'d3'!O131-'d3-П'!O131</f>
        <v>0</v>
      </c>
      <c r="P131" s="501">
        <f>'d3'!P131-'d3-П'!P131</f>
        <v>0</v>
      </c>
      <c r="Q131" s="18"/>
      <c r="R131" s="37"/>
    </row>
    <row r="132" spans="1:18" ht="85.7" customHeight="1" thickTop="1" thickBot="1" x14ac:dyDescent="0.25">
      <c r="A132" s="518" t="s">
        <v>690</v>
      </c>
      <c r="B132" s="518" t="s">
        <v>691</v>
      </c>
      <c r="C132" s="518"/>
      <c r="D132" s="518" t="s">
        <v>692</v>
      </c>
      <c r="E132" s="501">
        <f>'d3'!E132-'d3-П'!E132</f>
        <v>135000</v>
      </c>
      <c r="F132" s="501">
        <f>'d3'!F132-'d3-П'!F132</f>
        <v>90000</v>
      </c>
      <c r="G132" s="501">
        <f>'d3'!G132-'d3-П'!G132</f>
        <v>0</v>
      </c>
      <c r="H132" s="501">
        <f>'d3'!H132-'d3-П'!H132</f>
        <v>0</v>
      </c>
      <c r="I132" s="501">
        <f>'d3'!I132-'d3-П'!I132</f>
        <v>45000</v>
      </c>
      <c r="J132" s="501">
        <f>'d3'!J132-'d3-П'!J132</f>
        <v>0</v>
      </c>
      <c r="K132" s="501">
        <f>'d3'!K132-'d3-П'!K132</f>
        <v>0</v>
      </c>
      <c r="L132" s="501">
        <f>'d3'!L132-'d3-П'!L132</f>
        <v>0</v>
      </c>
      <c r="M132" s="501">
        <f>'d3'!M132-'d3-П'!M132</f>
        <v>0</v>
      </c>
      <c r="N132" s="501">
        <f>'d3'!N132-'d3-П'!N132</f>
        <v>0</v>
      </c>
      <c r="O132" s="501">
        <f>'d3'!O132-'d3-П'!O132</f>
        <v>0</v>
      </c>
      <c r="P132" s="501">
        <f>'d3'!P132-'d3-П'!P132</f>
        <v>135000</v>
      </c>
      <c r="Q132" s="18"/>
      <c r="R132" s="37"/>
    </row>
    <row r="133" spans="1:18" s="31" customFormat="1" ht="79.5" customHeight="1" thickTop="1" thickBot="1" x14ac:dyDescent="0.25">
      <c r="A133" s="94" t="s">
        <v>314</v>
      </c>
      <c r="B133" s="94" t="s">
        <v>316</v>
      </c>
      <c r="C133" s="94" t="s">
        <v>225</v>
      </c>
      <c r="D133" s="507" t="s">
        <v>312</v>
      </c>
      <c r="E133" s="501">
        <f>'d3'!E133-'d3-П'!E133</f>
        <v>45000</v>
      </c>
      <c r="F133" s="501">
        <f>'d3'!F133-'d3-П'!F133</f>
        <v>0</v>
      </c>
      <c r="G133" s="501">
        <f>'d3'!G133-'d3-П'!G133</f>
        <v>0</v>
      </c>
      <c r="H133" s="501">
        <f>'d3'!H133-'d3-П'!H133</f>
        <v>0</v>
      </c>
      <c r="I133" s="501">
        <f>'d3'!I133-'d3-П'!I133</f>
        <v>45000</v>
      </c>
      <c r="J133" s="501">
        <f>'d3'!J133-'d3-П'!J133</f>
        <v>0</v>
      </c>
      <c r="K133" s="501">
        <f>'d3'!K133-'d3-П'!K133</f>
        <v>0</v>
      </c>
      <c r="L133" s="501">
        <f>'d3'!L133-'d3-П'!L133</f>
        <v>0</v>
      </c>
      <c r="M133" s="501">
        <f>'d3'!M133-'d3-П'!M133</f>
        <v>0</v>
      </c>
      <c r="N133" s="501">
        <f>'d3'!N133-'d3-П'!N133</f>
        <v>0</v>
      </c>
      <c r="O133" s="501">
        <f>'d3'!O133-'d3-П'!O133</f>
        <v>0</v>
      </c>
      <c r="P133" s="501">
        <f>'d3'!P133-'d3-П'!P133</f>
        <v>45000</v>
      </c>
      <c r="Q133" s="34"/>
      <c r="R133" s="24"/>
    </row>
    <row r="134" spans="1:18" s="31" customFormat="1" ht="91.5" customHeight="1" thickTop="1" thickBot="1" x14ac:dyDescent="0.25">
      <c r="A134" s="94" t="s">
        <v>315</v>
      </c>
      <c r="B134" s="94" t="s">
        <v>317</v>
      </c>
      <c r="C134" s="94" t="s">
        <v>225</v>
      </c>
      <c r="D134" s="507" t="s">
        <v>313</v>
      </c>
      <c r="E134" s="501">
        <f>'d3'!E134-'d3-П'!E134</f>
        <v>90000</v>
      </c>
      <c r="F134" s="501">
        <f>'d3'!F134-'d3-П'!F134</f>
        <v>90000</v>
      </c>
      <c r="G134" s="501">
        <f>'d3'!G134-'d3-П'!G134</f>
        <v>0</v>
      </c>
      <c r="H134" s="501">
        <f>'d3'!H134-'d3-П'!H134</f>
        <v>0</v>
      </c>
      <c r="I134" s="501">
        <f>'d3'!I134-'d3-П'!I134</f>
        <v>0</v>
      </c>
      <c r="J134" s="501">
        <f>'d3'!J134-'d3-П'!J134</f>
        <v>0</v>
      </c>
      <c r="K134" s="501">
        <f>'d3'!K134-'d3-П'!K134</f>
        <v>0</v>
      </c>
      <c r="L134" s="501">
        <f>'d3'!L134-'d3-П'!L134</f>
        <v>0</v>
      </c>
      <c r="M134" s="501">
        <f>'d3'!M134-'d3-П'!M134</f>
        <v>0</v>
      </c>
      <c r="N134" s="501">
        <f>'d3'!N134-'d3-П'!N134</f>
        <v>0</v>
      </c>
      <c r="O134" s="501">
        <f>'d3'!O134-'d3-П'!O134</f>
        <v>0</v>
      </c>
      <c r="P134" s="501">
        <f>'d3'!P134-'d3-П'!P134</f>
        <v>90000</v>
      </c>
      <c r="Q134" s="34"/>
      <c r="R134" s="37"/>
    </row>
    <row r="135" spans="1:18" s="31" customFormat="1" ht="93" hidden="1" thickTop="1" thickBot="1" x14ac:dyDescent="0.25">
      <c r="A135" s="131" t="s">
        <v>1317</v>
      </c>
      <c r="B135" s="131" t="s">
        <v>1318</v>
      </c>
      <c r="C135" s="131"/>
      <c r="D135" s="131" t="s">
        <v>1316</v>
      </c>
      <c r="E135" s="501">
        <f>'d3'!E135-'d3-П'!E135</f>
        <v>0</v>
      </c>
      <c r="F135" s="501">
        <f>'d3'!F135-'d3-П'!F135</f>
        <v>0</v>
      </c>
      <c r="G135" s="501">
        <f>'d3'!G135-'d3-П'!G135</f>
        <v>0</v>
      </c>
      <c r="H135" s="501">
        <f>'d3'!H135-'d3-П'!H135</f>
        <v>0</v>
      </c>
      <c r="I135" s="501">
        <f>'d3'!I135-'d3-П'!I135</f>
        <v>0</v>
      </c>
      <c r="J135" s="501">
        <f>'d3'!J135-'d3-П'!J135</f>
        <v>0</v>
      </c>
      <c r="K135" s="501">
        <f>'d3'!K135-'d3-П'!K135</f>
        <v>0</v>
      </c>
      <c r="L135" s="501">
        <f>'d3'!L135-'d3-П'!L135</f>
        <v>0</v>
      </c>
      <c r="M135" s="501">
        <f>'d3'!M135-'d3-П'!M135</f>
        <v>0</v>
      </c>
      <c r="N135" s="501">
        <f>'d3'!N135-'d3-П'!N135</f>
        <v>0</v>
      </c>
      <c r="O135" s="501">
        <f>'d3'!O135-'d3-П'!O135</f>
        <v>0</v>
      </c>
      <c r="P135" s="501">
        <f>'d3'!P135-'d3-П'!P135</f>
        <v>0</v>
      </c>
      <c r="Q135" s="34"/>
      <c r="R135" s="37"/>
    </row>
    <row r="136" spans="1:18" s="310" customFormat="1" ht="138.75" hidden="1" thickTop="1" thickBot="1" x14ac:dyDescent="0.25">
      <c r="A136" s="119" t="s">
        <v>1320</v>
      </c>
      <c r="B136" s="119" t="s">
        <v>1321</v>
      </c>
      <c r="C136" s="119" t="s">
        <v>225</v>
      </c>
      <c r="D136" s="277" t="s">
        <v>1319</v>
      </c>
      <c r="E136" s="501">
        <f>'d3'!E136-'d3-П'!E136</f>
        <v>0</v>
      </c>
      <c r="F136" s="501">
        <f>'d3'!F136-'d3-П'!F136</f>
        <v>0</v>
      </c>
      <c r="G136" s="501">
        <f>'d3'!G136-'d3-П'!G136</f>
        <v>0</v>
      </c>
      <c r="H136" s="501">
        <f>'d3'!H136-'d3-П'!H136</f>
        <v>0</v>
      </c>
      <c r="I136" s="501">
        <f>'d3'!I136-'d3-П'!I136</f>
        <v>0</v>
      </c>
      <c r="J136" s="501">
        <f>'d3'!J136-'d3-П'!J136</f>
        <v>0</v>
      </c>
      <c r="K136" s="501">
        <f>'d3'!K136-'d3-П'!K136</f>
        <v>0</v>
      </c>
      <c r="L136" s="501">
        <f>'d3'!L136-'d3-П'!L136</f>
        <v>0</v>
      </c>
      <c r="M136" s="501">
        <f>'d3'!M136-'d3-П'!M136</f>
        <v>0</v>
      </c>
      <c r="N136" s="501">
        <f>'d3'!N136-'d3-П'!N136</f>
        <v>0</v>
      </c>
      <c r="O136" s="501">
        <f>'d3'!O136-'d3-П'!O136</f>
        <v>0</v>
      </c>
      <c r="P136" s="501">
        <f>'d3'!P136-'d3-П'!P136</f>
        <v>0</v>
      </c>
      <c r="Q136" s="308"/>
      <c r="R136" s="309"/>
    </row>
    <row r="137" spans="1:18" s="310" customFormat="1" ht="144.75" customHeight="1" thickTop="1" thickBot="1" x14ac:dyDescent="0.25">
      <c r="A137" s="94" t="s">
        <v>1423</v>
      </c>
      <c r="B137" s="94" t="s">
        <v>1424</v>
      </c>
      <c r="C137" s="94" t="s">
        <v>225</v>
      </c>
      <c r="D137" s="94" t="s">
        <v>1587</v>
      </c>
      <c r="E137" s="501">
        <f>'d3'!E137-'d3-П'!E137</f>
        <v>0</v>
      </c>
      <c r="F137" s="501">
        <f>'d3'!F137-'d3-П'!F137</f>
        <v>0</v>
      </c>
      <c r="G137" s="501">
        <f>'d3'!G137-'d3-П'!G137</f>
        <v>0</v>
      </c>
      <c r="H137" s="501">
        <f>'d3'!H137-'d3-П'!H137</f>
        <v>0</v>
      </c>
      <c r="I137" s="501">
        <f>'d3'!I137-'d3-П'!I137</f>
        <v>0</v>
      </c>
      <c r="J137" s="501">
        <f>'d3'!J137-'d3-П'!J137</f>
        <v>1500000</v>
      </c>
      <c r="K137" s="501">
        <f>'d3'!K137-'d3-П'!K137</f>
        <v>1500000</v>
      </c>
      <c r="L137" s="501">
        <f>'d3'!L137-'d3-П'!L137</f>
        <v>0</v>
      </c>
      <c r="M137" s="501">
        <f>'d3'!M137-'d3-П'!M137</f>
        <v>0</v>
      </c>
      <c r="N137" s="501">
        <f>'d3'!N137-'d3-П'!N137</f>
        <v>0</v>
      </c>
      <c r="O137" s="501">
        <f>'d3'!O137-'d3-П'!O137</f>
        <v>1500000</v>
      </c>
      <c r="P137" s="501">
        <f>'d3'!P137-'d3-П'!P137</f>
        <v>1500000</v>
      </c>
      <c r="Q137" s="308"/>
      <c r="R137" s="309"/>
    </row>
    <row r="138" spans="1:18" s="31" customFormat="1" ht="140.25" customHeight="1" thickTop="1" thickBot="1" x14ac:dyDescent="0.25">
      <c r="A138" s="239" t="s">
        <v>1078</v>
      </c>
      <c r="B138" s="239" t="s">
        <v>678</v>
      </c>
      <c r="C138" s="239"/>
      <c r="D138" s="239" t="s">
        <v>679</v>
      </c>
      <c r="E138" s="501">
        <f>'d3'!E138-'d3-П'!E138</f>
        <v>0</v>
      </c>
      <c r="F138" s="501">
        <f>'d3'!F138-'d3-П'!F138</f>
        <v>0</v>
      </c>
      <c r="G138" s="501">
        <f>'d3'!G138-'d3-П'!G138</f>
        <v>0</v>
      </c>
      <c r="H138" s="501">
        <f>'d3'!H138-'d3-П'!H138</f>
        <v>0</v>
      </c>
      <c r="I138" s="501">
        <f>'d3'!I138-'d3-П'!I138</f>
        <v>0</v>
      </c>
      <c r="J138" s="501">
        <f>'d3'!J138-'d3-П'!J138</f>
        <v>0</v>
      </c>
      <c r="K138" s="501">
        <f>'d3'!K138-'d3-П'!K138</f>
        <v>0</v>
      </c>
      <c r="L138" s="501">
        <f>'d3'!L138-'d3-П'!L138</f>
        <v>0</v>
      </c>
      <c r="M138" s="501">
        <f>'d3'!M138-'d3-П'!M138</f>
        <v>0</v>
      </c>
      <c r="N138" s="501">
        <f>'d3'!N138-'d3-П'!N138</f>
        <v>0</v>
      </c>
      <c r="O138" s="501">
        <f>'d3'!O138-'d3-П'!O138</f>
        <v>0</v>
      </c>
      <c r="P138" s="501">
        <f>'d3'!P138-'d3-П'!P138</f>
        <v>0</v>
      </c>
      <c r="Q138" s="34"/>
      <c r="R138" s="37"/>
    </row>
    <row r="139" spans="1:18" s="31" customFormat="1" ht="116.25" customHeight="1" thickTop="1" thickBot="1" x14ac:dyDescent="0.25">
      <c r="A139" s="518" t="s">
        <v>1445</v>
      </c>
      <c r="B139" s="518" t="s">
        <v>702</v>
      </c>
      <c r="C139" s="518"/>
      <c r="D139" s="518" t="s">
        <v>703</v>
      </c>
      <c r="E139" s="501">
        <f>'d3'!E139-'d3-П'!E139</f>
        <v>0</v>
      </c>
      <c r="F139" s="501">
        <f>'d3'!F139-'d3-П'!F139</f>
        <v>0</v>
      </c>
      <c r="G139" s="501">
        <f>'d3'!G139-'d3-П'!G139</f>
        <v>0</v>
      </c>
      <c r="H139" s="501">
        <f>'d3'!H139-'d3-П'!H139</f>
        <v>0</v>
      </c>
      <c r="I139" s="501">
        <f>'d3'!I139-'d3-П'!I139</f>
        <v>0</v>
      </c>
      <c r="J139" s="501">
        <f>'d3'!J139-'d3-П'!J139</f>
        <v>0</v>
      </c>
      <c r="K139" s="501">
        <f>'d3'!K139-'d3-П'!K139</f>
        <v>0</v>
      </c>
      <c r="L139" s="501">
        <f>'d3'!L139-'d3-П'!L139</f>
        <v>0</v>
      </c>
      <c r="M139" s="501">
        <f>'d3'!M139-'d3-П'!M139</f>
        <v>0</v>
      </c>
      <c r="N139" s="501">
        <f>'d3'!N139-'d3-П'!N139</f>
        <v>0</v>
      </c>
      <c r="O139" s="501">
        <f>'d3'!O139-'d3-П'!O139</f>
        <v>0</v>
      </c>
      <c r="P139" s="501">
        <f>'d3'!P139-'d3-П'!P139</f>
        <v>0</v>
      </c>
      <c r="Q139" s="34"/>
      <c r="R139" s="37"/>
    </row>
    <row r="140" spans="1:18" s="31" customFormat="1" ht="165" customHeight="1" thickTop="1" thickBot="1" x14ac:dyDescent="0.25">
      <c r="A140" s="94" t="s">
        <v>1446</v>
      </c>
      <c r="B140" s="94" t="s">
        <v>1412</v>
      </c>
      <c r="C140" s="94" t="s">
        <v>200</v>
      </c>
      <c r="D140" s="507" t="s">
        <v>1413</v>
      </c>
      <c r="E140" s="501">
        <f>'d3'!E140-'d3-П'!E140</f>
        <v>0</v>
      </c>
      <c r="F140" s="501">
        <f>'d3'!F140-'d3-П'!F140</f>
        <v>0</v>
      </c>
      <c r="G140" s="501">
        <f>'d3'!G140-'d3-П'!G140</f>
        <v>0</v>
      </c>
      <c r="H140" s="501">
        <f>'d3'!H140-'d3-П'!H140</f>
        <v>0</v>
      </c>
      <c r="I140" s="501">
        <f>'d3'!I140-'d3-П'!I140</f>
        <v>0</v>
      </c>
      <c r="J140" s="501">
        <f>'d3'!J140-'d3-П'!J140</f>
        <v>0</v>
      </c>
      <c r="K140" s="501">
        <f>'d3'!K140-'d3-П'!K140</f>
        <v>0</v>
      </c>
      <c r="L140" s="501">
        <f>'d3'!L140-'d3-П'!L140</f>
        <v>0</v>
      </c>
      <c r="M140" s="501">
        <f>'d3'!M140-'d3-П'!M140</f>
        <v>0</v>
      </c>
      <c r="N140" s="501">
        <f>'d3'!N140-'d3-П'!N140</f>
        <v>0</v>
      </c>
      <c r="O140" s="501">
        <f>'d3'!O140-'d3-П'!O140</f>
        <v>0</v>
      </c>
      <c r="P140" s="501">
        <f>'d3'!P140-'d3-П'!P140</f>
        <v>0</v>
      </c>
      <c r="Q140" s="34"/>
      <c r="R140" s="37"/>
    </row>
    <row r="141" spans="1:18" s="31" customFormat="1" ht="143.44999999999999" customHeight="1" thickTop="1" thickBot="1" x14ac:dyDescent="0.25">
      <c r="A141" s="94" t="s">
        <v>1079</v>
      </c>
      <c r="B141" s="94" t="s">
        <v>1080</v>
      </c>
      <c r="C141" s="94" t="s">
        <v>201</v>
      </c>
      <c r="D141" s="507" t="s">
        <v>1434</v>
      </c>
      <c r="E141" s="501">
        <f>'d3'!E141-'d3-П'!E141</f>
        <v>0</v>
      </c>
      <c r="F141" s="501">
        <f>'d3'!F141-'d3-П'!F141</f>
        <v>0</v>
      </c>
      <c r="G141" s="501">
        <f>'d3'!G141-'d3-П'!G141</f>
        <v>0</v>
      </c>
      <c r="H141" s="501">
        <f>'d3'!H141-'d3-П'!H141</f>
        <v>0</v>
      </c>
      <c r="I141" s="501">
        <f>'d3'!I141-'d3-П'!I141</f>
        <v>0</v>
      </c>
      <c r="J141" s="501">
        <f>'d3'!J141-'d3-П'!J141</f>
        <v>0</v>
      </c>
      <c r="K141" s="501">
        <f>'d3'!K141-'d3-П'!K141</f>
        <v>0</v>
      </c>
      <c r="L141" s="501">
        <f>'d3'!L141-'d3-П'!L141</f>
        <v>0</v>
      </c>
      <c r="M141" s="501">
        <f>'d3'!M141-'d3-П'!M141</f>
        <v>0</v>
      </c>
      <c r="N141" s="501">
        <f>'d3'!N141-'d3-П'!N141</f>
        <v>0</v>
      </c>
      <c r="O141" s="501">
        <f>'d3'!O141-'d3-П'!O141</f>
        <v>0</v>
      </c>
      <c r="P141" s="501">
        <f>'d3'!P141-'d3-П'!P141</f>
        <v>0</v>
      </c>
      <c r="Q141" s="34"/>
      <c r="R141" s="37"/>
    </row>
    <row r="142" spans="1:18" s="31" customFormat="1" ht="100.5" hidden="1" customHeight="1" thickTop="1" thickBot="1" x14ac:dyDescent="0.25">
      <c r="A142" s="116" t="s">
        <v>1425</v>
      </c>
      <c r="B142" s="116" t="s">
        <v>713</v>
      </c>
      <c r="C142" s="116"/>
      <c r="D142" s="116" t="s">
        <v>757</v>
      </c>
      <c r="E142" s="501">
        <f>'d3'!E142-'d3-П'!E142</f>
        <v>0</v>
      </c>
      <c r="F142" s="501">
        <f>'d3'!F142-'d3-П'!F142</f>
        <v>0</v>
      </c>
      <c r="G142" s="501">
        <f>'d3'!G142-'d3-П'!G142</f>
        <v>0</v>
      </c>
      <c r="H142" s="501">
        <f>'d3'!H142-'d3-П'!H142</f>
        <v>0</v>
      </c>
      <c r="I142" s="501">
        <f>'d3'!I142-'d3-П'!I142</f>
        <v>0</v>
      </c>
      <c r="J142" s="501">
        <f>'d3'!J142-'d3-П'!J142</f>
        <v>0</v>
      </c>
      <c r="K142" s="501">
        <f>'d3'!K142-'d3-П'!K142</f>
        <v>0</v>
      </c>
      <c r="L142" s="501">
        <f>'d3'!L142-'d3-П'!L142</f>
        <v>0</v>
      </c>
      <c r="M142" s="501">
        <f>'d3'!M142-'d3-П'!M142</f>
        <v>0</v>
      </c>
      <c r="N142" s="501">
        <f>'d3'!N142-'d3-П'!N142</f>
        <v>0</v>
      </c>
      <c r="O142" s="501">
        <f>'d3'!O142-'d3-П'!O142</f>
        <v>0</v>
      </c>
      <c r="P142" s="501">
        <f>'d3'!P142-'d3-П'!P142</f>
        <v>0</v>
      </c>
      <c r="Q142" s="34"/>
      <c r="R142" s="37"/>
    </row>
    <row r="143" spans="1:18" s="31" customFormat="1" ht="47.25" hidden="1" thickTop="1" thickBot="1" x14ac:dyDescent="0.25">
      <c r="A143" s="135" t="s">
        <v>975</v>
      </c>
      <c r="B143" s="135" t="s">
        <v>974</v>
      </c>
      <c r="C143" s="135"/>
      <c r="D143" s="135" t="s">
        <v>973</v>
      </c>
      <c r="E143" s="501">
        <f>'d3'!E143-'d3-П'!E143</f>
        <v>0</v>
      </c>
      <c r="F143" s="501">
        <f>'d3'!F143-'d3-П'!F143</f>
        <v>0</v>
      </c>
      <c r="G143" s="501">
        <f>'d3'!G143-'d3-П'!G143</f>
        <v>0</v>
      </c>
      <c r="H143" s="501">
        <f>'d3'!H143-'d3-П'!H143</f>
        <v>0</v>
      </c>
      <c r="I143" s="501">
        <f>'d3'!I143-'d3-П'!I143</f>
        <v>0</v>
      </c>
      <c r="J143" s="501">
        <f>'d3'!J143-'d3-П'!J143</f>
        <v>0</v>
      </c>
      <c r="K143" s="501">
        <f>'d3'!K143-'d3-П'!K143</f>
        <v>0</v>
      </c>
      <c r="L143" s="501">
        <f>'d3'!L143-'d3-П'!L143</f>
        <v>0</v>
      </c>
      <c r="M143" s="501">
        <f>'d3'!M143-'d3-П'!M143</f>
        <v>0</v>
      </c>
      <c r="N143" s="501">
        <f>'d3'!N143-'d3-П'!N143</f>
        <v>0</v>
      </c>
      <c r="O143" s="501">
        <f>'d3'!O143-'d3-П'!O143</f>
        <v>0</v>
      </c>
      <c r="P143" s="501">
        <f>'d3'!P143-'d3-П'!P143</f>
        <v>0</v>
      </c>
      <c r="Q143" s="34"/>
      <c r="R143" s="37"/>
    </row>
    <row r="144" spans="1:18" s="31" customFormat="1" ht="93" hidden="1" thickTop="1" thickBot="1" x14ac:dyDescent="0.25">
      <c r="A144" s="39" t="s">
        <v>976</v>
      </c>
      <c r="B144" s="39" t="s">
        <v>977</v>
      </c>
      <c r="C144" s="39" t="s">
        <v>165</v>
      </c>
      <c r="D144" s="39" t="s">
        <v>978</v>
      </c>
      <c r="E144" s="501">
        <f>'d3'!E144-'d3-П'!E144</f>
        <v>0</v>
      </c>
      <c r="F144" s="501">
        <f>'d3'!F144-'d3-П'!F144</f>
        <v>0</v>
      </c>
      <c r="G144" s="501">
        <f>'d3'!G144-'d3-П'!G144</f>
        <v>0</v>
      </c>
      <c r="H144" s="501">
        <f>'d3'!H144-'d3-П'!H144</f>
        <v>0</v>
      </c>
      <c r="I144" s="501">
        <f>'d3'!I144-'d3-П'!I144</f>
        <v>0</v>
      </c>
      <c r="J144" s="501">
        <f>'d3'!J144-'d3-П'!J144</f>
        <v>0</v>
      </c>
      <c r="K144" s="501">
        <f>'d3'!K144-'d3-П'!K144</f>
        <v>0</v>
      </c>
      <c r="L144" s="501">
        <f>'d3'!L144-'d3-П'!L144</f>
        <v>0</v>
      </c>
      <c r="M144" s="501">
        <f>'d3'!M144-'d3-П'!M144</f>
        <v>0</v>
      </c>
      <c r="N144" s="501">
        <f>'d3'!N144-'d3-П'!N144</f>
        <v>0</v>
      </c>
      <c r="O144" s="501">
        <f>'d3'!O144-'d3-П'!O144</f>
        <v>0</v>
      </c>
      <c r="P144" s="501">
        <f>'d3'!P144-'d3-П'!P144</f>
        <v>0</v>
      </c>
      <c r="Q144" s="34"/>
      <c r="R144" s="24"/>
    </row>
    <row r="145" spans="1:20" s="26" customFormat="1" ht="84.75" hidden="1" customHeight="1" thickTop="1" thickBot="1" x14ac:dyDescent="0.25">
      <c r="A145" s="127" t="s">
        <v>693</v>
      </c>
      <c r="B145" s="127" t="s">
        <v>659</v>
      </c>
      <c r="C145" s="127"/>
      <c r="D145" s="127" t="s">
        <v>657</v>
      </c>
      <c r="E145" s="501">
        <f>'d3'!E145-'d3-П'!E145</f>
        <v>0</v>
      </c>
      <c r="F145" s="501">
        <f>'d3'!F145-'d3-П'!F145</f>
        <v>0</v>
      </c>
      <c r="G145" s="501">
        <f>'d3'!G145-'d3-П'!G145</f>
        <v>0</v>
      </c>
      <c r="H145" s="501">
        <f>'d3'!H145-'d3-П'!H145</f>
        <v>0</v>
      </c>
      <c r="I145" s="501">
        <f>'d3'!I145-'d3-П'!I145</f>
        <v>0</v>
      </c>
      <c r="J145" s="501">
        <f>'d3'!J145-'d3-П'!J145</f>
        <v>0</v>
      </c>
      <c r="K145" s="501">
        <f>'d3'!K145-'d3-П'!K145</f>
        <v>0</v>
      </c>
      <c r="L145" s="501">
        <f>'d3'!L145-'d3-П'!L145</f>
        <v>0</v>
      </c>
      <c r="M145" s="501">
        <f>'d3'!M145-'d3-П'!M145</f>
        <v>0</v>
      </c>
      <c r="N145" s="501">
        <f>'d3'!N145-'d3-П'!N145</f>
        <v>0</v>
      </c>
      <c r="O145" s="501">
        <f>'d3'!O145-'d3-П'!O145</f>
        <v>0</v>
      </c>
      <c r="P145" s="501">
        <f>'d3'!P145-'d3-П'!P145</f>
        <v>0</v>
      </c>
      <c r="Q145" s="140"/>
      <c r="R145" s="38"/>
    </row>
    <row r="146" spans="1:20" s="26" customFormat="1" ht="47.25" hidden="1" thickTop="1" thickBot="1" x14ac:dyDescent="0.25">
      <c r="A146" s="119" t="s">
        <v>1126</v>
      </c>
      <c r="B146" s="119" t="s">
        <v>207</v>
      </c>
      <c r="C146" s="119" t="s">
        <v>208</v>
      </c>
      <c r="D146" s="119" t="s">
        <v>40</v>
      </c>
      <c r="E146" s="501">
        <f>'d3'!E146-'d3-П'!E146</f>
        <v>0</v>
      </c>
      <c r="F146" s="501">
        <f>'d3'!F146-'d3-П'!F146</f>
        <v>0</v>
      </c>
      <c r="G146" s="501">
        <f>'d3'!G146-'d3-П'!G146</f>
        <v>0</v>
      </c>
      <c r="H146" s="501">
        <f>'d3'!H146-'d3-П'!H146</f>
        <v>0</v>
      </c>
      <c r="I146" s="501">
        <f>'d3'!I146-'d3-П'!I146</f>
        <v>0</v>
      </c>
      <c r="J146" s="501">
        <f>'d3'!J146-'d3-П'!J146</f>
        <v>0</v>
      </c>
      <c r="K146" s="501">
        <f>'d3'!K146-'d3-П'!K146</f>
        <v>0</v>
      </c>
      <c r="L146" s="501">
        <f>'d3'!L146-'d3-П'!L146</f>
        <v>0</v>
      </c>
      <c r="M146" s="501">
        <f>'d3'!M146-'d3-П'!M146</f>
        <v>0</v>
      </c>
      <c r="N146" s="501">
        <f>'d3'!N146-'d3-П'!N146</f>
        <v>0</v>
      </c>
      <c r="O146" s="501">
        <f>'d3'!O146-'d3-П'!O146</f>
        <v>0</v>
      </c>
      <c r="P146" s="501">
        <f>'d3'!P146-'d3-П'!P146</f>
        <v>0</v>
      </c>
      <c r="Q146" s="140"/>
      <c r="R146" s="38"/>
    </row>
    <row r="147" spans="1:20" s="31" customFormat="1" ht="47.25" hidden="1" thickTop="1" thickBot="1" x14ac:dyDescent="0.25">
      <c r="A147" s="39" t="s">
        <v>424</v>
      </c>
      <c r="B147" s="39" t="s">
        <v>192</v>
      </c>
      <c r="C147" s="39" t="s">
        <v>165</v>
      </c>
      <c r="D147" s="39" t="s">
        <v>33</v>
      </c>
      <c r="E147" s="501">
        <f>'d3'!E147-'d3-П'!E147</f>
        <v>0</v>
      </c>
      <c r="F147" s="501">
        <f>'d3'!F147-'d3-П'!F147</f>
        <v>0</v>
      </c>
      <c r="G147" s="501">
        <f>'d3'!G147-'d3-П'!G147</f>
        <v>0</v>
      </c>
      <c r="H147" s="501">
        <f>'d3'!H147-'d3-П'!H147</f>
        <v>0</v>
      </c>
      <c r="I147" s="501">
        <f>'d3'!I147-'d3-П'!I147</f>
        <v>0</v>
      </c>
      <c r="J147" s="501">
        <f>'d3'!J147-'d3-П'!J147</f>
        <v>0</v>
      </c>
      <c r="K147" s="501">
        <f>'d3'!K147-'d3-П'!K147</f>
        <v>0</v>
      </c>
      <c r="L147" s="501">
        <f>'d3'!L147-'d3-П'!L147</f>
        <v>0</v>
      </c>
      <c r="M147" s="501">
        <f>'d3'!M147-'d3-П'!M147</f>
        <v>0</v>
      </c>
      <c r="N147" s="501">
        <f>'d3'!N147-'d3-П'!N147</f>
        <v>0</v>
      </c>
      <c r="O147" s="501">
        <f>'d3'!O147-'d3-П'!O147</f>
        <v>0</v>
      </c>
      <c r="P147" s="501">
        <f>'d3'!P147-'d3-П'!P147</f>
        <v>0</v>
      </c>
      <c r="Q147" s="34"/>
      <c r="R147" s="24"/>
    </row>
    <row r="148" spans="1:20" s="31" customFormat="1" ht="138.75" customHeight="1" thickTop="1" thickBot="1" x14ac:dyDescent="0.25">
      <c r="A148" s="239" t="s">
        <v>1464</v>
      </c>
      <c r="B148" s="239" t="s">
        <v>669</v>
      </c>
      <c r="C148" s="239"/>
      <c r="D148" s="239" t="s">
        <v>670</v>
      </c>
      <c r="E148" s="501">
        <f>'d3'!E148-'d3-П'!E148</f>
        <v>500000</v>
      </c>
      <c r="F148" s="501">
        <f>'d3'!F148-'d3-П'!F148</f>
        <v>0</v>
      </c>
      <c r="G148" s="501">
        <f>'d3'!G148-'d3-П'!G148</f>
        <v>0</v>
      </c>
      <c r="H148" s="501">
        <f>'d3'!H148-'d3-П'!H148</f>
        <v>0</v>
      </c>
      <c r="I148" s="501">
        <f>'d3'!I148-'d3-П'!I148</f>
        <v>500000</v>
      </c>
      <c r="J148" s="501">
        <f>'d3'!J148-'d3-П'!J148</f>
        <v>0</v>
      </c>
      <c r="K148" s="501">
        <f>'d3'!K148-'d3-П'!K148</f>
        <v>0</v>
      </c>
      <c r="L148" s="501">
        <f>'d3'!L148-'d3-П'!L148</f>
        <v>0</v>
      </c>
      <c r="M148" s="501">
        <f>'d3'!M148-'d3-П'!M148</f>
        <v>0</v>
      </c>
      <c r="N148" s="501">
        <f>'d3'!N148-'d3-П'!N148</f>
        <v>0</v>
      </c>
      <c r="O148" s="501">
        <f>'d3'!O148-'d3-П'!O148</f>
        <v>0</v>
      </c>
      <c r="P148" s="501">
        <f>'d3'!P148-'d3-П'!P148</f>
        <v>500000</v>
      </c>
      <c r="Q148" s="34"/>
      <c r="R148" s="24"/>
    </row>
    <row r="149" spans="1:20" s="31" customFormat="1" ht="163.5" customHeight="1" thickTop="1" thickBot="1" x14ac:dyDescent="0.25">
      <c r="A149" s="508" t="s">
        <v>1465</v>
      </c>
      <c r="B149" s="508" t="s">
        <v>672</v>
      </c>
      <c r="C149" s="508"/>
      <c r="D149" s="508" t="s">
        <v>673</v>
      </c>
      <c r="E149" s="501">
        <f>'d3'!E149-'d3-П'!E149</f>
        <v>500000</v>
      </c>
      <c r="F149" s="501">
        <f>'d3'!F149-'d3-П'!F149</f>
        <v>0</v>
      </c>
      <c r="G149" s="501">
        <f>'d3'!G149-'d3-П'!G149</f>
        <v>0</v>
      </c>
      <c r="H149" s="501">
        <f>'d3'!H149-'d3-П'!H149</f>
        <v>0</v>
      </c>
      <c r="I149" s="501">
        <f>'d3'!I149-'d3-П'!I149</f>
        <v>500000</v>
      </c>
      <c r="J149" s="501">
        <f>'d3'!J149-'d3-П'!J149</f>
        <v>0</v>
      </c>
      <c r="K149" s="501">
        <f>'d3'!K149-'d3-П'!K149</f>
        <v>0</v>
      </c>
      <c r="L149" s="501">
        <f>'d3'!L149-'d3-П'!L149</f>
        <v>0</v>
      </c>
      <c r="M149" s="501">
        <f>'d3'!M149-'d3-П'!M149</f>
        <v>0</v>
      </c>
      <c r="N149" s="501">
        <f>'d3'!N149-'d3-П'!N149</f>
        <v>0</v>
      </c>
      <c r="O149" s="501">
        <f>'d3'!O149-'d3-П'!O149</f>
        <v>0</v>
      </c>
      <c r="P149" s="501">
        <f>'d3'!P149-'d3-П'!P149</f>
        <v>500000</v>
      </c>
      <c r="Q149" s="34"/>
      <c r="R149" s="24"/>
    </row>
    <row r="150" spans="1:20" s="31" customFormat="1" ht="149.25" customHeight="1" thickTop="1" thickBot="1" x14ac:dyDescent="0.25">
      <c r="A150" s="713" t="s">
        <v>492</v>
      </c>
      <c r="B150" s="713" t="s">
        <v>353</v>
      </c>
      <c r="C150" s="713" t="s">
        <v>42</v>
      </c>
      <c r="D150" s="713" t="s">
        <v>354</v>
      </c>
      <c r="E150" s="501">
        <f>'d3'!E150-'d3-П'!E150</f>
        <v>500000</v>
      </c>
      <c r="F150" s="501">
        <f>'d3'!F150-'d3-П'!F150</f>
        <v>0</v>
      </c>
      <c r="G150" s="501">
        <f>'d3'!G150-'d3-П'!G150</f>
        <v>0</v>
      </c>
      <c r="H150" s="501">
        <f>'d3'!H150-'d3-П'!H150</f>
        <v>0</v>
      </c>
      <c r="I150" s="501">
        <f>'d3'!I150-'d3-П'!I150</f>
        <v>500000</v>
      </c>
      <c r="J150" s="501">
        <f>'d3'!J150-'d3-П'!J150</f>
        <v>0</v>
      </c>
      <c r="K150" s="501">
        <f>'d3'!K150-'d3-П'!K150</f>
        <v>0</v>
      </c>
      <c r="L150" s="501">
        <f>'d3'!L150-'d3-П'!L150</f>
        <v>0</v>
      </c>
      <c r="M150" s="501">
        <f>'d3'!M150-'d3-П'!M150</f>
        <v>0</v>
      </c>
      <c r="N150" s="501">
        <f>'d3'!N150-'d3-П'!N150</f>
        <v>0</v>
      </c>
      <c r="O150" s="501">
        <f>'d3'!O150-'d3-П'!O150</f>
        <v>0</v>
      </c>
      <c r="P150" s="501">
        <f>'d3'!P150-'d3-П'!P150</f>
        <v>500000</v>
      </c>
      <c r="Q150" s="34"/>
      <c r="R150" s="28"/>
    </row>
    <row r="151" spans="1:20" ht="147" customHeight="1" thickTop="1" thickBot="1" x14ac:dyDescent="0.25">
      <c r="A151" s="514" t="s">
        <v>151</v>
      </c>
      <c r="B151" s="514"/>
      <c r="C151" s="514"/>
      <c r="D151" s="515" t="s">
        <v>36</v>
      </c>
      <c r="E151" s="516">
        <f>E152</f>
        <v>31854639.899999976</v>
      </c>
      <c r="F151" s="517">
        <f t="shared" ref="F151:G151" si="17">F152</f>
        <v>31538145.900000095</v>
      </c>
      <c r="G151" s="517">
        <f t="shared" si="17"/>
        <v>1020000</v>
      </c>
      <c r="H151" s="517">
        <f>H152</f>
        <v>0</v>
      </c>
      <c r="I151" s="517">
        <f t="shared" ref="I151" si="18">I152</f>
        <v>316494</v>
      </c>
      <c r="J151" s="516">
        <f>J152</f>
        <v>3000000</v>
      </c>
      <c r="K151" s="517">
        <f>K152</f>
        <v>3000000</v>
      </c>
      <c r="L151" s="517">
        <f>L152</f>
        <v>0</v>
      </c>
      <c r="M151" s="517">
        <f t="shared" ref="M151" si="19">M152</f>
        <v>0</v>
      </c>
      <c r="N151" s="517">
        <f>N152</f>
        <v>0</v>
      </c>
      <c r="O151" s="516">
        <f>O152</f>
        <v>3000000</v>
      </c>
      <c r="P151" s="517">
        <f>P152</f>
        <v>34854639.899999976</v>
      </c>
      <c r="Q151" s="517">
        <f>O152-K152</f>
        <v>0</v>
      </c>
    </row>
    <row r="152" spans="1:20" ht="159" customHeight="1" thickTop="1" thickBot="1" x14ac:dyDescent="0.25">
      <c r="A152" s="511" t="s">
        <v>152</v>
      </c>
      <c r="B152" s="511"/>
      <c r="C152" s="511"/>
      <c r="D152" s="512" t="s">
        <v>37</v>
      </c>
      <c r="E152" s="513">
        <f>E153+E157+E204+E208</f>
        <v>31854639.899999976</v>
      </c>
      <c r="F152" s="513">
        <f>F153+F157+F204+F208</f>
        <v>31538145.900000095</v>
      </c>
      <c r="G152" s="513">
        <f>G153+G157+G204+G208</f>
        <v>1020000</v>
      </c>
      <c r="H152" s="513">
        <f>H153+H157+H204+H208</f>
        <v>0</v>
      </c>
      <c r="I152" s="513">
        <f>I153+I157+I204+I208</f>
        <v>316494</v>
      </c>
      <c r="J152" s="513">
        <f t="shared" ref="J152" si="20">L152+O152</f>
        <v>3000000</v>
      </c>
      <c r="K152" s="513">
        <f>K153+K157+K204+K208</f>
        <v>3000000</v>
      </c>
      <c r="L152" s="513">
        <f>L153+L157+L204+L208</f>
        <v>0</v>
      </c>
      <c r="M152" s="513">
        <f>M153+M157+M204+M208</f>
        <v>0</v>
      </c>
      <c r="N152" s="513">
        <f>N153+N157+N204+N208</f>
        <v>0</v>
      </c>
      <c r="O152" s="513">
        <f>O153+O157+O204+O208</f>
        <v>3000000</v>
      </c>
      <c r="P152" s="513">
        <f>E152+J152</f>
        <v>34854639.899999976</v>
      </c>
      <c r="Q152" s="546" t="b">
        <f>P152=P154+P156+P159+P160+P161+P162+P163+P164+P165+P166+P168+P169+P171+P173+P174+P175+P177+P178+P180+P198+P182+P200+P201+P202+P203+P210+P181</f>
        <v>1</v>
      </c>
      <c r="R152" s="44"/>
      <c r="S152" s="44"/>
      <c r="T152" s="43"/>
    </row>
    <row r="153" spans="1:20" ht="87.75" customHeight="1" thickTop="1" thickBot="1" x14ac:dyDescent="0.25">
      <c r="A153" s="483" t="s">
        <v>694</v>
      </c>
      <c r="B153" s="483" t="s">
        <v>652</v>
      </c>
      <c r="C153" s="483"/>
      <c r="D153" s="483" t="s">
        <v>653</v>
      </c>
      <c r="E153" s="501">
        <f>'d3'!E153-'d3-П'!E153</f>
        <v>1020000</v>
      </c>
      <c r="F153" s="501">
        <f>'d3'!F153-'d3-П'!F153</f>
        <v>20000</v>
      </c>
      <c r="G153" s="501">
        <f>'d3'!G153-'d3-П'!G153</f>
        <v>0</v>
      </c>
      <c r="H153" s="501">
        <f>'d3'!H153-'d3-П'!H153</f>
        <v>0</v>
      </c>
      <c r="I153" s="501">
        <f>'d3'!I153-'d3-П'!I153</f>
        <v>1000000</v>
      </c>
      <c r="J153" s="501">
        <f>'d3'!J153-'d3-П'!J153</f>
        <v>0</v>
      </c>
      <c r="K153" s="501">
        <f>'d3'!K153-'d3-П'!K153</f>
        <v>0</v>
      </c>
      <c r="L153" s="501">
        <f>'d3'!L153-'d3-П'!L153</f>
        <v>0</v>
      </c>
      <c r="M153" s="501">
        <f>'d3'!M153-'d3-П'!M153</f>
        <v>0</v>
      </c>
      <c r="N153" s="501">
        <f>'d3'!N153-'d3-П'!N153</f>
        <v>0</v>
      </c>
      <c r="O153" s="501">
        <f>'d3'!O153-'d3-П'!O153</f>
        <v>0</v>
      </c>
      <c r="P153" s="501">
        <f>'d3'!P153-'d3-П'!P153</f>
        <v>1020000</v>
      </c>
      <c r="Q153" s="45"/>
      <c r="R153" s="44"/>
      <c r="T153" s="43"/>
    </row>
    <row r="154" spans="1:20" ht="127.5" customHeight="1" thickTop="1" thickBot="1" x14ac:dyDescent="0.25">
      <c r="A154" s="469" t="s">
        <v>404</v>
      </c>
      <c r="B154" s="469" t="s">
        <v>231</v>
      </c>
      <c r="C154" s="469" t="s">
        <v>229</v>
      </c>
      <c r="D154" s="469" t="s">
        <v>1515</v>
      </c>
      <c r="E154" s="501">
        <f>'d3'!E154-'d3-П'!E154</f>
        <v>1020000</v>
      </c>
      <c r="F154" s="501">
        <f>'d3'!F154-'d3-П'!F154</f>
        <v>20000</v>
      </c>
      <c r="G154" s="501">
        <f>'d3'!G154-'d3-П'!G154</f>
        <v>0</v>
      </c>
      <c r="H154" s="501">
        <f>'d3'!H154-'d3-П'!H154</f>
        <v>0</v>
      </c>
      <c r="I154" s="501">
        <f>'d3'!I154-'d3-П'!I154</f>
        <v>1000000</v>
      </c>
      <c r="J154" s="501">
        <f>'d3'!J154-'d3-П'!J154</f>
        <v>0</v>
      </c>
      <c r="K154" s="501">
        <f>'d3'!K154-'d3-П'!K154</f>
        <v>0</v>
      </c>
      <c r="L154" s="501">
        <f>'d3'!L154-'d3-П'!L154</f>
        <v>0</v>
      </c>
      <c r="M154" s="501">
        <f>'d3'!M154-'d3-П'!M154</f>
        <v>0</v>
      </c>
      <c r="N154" s="501">
        <f>'d3'!N154-'d3-П'!N154</f>
        <v>0</v>
      </c>
      <c r="O154" s="501">
        <f>'d3'!O154-'d3-П'!O154</f>
        <v>0</v>
      </c>
      <c r="P154" s="501">
        <f>'d3'!P154-'d3-П'!P154</f>
        <v>1020000</v>
      </c>
      <c r="Q154" s="45"/>
      <c r="R154" s="44"/>
      <c r="T154" s="43"/>
    </row>
    <row r="155" spans="1:20" ht="93" hidden="1" thickTop="1" thickBot="1" x14ac:dyDescent="0.25">
      <c r="A155" s="119" t="s">
        <v>601</v>
      </c>
      <c r="B155" s="119" t="s">
        <v>352</v>
      </c>
      <c r="C155" s="119" t="s">
        <v>598</v>
      </c>
      <c r="D155" s="119" t="s">
        <v>599</v>
      </c>
      <c r="E155" s="501">
        <f>'d3'!E155-'d3-П'!E155</f>
        <v>0</v>
      </c>
      <c r="F155" s="501">
        <f>'d3'!F155-'d3-П'!F155</f>
        <v>0</v>
      </c>
      <c r="G155" s="501">
        <f>'d3'!G155-'d3-П'!G155</f>
        <v>0</v>
      </c>
      <c r="H155" s="501">
        <f>'d3'!H155-'d3-П'!H155</f>
        <v>0</v>
      </c>
      <c r="I155" s="501">
        <f>'d3'!I155-'d3-П'!I155</f>
        <v>0</v>
      </c>
      <c r="J155" s="501">
        <f>'d3'!J155-'d3-П'!J155</f>
        <v>0</v>
      </c>
      <c r="K155" s="501">
        <f>'d3'!K155-'d3-П'!K155</f>
        <v>0</v>
      </c>
      <c r="L155" s="501">
        <f>'d3'!L155-'d3-П'!L155</f>
        <v>0</v>
      </c>
      <c r="M155" s="501">
        <f>'d3'!M155-'d3-П'!M155</f>
        <v>0</v>
      </c>
      <c r="N155" s="501">
        <f>'d3'!N155-'d3-П'!N155</f>
        <v>0</v>
      </c>
      <c r="O155" s="501">
        <f>'d3'!O155-'d3-П'!O155</f>
        <v>0</v>
      </c>
      <c r="P155" s="501">
        <f>'d3'!P155-'d3-П'!P155</f>
        <v>0</v>
      </c>
      <c r="Q155" s="45"/>
      <c r="R155" s="44"/>
      <c r="T155" s="43"/>
    </row>
    <row r="156" spans="1:20" ht="114" customHeight="1" thickTop="1" thickBot="1" x14ac:dyDescent="0.25">
      <c r="A156" s="469" t="s">
        <v>875</v>
      </c>
      <c r="B156" s="469" t="s">
        <v>42</v>
      </c>
      <c r="C156" s="469" t="s">
        <v>41</v>
      </c>
      <c r="D156" s="469" t="s">
        <v>242</v>
      </c>
      <c r="E156" s="501">
        <f>'d3'!E156-'d3-П'!E156</f>
        <v>0</v>
      </c>
      <c r="F156" s="501">
        <f>'d3'!F156-'d3-П'!F156</f>
        <v>0</v>
      </c>
      <c r="G156" s="501">
        <f>'d3'!G156-'d3-П'!G156</f>
        <v>0</v>
      </c>
      <c r="H156" s="501">
        <f>'d3'!H156-'d3-П'!H156</f>
        <v>0</v>
      </c>
      <c r="I156" s="501">
        <f>'d3'!I156-'d3-П'!I156</f>
        <v>0</v>
      </c>
      <c r="J156" s="501">
        <f>'d3'!J156-'d3-П'!J156</f>
        <v>0</v>
      </c>
      <c r="K156" s="501">
        <f>'d3'!K156-'d3-П'!K156</f>
        <v>0</v>
      </c>
      <c r="L156" s="501">
        <f>'d3'!L156-'d3-П'!L156</f>
        <v>0</v>
      </c>
      <c r="M156" s="501">
        <f>'d3'!M156-'d3-П'!M156</f>
        <v>0</v>
      </c>
      <c r="N156" s="501">
        <f>'d3'!N156-'d3-П'!N156</f>
        <v>0</v>
      </c>
      <c r="O156" s="501">
        <f>'d3'!O156-'d3-П'!O156</f>
        <v>0</v>
      </c>
      <c r="P156" s="501">
        <f>'d3'!P156-'d3-П'!P156</f>
        <v>0</v>
      </c>
      <c r="Q156" s="45"/>
      <c r="R156" s="44"/>
      <c r="T156" s="43"/>
    </row>
    <row r="157" spans="1:20" ht="107.25" customHeight="1" thickTop="1" thickBot="1" x14ac:dyDescent="0.25">
      <c r="A157" s="239" t="s">
        <v>695</v>
      </c>
      <c r="B157" s="239" t="s">
        <v>678</v>
      </c>
      <c r="C157" s="239"/>
      <c r="D157" s="239" t="s">
        <v>679</v>
      </c>
      <c r="E157" s="501">
        <f>'d3'!E157-'d3-П'!E157</f>
        <v>32684639.899999976</v>
      </c>
      <c r="F157" s="501">
        <f>'d3'!F157-'d3-П'!F157</f>
        <v>31518145.900000095</v>
      </c>
      <c r="G157" s="501">
        <f>'d3'!G157-'d3-П'!G157</f>
        <v>1020000</v>
      </c>
      <c r="H157" s="501">
        <f>'d3'!H157-'d3-П'!H157</f>
        <v>0</v>
      </c>
      <c r="I157" s="501">
        <f>'d3'!I157-'d3-П'!I157</f>
        <v>1166494</v>
      </c>
      <c r="J157" s="501">
        <f>'d3'!J157-'d3-П'!J157</f>
        <v>3000000</v>
      </c>
      <c r="K157" s="501">
        <f>'d3'!K157-'d3-П'!K157</f>
        <v>3000000</v>
      </c>
      <c r="L157" s="501">
        <f>'d3'!L157-'d3-П'!L157</f>
        <v>0</v>
      </c>
      <c r="M157" s="501">
        <f>'d3'!M157-'d3-П'!M157</f>
        <v>0</v>
      </c>
      <c r="N157" s="501">
        <f>'d3'!N157-'d3-П'!N157</f>
        <v>0</v>
      </c>
      <c r="O157" s="501">
        <f>'d3'!O157-'d3-П'!O157</f>
        <v>3000000</v>
      </c>
      <c r="P157" s="501">
        <f>'d3'!P157-'d3-П'!P157</f>
        <v>35684639.899999976</v>
      </c>
      <c r="Q157" s="45"/>
      <c r="R157" s="44"/>
      <c r="T157" s="43"/>
    </row>
    <row r="158" spans="1:20" ht="186" customHeight="1" thickTop="1" thickBot="1" x14ac:dyDescent="0.25">
      <c r="A158" s="481" t="s">
        <v>696</v>
      </c>
      <c r="B158" s="481" t="s">
        <v>697</v>
      </c>
      <c r="C158" s="131"/>
      <c r="D158" s="481" t="s">
        <v>1517</v>
      </c>
      <c r="E158" s="501">
        <f>'d3'!E158-'d3-П'!E158</f>
        <v>175000</v>
      </c>
      <c r="F158" s="501">
        <f>'d3'!F158-'d3-П'!F158</f>
        <v>175000</v>
      </c>
      <c r="G158" s="501">
        <f>'d3'!G158-'d3-П'!G158</f>
        <v>0</v>
      </c>
      <c r="H158" s="501">
        <f>'d3'!H158-'d3-П'!H158</f>
        <v>0</v>
      </c>
      <c r="I158" s="501">
        <f>'d3'!I158-'d3-П'!I158</f>
        <v>0</v>
      </c>
      <c r="J158" s="501">
        <f>'d3'!J158-'d3-П'!J158</f>
        <v>0</v>
      </c>
      <c r="K158" s="501">
        <f>'d3'!K158-'d3-П'!K158</f>
        <v>0</v>
      </c>
      <c r="L158" s="501">
        <f>'d3'!L158-'d3-П'!L158</f>
        <v>0</v>
      </c>
      <c r="M158" s="501">
        <f>'d3'!M158-'d3-П'!M158</f>
        <v>0</v>
      </c>
      <c r="N158" s="501">
        <f>'d3'!N158-'d3-П'!N158</f>
        <v>0</v>
      </c>
      <c r="O158" s="501">
        <f>'d3'!O158-'d3-П'!O158</f>
        <v>0</v>
      </c>
      <c r="P158" s="501">
        <f>'d3'!P158-'d3-П'!P158</f>
        <v>175000</v>
      </c>
      <c r="Q158" s="141"/>
      <c r="R158" s="46"/>
      <c r="T158" s="47"/>
    </row>
    <row r="159" spans="1:20" s="31" customFormat="1" ht="93" thickTop="1" thickBot="1" x14ac:dyDescent="0.25">
      <c r="A159" s="469" t="s">
        <v>263</v>
      </c>
      <c r="B159" s="469" t="s">
        <v>264</v>
      </c>
      <c r="C159" s="469" t="s">
        <v>200</v>
      </c>
      <c r="D159" s="475" t="s">
        <v>265</v>
      </c>
      <c r="E159" s="501">
        <f>'d3'!E159-'d3-П'!E159</f>
        <v>175000</v>
      </c>
      <c r="F159" s="501">
        <f>'d3'!F159-'d3-П'!F159</f>
        <v>175000</v>
      </c>
      <c r="G159" s="501">
        <f>'d3'!G159-'d3-П'!G159</f>
        <v>0</v>
      </c>
      <c r="H159" s="501">
        <f>'d3'!H159-'d3-П'!H159</f>
        <v>0</v>
      </c>
      <c r="I159" s="501">
        <f>'d3'!I159-'d3-П'!I159</f>
        <v>0</v>
      </c>
      <c r="J159" s="501">
        <f>'d3'!J159-'d3-П'!J159</f>
        <v>0</v>
      </c>
      <c r="K159" s="501">
        <f>'d3'!K159-'d3-П'!K159</f>
        <v>0</v>
      </c>
      <c r="L159" s="501">
        <f>'d3'!L159-'d3-П'!L159</f>
        <v>0</v>
      </c>
      <c r="M159" s="501">
        <f>'d3'!M159-'d3-П'!M159</f>
        <v>0</v>
      </c>
      <c r="N159" s="501">
        <f>'d3'!N159-'d3-П'!N159</f>
        <v>0</v>
      </c>
      <c r="O159" s="501">
        <f>'d3'!O159-'d3-П'!O159</f>
        <v>0</v>
      </c>
      <c r="P159" s="501">
        <f>'d3'!P159-'d3-П'!P159</f>
        <v>175000</v>
      </c>
      <c r="Q159" s="34"/>
      <c r="R159" s="44"/>
    </row>
    <row r="160" spans="1:20" s="31" customFormat="1" ht="101.25" customHeight="1" thickTop="1" thickBot="1" x14ac:dyDescent="0.25">
      <c r="A160" s="469" t="s">
        <v>266</v>
      </c>
      <c r="B160" s="469" t="s">
        <v>267</v>
      </c>
      <c r="C160" s="469" t="s">
        <v>201</v>
      </c>
      <c r="D160" s="469" t="s">
        <v>6</v>
      </c>
      <c r="E160" s="501">
        <f>'d3'!E160-'d3-П'!E160</f>
        <v>0</v>
      </c>
      <c r="F160" s="501">
        <f>'d3'!F160-'d3-П'!F160</f>
        <v>0</v>
      </c>
      <c r="G160" s="501">
        <f>'d3'!G160-'d3-П'!G160</f>
        <v>0</v>
      </c>
      <c r="H160" s="501">
        <f>'d3'!H160-'d3-П'!H160</f>
        <v>0</v>
      </c>
      <c r="I160" s="501">
        <f>'d3'!I160-'d3-П'!I160</f>
        <v>0</v>
      </c>
      <c r="J160" s="501">
        <f>'d3'!J160-'d3-П'!J160</f>
        <v>0</v>
      </c>
      <c r="K160" s="501">
        <f>'d3'!K160-'d3-П'!K160</f>
        <v>0</v>
      </c>
      <c r="L160" s="501">
        <f>'d3'!L160-'d3-П'!L160</f>
        <v>0</v>
      </c>
      <c r="M160" s="501">
        <f>'d3'!M160-'d3-П'!M160</f>
        <v>0</v>
      </c>
      <c r="N160" s="501">
        <f>'d3'!N160-'d3-П'!N160</f>
        <v>0</v>
      </c>
      <c r="O160" s="501">
        <f>'d3'!O160-'d3-П'!O160</f>
        <v>0</v>
      </c>
      <c r="P160" s="501">
        <f>'d3'!P160-'d3-П'!P160</f>
        <v>0</v>
      </c>
      <c r="Q160" s="34"/>
      <c r="R160" s="48"/>
    </row>
    <row r="161" spans="1:18" s="31" customFormat="1" ht="149.25" customHeight="1" thickTop="1" thickBot="1" x14ac:dyDescent="0.25">
      <c r="A161" s="94" t="s">
        <v>269</v>
      </c>
      <c r="B161" s="94" t="s">
        <v>270</v>
      </c>
      <c r="C161" s="94" t="s">
        <v>201</v>
      </c>
      <c r="D161" s="94" t="s">
        <v>7</v>
      </c>
      <c r="E161" s="501">
        <f>'d3'!E161-'d3-П'!E161</f>
        <v>0</v>
      </c>
      <c r="F161" s="501">
        <f>'d3'!F161-'d3-П'!F161</f>
        <v>0</v>
      </c>
      <c r="G161" s="501">
        <f>'d3'!G161-'d3-П'!G161</f>
        <v>0</v>
      </c>
      <c r="H161" s="501">
        <f>'d3'!H161-'d3-П'!H161</f>
        <v>0</v>
      </c>
      <c r="I161" s="501">
        <f>'d3'!I161-'d3-П'!I161</f>
        <v>0</v>
      </c>
      <c r="J161" s="501">
        <f>'d3'!J161-'d3-П'!J161</f>
        <v>0</v>
      </c>
      <c r="K161" s="501">
        <f>'d3'!K161-'d3-П'!K161</f>
        <v>0</v>
      </c>
      <c r="L161" s="501">
        <f>'d3'!L161-'d3-П'!L161</f>
        <v>0</v>
      </c>
      <c r="M161" s="501">
        <f>'d3'!M161-'d3-П'!M161</f>
        <v>0</v>
      </c>
      <c r="N161" s="501">
        <f>'d3'!N161-'d3-П'!N161</f>
        <v>0</v>
      </c>
      <c r="O161" s="501">
        <f>'d3'!O161-'d3-П'!O161</f>
        <v>0</v>
      </c>
      <c r="P161" s="501">
        <f>'d3'!P161-'d3-П'!P161</f>
        <v>0</v>
      </c>
      <c r="Q161" s="34"/>
      <c r="R161" s="48"/>
    </row>
    <row r="162" spans="1:18" s="31" customFormat="1" ht="146.25" customHeight="1" thickTop="1" thickBot="1" x14ac:dyDescent="0.25">
      <c r="A162" s="94" t="s">
        <v>271</v>
      </c>
      <c r="B162" s="94" t="s">
        <v>268</v>
      </c>
      <c r="C162" s="94" t="s">
        <v>201</v>
      </c>
      <c r="D162" s="94" t="s">
        <v>8</v>
      </c>
      <c r="E162" s="501">
        <f>'d3'!E162-'d3-П'!E162</f>
        <v>0</v>
      </c>
      <c r="F162" s="501">
        <f>'d3'!F162-'d3-П'!F162</f>
        <v>0</v>
      </c>
      <c r="G162" s="501">
        <f>'d3'!G162-'d3-П'!G162</f>
        <v>0</v>
      </c>
      <c r="H162" s="501">
        <f>'d3'!H162-'d3-П'!H162</f>
        <v>0</v>
      </c>
      <c r="I162" s="501">
        <f>'d3'!I162-'d3-П'!I162</f>
        <v>0</v>
      </c>
      <c r="J162" s="501">
        <f>'d3'!J162-'d3-П'!J162</f>
        <v>0</v>
      </c>
      <c r="K162" s="501">
        <f>'d3'!K162-'d3-П'!K162</f>
        <v>0</v>
      </c>
      <c r="L162" s="501">
        <f>'d3'!L162-'d3-П'!L162</f>
        <v>0</v>
      </c>
      <c r="M162" s="501">
        <f>'d3'!M162-'d3-П'!M162</f>
        <v>0</v>
      </c>
      <c r="N162" s="501">
        <f>'d3'!N162-'d3-П'!N162</f>
        <v>0</v>
      </c>
      <c r="O162" s="501">
        <f>'d3'!O162-'d3-П'!O162</f>
        <v>0</v>
      </c>
      <c r="P162" s="501">
        <f>'d3'!P162-'d3-П'!P162</f>
        <v>0</v>
      </c>
      <c r="Q162" s="34"/>
      <c r="R162" s="48"/>
    </row>
    <row r="163" spans="1:18" s="31" customFormat="1" ht="152.25" customHeight="1" thickTop="1" thickBot="1" x14ac:dyDescent="0.25">
      <c r="A163" s="94" t="s">
        <v>272</v>
      </c>
      <c r="B163" s="94" t="s">
        <v>273</v>
      </c>
      <c r="C163" s="94" t="s">
        <v>201</v>
      </c>
      <c r="D163" s="94" t="s">
        <v>9</v>
      </c>
      <c r="E163" s="501">
        <f>'d3'!E163-'d3-П'!E163</f>
        <v>0</v>
      </c>
      <c r="F163" s="501">
        <f>'d3'!F163-'d3-П'!F163</f>
        <v>0</v>
      </c>
      <c r="G163" s="501">
        <f>'d3'!G163-'d3-П'!G163</f>
        <v>0</v>
      </c>
      <c r="H163" s="501">
        <f>'d3'!H163-'d3-П'!H163</f>
        <v>0</v>
      </c>
      <c r="I163" s="501">
        <f>'d3'!I163-'d3-П'!I163</f>
        <v>0</v>
      </c>
      <c r="J163" s="501">
        <f>'d3'!J163-'d3-П'!J163</f>
        <v>0</v>
      </c>
      <c r="K163" s="501">
        <f>'d3'!K163-'d3-П'!K163</f>
        <v>0</v>
      </c>
      <c r="L163" s="501">
        <f>'d3'!L163-'d3-П'!L163</f>
        <v>0</v>
      </c>
      <c r="M163" s="501">
        <f>'d3'!M163-'d3-П'!M163</f>
        <v>0</v>
      </c>
      <c r="N163" s="501">
        <f>'d3'!N163-'d3-П'!N163</f>
        <v>0</v>
      </c>
      <c r="O163" s="501">
        <f>'d3'!O163-'d3-П'!O163</f>
        <v>0</v>
      </c>
      <c r="P163" s="501">
        <f>'d3'!P163-'d3-П'!P163</f>
        <v>0</v>
      </c>
      <c r="Q163" s="34"/>
      <c r="R163" s="48"/>
    </row>
    <row r="164" spans="1:18" s="31" customFormat="1" ht="124.5" customHeight="1" thickTop="1" thickBot="1" x14ac:dyDescent="0.25">
      <c r="A164" s="94" t="s">
        <v>462</v>
      </c>
      <c r="B164" s="94" t="s">
        <v>463</v>
      </c>
      <c r="C164" s="94" t="s">
        <v>201</v>
      </c>
      <c r="D164" s="94" t="s">
        <v>464</v>
      </c>
      <c r="E164" s="501">
        <f>'d3'!E164-'d3-П'!E164</f>
        <v>0</v>
      </c>
      <c r="F164" s="501">
        <f>'d3'!F164-'d3-П'!F164</f>
        <v>0</v>
      </c>
      <c r="G164" s="501">
        <f>'d3'!G164-'d3-П'!G164</f>
        <v>0</v>
      </c>
      <c r="H164" s="501">
        <f>'d3'!H164-'d3-П'!H164</f>
        <v>0</v>
      </c>
      <c r="I164" s="501">
        <f>'d3'!I164-'d3-П'!I164</f>
        <v>0</v>
      </c>
      <c r="J164" s="501">
        <f>'d3'!J164-'d3-П'!J164</f>
        <v>0</v>
      </c>
      <c r="K164" s="501">
        <f>'d3'!K164-'d3-П'!K164</f>
        <v>0</v>
      </c>
      <c r="L164" s="501">
        <f>'d3'!L164-'d3-П'!L164</f>
        <v>0</v>
      </c>
      <c r="M164" s="501">
        <f>'d3'!M164-'d3-П'!M164</f>
        <v>0</v>
      </c>
      <c r="N164" s="501">
        <f>'d3'!N164-'d3-П'!N164</f>
        <v>0</v>
      </c>
      <c r="O164" s="501">
        <f>'d3'!O164-'d3-П'!O164</f>
        <v>0</v>
      </c>
      <c r="P164" s="501">
        <f>'d3'!P164-'d3-П'!P164</f>
        <v>0</v>
      </c>
      <c r="Q164" s="34"/>
      <c r="R164" s="48"/>
    </row>
    <row r="165" spans="1:18" s="31" customFormat="1" ht="143.25" customHeight="1" thickTop="1" thickBot="1" x14ac:dyDescent="0.25">
      <c r="A165" s="94" t="s">
        <v>876</v>
      </c>
      <c r="B165" s="94" t="s">
        <v>877</v>
      </c>
      <c r="C165" s="94" t="s">
        <v>201</v>
      </c>
      <c r="D165" s="94" t="s">
        <v>878</v>
      </c>
      <c r="E165" s="501">
        <f>'d3'!E165-'d3-П'!E165</f>
        <v>0</v>
      </c>
      <c r="F165" s="501">
        <f>'d3'!F165-'d3-П'!F165</f>
        <v>0</v>
      </c>
      <c r="G165" s="501">
        <f>'d3'!G165-'d3-П'!G165</f>
        <v>0</v>
      </c>
      <c r="H165" s="501">
        <f>'d3'!H165-'d3-П'!H165</f>
        <v>0</v>
      </c>
      <c r="I165" s="501">
        <f>'d3'!I165-'d3-П'!I165</f>
        <v>0</v>
      </c>
      <c r="J165" s="501">
        <f>'d3'!J165-'d3-П'!J165</f>
        <v>0</v>
      </c>
      <c r="K165" s="501">
        <f>'d3'!K165-'d3-П'!K165</f>
        <v>0</v>
      </c>
      <c r="L165" s="501">
        <f>'d3'!L165-'d3-П'!L165</f>
        <v>0</v>
      </c>
      <c r="M165" s="501">
        <f>'d3'!M165-'d3-П'!M165</f>
        <v>0</v>
      </c>
      <c r="N165" s="501">
        <f>'d3'!N165-'d3-П'!N165</f>
        <v>0</v>
      </c>
      <c r="O165" s="501">
        <f>'d3'!O165-'d3-П'!O165</f>
        <v>0</v>
      </c>
      <c r="P165" s="501">
        <f>'d3'!P165-'d3-П'!P165</f>
        <v>0</v>
      </c>
      <c r="Q165" s="34"/>
      <c r="R165" s="48"/>
    </row>
    <row r="166" spans="1:18" ht="93" thickTop="1" thickBot="1" x14ac:dyDescent="0.25">
      <c r="A166" s="94" t="s">
        <v>465</v>
      </c>
      <c r="B166" s="94" t="s">
        <v>466</v>
      </c>
      <c r="C166" s="94" t="s">
        <v>200</v>
      </c>
      <c r="D166" s="94" t="s">
        <v>467</v>
      </c>
      <c r="E166" s="501">
        <f>'d3'!E166-'d3-П'!E166</f>
        <v>0</v>
      </c>
      <c r="F166" s="501">
        <f>'d3'!F166-'d3-П'!F166</f>
        <v>0</v>
      </c>
      <c r="G166" s="501">
        <f>'d3'!G166-'d3-П'!G166</f>
        <v>0</v>
      </c>
      <c r="H166" s="501">
        <f>'d3'!H166-'d3-П'!H166</f>
        <v>0</v>
      </c>
      <c r="I166" s="501">
        <f>'d3'!I166-'d3-П'!I166</f>
        <v>0</v>
      </c>
      <c r="J166" s="501">
        <f>'d3'!J166-'d3-П'!J166</f>
        <v>0</v>
      </c>
      <c r="K166" s="501">
        <f>'d3'!K166-'d3-П'!K166</f>
        <v>0</v>
      </c>
      <c r="L166" s="501">
        <f>'d3'!L166-'d3-П'!L166</f>
        <v>0</v>
      </c>
      <c r="M166" s="501">
        <f>'d3'!M166-'d3-П'!M166</f>
        <v>0</v>
      </c>
      <c r="N166" s="501">
        <f>'d3'!N166-'d3-П'!N166</f>
        <v>0</v>
      </c>
      <c r="O166" s="501">
        <f>'d3'!O166-'d3-П'!O166</f>
        <v>0</v>
      </c>
      <c r="P166" s="501">
        <f>'d3'!P166-'d3-П'!P166</f>
        <v>0</v>
      </c>
      <c r="Q166" s="18"/>
      <c r="R166" s="48"/>
    </row>
    <row r="167" spans="1:18" s="31" customFormat="1" ht="195" customHeight="1" thickTop="1" thickBot="1" x14ac:dyDescent="0.25">
      <c r="A167" s="518" t="s">
        <v>698</v>
      </c>
      <c r="B167" s="518" t="s">
        <v>699</v>
      </c>
      <c r="C167" s="518"/>
      <c r="D167" s="518" t="s">
        <v>700</v>
      </c>
      <c r="E167" s="501">
        <f>'d3'!E167-'d3-П'!E167</f>
        <v>2006293.2300000042</v>
      </c>
      <c r="F167" s="501">
        <f>'d3'!F167-'d3-П'!F167</f>
        <v>1306293.2300000042</v>
      </c>
      <c r="G167" s="501">
        <f>'d3'!G167-'d3-П'!G167</f>
        <v>1020000</v>
      </c>
      <c r="H167" s="501">
        <f>'d3'!H167-'d3-П'!H167</f>
        <v>0</v>
      </c>
      <c r="I167" s="501">
        <f>'d3'!I167-'d3-П'!I167</f>
        <v>700000</v>
      </c>
      <c r="J167" s="501">
        <f>'d3'!J167-'d3-П'!J167</f>
        <v>0</v>
      </c>
      <c r="K167" s="501">
        <f>'d3'!K167-'d3-П'!K167</f>
        <v>0</v>
      </c>
      <c r="L167" s="501">
        <f>'d3'!L167-'d3-П'!L167</f>
        <v>0</v>
      </c>
      <c r="M167" s="501">
        <f>'d3'!M167-'d3-П'!M167</f>
        <v>0</v>
      </c>
      <c r="N167" s="501">
        <f>'d3'!N167-'d3-П'!N167</f>
        <v>0</v>
      </c>
      <c r="O167" s="501">
        <f>'d3'!O167-'d3-П'!O167</f>
        <v>0</v>
      </c>
      <c r="P167" s="501">
        <f>'d3'!P167-'d3-П'!P167</f>
        <v>2006293.2300000042</v>
      </c>
      <c r="Q167" s="34"/>
      <c r="R167" s="49"/>
    </row>
    <row r="168" spans="1:18" ht="173.25" customHeight="1" thickTop="1" thickBot="1" x14ac:dyDescent="0.25">
      <c r="A168" s="94" t="s">
        <v>261</v>
      </c>
      <c r="B168" s="94" t="s">
        <v>259</v>
      </c>
      <c r="C168" s="94" t="s">
        <v>195</v>
      </c>
      <c r="D168" s="94" t="s">
        <v>17</v>
      </c>
      <c r="E168" s="501">
        <f>'d3'!E168-'d3-П'!E168</f>
        <v>500000</v>
      </c>
      <c r="F168" s="501">
        <f>'d3'!F168-'d3-П'!F168</f>
        <v>-200000</v>
      </c>
      <c r="G168" s="501">
        <f>'d3'!G168-'d3-П'!G168</f>
        <v>0</v>
      </c>
      <c r="H168" s="501">
        <f>'d3'!H168-'d3-П'!H168</f>
        <v>0</v>
      </c>
      <c r="I168" s="501">
        <f>'d3'!I168-'d3-П'!I168</f>
        <v>700000</v>
      </c>
      <c r="J168" s="501">
        <f>'d3'!J168-'d3-П'!J168</f>
        <v>0</v>
      </c>
      <c r="K168" s="501">
        <f>'d3'!K168-'d3-П'!K168</f>
        <v>0</v>
      </c>
      <c r="L168" s="501">
        <f>'d3'!L168-'d3-П'!L168</f>
        <v>0</v>
      </c>
      <c r="M168" s="501">
        <f>'d3'!M168-'d3-П'!M168</f>
        <v>0</v>
      </c>
      <c r="N168" s="501">
        <f>'d3'!N168-'d3-П'!N168</f>
        <v>0</v>
      </c>
      <c r="O168" s="501">
        <f>'d3'!O168-'d3-П'!O168</f>
        <v>0</v>
      </c>
      <c r="P168" s="501">
        <f>'d3'!P168-'d3-П'!P168</f>
        <v>500000</v>
      </c>
      <c r="Q168" s="18"/>
      <c r="R168" s="44"/>
    </row>
    <row r="169" spans="1:18" ht="134.25" customHeight="1" thickTop="1" thickBot="1" x14ac:dyDescent="0.25">
      <c r="A169" s="94" t="s">
        <v>262</v>
      </c>
      <c r="B169" s="94" t="s">
        <v>260</v>
      </c>
      <c r="C169" s="94" t="s">
        <v>194</v>
      </c>
      <c r="D169" s="94" t="s">
        <v>443</v>
      </c>
      <c r="E169" s="501">
        <f>'d3'!E169-'d3-П'!E169</f>
        <v>1506293.2300000004</v>
      </c>
      <c r="F169" s="501">
        <f>'d3'!F169-'d3-П'!F169</f>
        <v>1506293.2300000004</v>
      </c>
      <c r="G169" s="501">
        <f>'d3'!G169-'d3-П'!G169</f>
        <v>1020000</v>
      </c>
      <c r="H169" s="501">
        <f>'d3'!H169-'d3-П'!H169</f>
        <v>0</v>
      </c>
      <c r="I169" s="501">
        <f>'d3'!I169-'d3-П'!I169</f>
        <v>0</v>
      </c>
      <c r="J169" s="501">
        <f>'d3'!J169-'d3-П'!J169</f>
        <v>0</v>
      </c>
      <c r="K169" s="501">
        <f>'d3'!K169-'d3-П'!K169</f>
        <v>0</v>
      </c>
      <c r="L169" s="501">
        <f>'d3'!L169-'d3-П'!L169</f>
        <v>0</v>
      </c>
      <c r="M169" s="501">
        <f>'d3'!M169-'d3-П'!M169</f>
        <v>0</v>
      </c>
      <c r="N169" s="501">
        <f>'d3'!N169-'d3-П'!N169</f>
        <v>0</v>
      </c>
      <c r="O169" s="501">
        <f>'d3'!O169-'d3-П'!O169</f>
        <v>0</v>
      </c>
      <c r="P169" s="501">
        <f>'d3'!P169-'d3-П'!P169</f>
        <v>1506293.2300000004</v>
      </c>
      <c r="Q169" s="18"/>
      <c r="R169" s="44"/>
    </row>
    <row r="170" spans="1:18" ht="88.5" customHeight="1" thickTop="1" thickBot="1" x14ac:dyDescent="0.25">
      <c r="A170" s="518" t="s">
        <v>1426</v>
      </c>
      <c r="B170" s="518" t="s">
        <v>1427</v>
      </c>
      <c r="C170" s="518"/>
      <c r="D170" s="518" t="s">
        <v>1428</v>
      </c>
      <c r="E170" s="501">
        <f>'d3'!E170-'d3-П'!E170</f>
        <v>100000</v>
      </c>
      <c r="F170" s="501">
        <f>'d3'!F170-'d3-П'!F170</f>
        <v>100000</v>
      </c>
      <c r="G170" s="501">
        <f>'d3'!G170-'d3-П'!G170</f>
        <v>0</v>
      </c>
      <c r="H170" s="501">
        <f>'d3'!H170-'d3-П'!H170</f>
        <v>0</v>
      </c>
      <c r="I170" s="501">
        <f>'d3'!I170-'d3-П'!I170</f>
        <v>0</v>
      </c>
      <c r="J170" s="501">
        <f>'d3'!J170-'d3-П'!J170</f>
        <v>0</v>
      </c>
      <c r="K170" s="501">
        <f>'d3'!K170-'d3-П'!K170</f>
        <v>0</v>
      </c>
      <c r="L170" s="501">
        <f>'d3'!L170-'d3-П'!L170</f>
        <v>0</v>
      </c>
      <c r="M170" s="501">
        <f>'d3'!M170-'d3-П'!M170</f>
        <v>0</v>
      </c>
      <c r="N170" s="501">
        <f>'d3'!N170-'d3-П'!N170</f>
        <v>0</v>
      </c>
      <c r="O170" s="501">
        <f>'d3'!O170-'d3-П'!O170</f>
        <v>0</v>
      </c>
      <c r="P170" s="501">
        <f>'d3'!P170-'d3-П'!P170</f>
        <v>100000</v>
      </c>
      <c r="Q170" s="18"/>
      <c r="R170" s="44"/>
    </row>
    <row r="171" spans="1:18" ht="138.75" thickTop="1" thickBot="1" x14ac:dyDescent="0.25">
      <c r="A171" s="94" t="s">
        <v>1430</v>
      </c>
      <c r="B171" s="94" t="s">
        <v>1431</v>
      </c>
      <c r="C171" s="94" t="s">
        <v>180</v>
      </c>
      <c r="D171" s="94" t="s">
        <v>1429</v>
      </c>
      <c r="E171" s="501">
        <f>'d3'!E171-'d3-П'!E171</f>
        <v>100000</v>
      </c>
      <c r="F171" s="501">
        <f>'d3'!F171-'d3-П'!F171</f>
        <v>100000</v>
      </c>
      <c r="G171" s="501">
        <f>'d3'!G171-'d3-П'!G171</f>
        <v>0</v>
      </c>
      <c r="H171" s="501">
        <f>'d3'!H171-'d3-П'!H171</f>
        <v>0</v>
      </c>
      <c r="I171" s="501">
        <f>'d3'!I171-'d3-П'!I171</f>
        <v>0</v>
      </c>
      <c r="J171" s="501">
        <f>'d3'!J171-'d3-П'!J171</f>
        <v>0</v>
      </c>
      <c r="K171" s="501">
        <f>'d3'!K171-'d3-П'!K171</f>
        <v>0</v>
      </c>
      <c r="L171" s="501">
        <f>'d3'!L171-'d3-П'!L171</f>
        <v>0</v>
      </c>
      <c r="M171" s="501">
        <f>'d3'!M171-'d3-П'!M171</f>
        <v>0</v>
      </c>
      <c r="N171" s="501">
        <f>'d3'!N171-'d3-П'!N171</f>
        <v>0</v>
      </c>
      <c r="O171" s="501">
        <f>'d3'!O171-'d3-П'!O171</f>
        <v>0</v>
      </c>
      <c r="P171" s="501">
        <f>'d3'!P171-'d3-П'!P171</f>
        <v>100000</v>
      </c>
      <c r="Q171" s="18"/>
      <c r="R171" s="44"/>
    </row>
    <row r="172" spans="1:18" ht="107.25" customHeight="1" thickTop="1" thickBot="1" x14ac:dyDescent="0.25">
      <c r="A172" s="518" t="s">
        <v>945</v>
      </c>
      <c r="B172" s="518" t="s">
        <v>729</v>
      </c>
      <c r="C172" s="518"/>
      <c r="D172" s="518" t="s">
        <v>730</v>
      </c>
      <c r="E172" s="501">
        <f>'d3'!E172-'d3-П'!E172</f>
        <v>99460</v>
      </c>
      <c r="F172" s="501">
        <f>'d3'!F172-'d3-П'!F172</f>
        <v>99460</v>
      </c>
      <c r="G172" s="501">
        <f>'d3'!G172-'d3-П'!G172</f>
        <v>0</v>
      </c>
      <c r="H172" s="501">
        <f>'d3'!H172-'d3-П'!H172</f>
        <v>0</v>
      </c>
      <c r="I172" s="501">
        <f>'d3'!I172-'d3-П'!I172</f>
        <v>0</v>
      </c>
      <c r="J172" s="501">
        <f>'d3'!J172-'d3-П'!J172</f>
        <v>0</v>
      </c>
      <c r="K172" s="501">
        <f>'d3'!K172-'d3-П'!K172</f>
        <v>0</v>
      </c>
      <c r="L172" s="501">
        <f>'d3'!L172-'d3-П'!L172</f>
        <v>0</v>
      </c>
      <c r="M172" s="501">
        <f>'d3'!M172-'d3-П'!M172</f>
        <v>0</v>
      </c>
      <c r="N172" s="501">
        <f>'d3'!N172-'d3-П'!N172</f>
        <v>0</v>
      </c>
      <c r="O172" s="501">
        <f>'d3'!O172-'d3-П'!O172</f>
        <v>0</v>
      </c>
      <c r="P172" s="501">
        <f>'d3'!P172-'d3-П'!P172</f>
        <v>99460</v>
      </c>
      <c r="Q172" s="18"/>
      <c r="R172" s="44"/>
    </row>
    <row r="173" spans="1:18" ht="206.25" customHeight="1" thickTop="1" thickBot="1" x14ac:dyDescent="0.25">
      <c r="A173" s="94" t="s">
        <v>1095</v>
      </c>
      <c r="B173" s="94" t="s">
        <v>179</v>
      </c>
      <c r="C173" s="94" t="s">
        <v>180</v>
      </c>
      <c r="D173" s="94" t="s">
        <v>1388</v>
      </c>
      <c r="E173" s="501">
        <f>'d3'!E173-'d3-П'!E173</f>
        <v>0</v>
      </c>
      <c r="F173" s="501">
        <f>'d3'!F173-'d3-П'!F173</f>
        <v>0</v>
      </c>
      <c r="G173" s="501">
        <f>'d3'!G173-'d3-П'!G173</f>
        <v>0</v>
      </c>
      <c r="H173" s="501">
        <f>'d3'!H173-'d3-П'!H173</f>
        <v>0</v>
      </c>
      <c r="I173" s="501">
        <f>'d3'!I173-'d3-П'!I173</f>
        <v>0</v>
      </c>
      <c r="J173" s="501">
        <f>'d3'!J173-'d3-П'!J173</f>
        <v>0</v>
      </c>
      <c r="K173" s="501">
        <f>'d3'!K173-'d3-П'!K173</f>
        <v>0</v>
      </c>
      <c r="L173" s="501">
        <f>'d3'!L173-'d3-П'!L173</f>
        <v>0</v>
      </c>
      <c r="M173" s="501">
        <f>'d3'!M173-'d3-П'!M173</f>
        <v>0</v>
      </c>
      <c r="N173" s="501">
        <f>'d3'!N173-'d3-П'!N173</f>
        <v>0</v>
      </c>
      <c r="O173" s="501">
        <f>'d3'!O173-'d3-П'!O173</f>
        <v>0</v>
      </c>
      <c r="P173" s="501">
        <f>'d3'!P173-'d3-П'!P173</f>
        <v>0</v>
      </c>
      <c r="Q173" s="18"/>
      <c r="R173" s="44"/>
    </row>
    <row r="174" spans="1:18" ht="174" customHeight="1" thickTop="1" thickBot="1" x14ac:dyDescent="0.25">
      <c r="A174" s="94" t="s">
        <v>946</v>
      </c>
      <c r="B174" s="94" t="s">
        <v>947</v>
      </c>
      <c r="C174" s="94" t="s">
        <v>180</v>
      </c>
      <c r="D174" s="94" t="s">
        <v>1389</v>
      </c>
      <c r="E174" s="501">
        <f>'d3'!E174-'d3-П'!E174</f>
        <v>99460</v>
      </c>
      <c r="F174" s="501">
        <f>'d3'!F174-'d3-П'!F174</f>
        <v>99460</v>
      </c>
      <c r="G174" s="501">
        <f>'d3'!G174-'d3-П'!G174</f>
        <v>0</v>
      </c>
      <c r="H174" s="501">
        <f>'d3'!H174-'d3-П'!H174</f>
        <v>0</v>
      </c>
      <c r="I174" s="501">
        <f>'d3'!I174-'d3-П'!I174</f>
        <v>0</v>
      </c>
      <c r="J174" s="501">
        <f>'d3'!J174-'d3-П'!J174</f>
        <v>0</v>
      </c>
      <c r="K174" s="501">
        <f>'d3'!K174-'d3-П'!K174</f>
        <v>0</v>
      </c>
      <c r="L174" s="501">
        <f>'d3'!L174-'d3-П'!L174</f>
        <v>0</v>
      </c>
      <c r="M174" s="501">
        <f>'d3'!M174-'d3-П'!M174</f>
        <v>0</v>
      </c>
      <c r="N174" s="501">
        <f>'d3'!N174-'d3-П'!N174</f>
        <v>0</v>
      </c>
      <c r="O174" s="501">
        <f>'d3'!O174-'d3-П'!O174</f>
        <v>0</v>
      </c>
      <c r="P174" s="501">
        <f>'d3'!P174-'d3-П'!P174</f>
        <v>99460</v>
      </c>
      <c r="Q174" s="18"/>
      <c r="R174" s="44"/>
    </row>
    <row r="175" spans="1:18" ht="219" customHeight="1" thickTop="1" thickBot="1" x14ac:dyDescent="0.25">
      <c r="A175" s="94" t="s">
        <v>257</v>
      </c>
      <c r="B175" s="94" t="s">
        <v>258</v>
      </c>
      <c r="C175" s="94" t="s">
        <v>194</v>
      </c>
      <c r="D175" s="94" t="s">
        <v>1519</v>
      </c>
      <c r="E175" s="501">
        <f>'d3'!E175-'d3-П'!E175</f>
        <v>0</v>
      </c>
      <c r="F175" s="501">
        <f>'d3'!F175-'d3-П'!F175</f>
        <v>0</v>
      </c>
      <c r="G175" s="501">
        <f>'d3'!G175-'d3-П'!G175</f>
        <v>0</v>
      </c>
      <c r="H175" s="501">
        <f>'d3'!H175-'d3-П'!H175</f>
        <v>0</v>
      </c>
      <c r="I175" s="501">
        <f>'d3'!I175-'d3-П'!I175</f>
        <v>0</v>
      </c>
      <c r="J175" s="501">
        <f>'d3'!J175-'d3-П'!J175</f>
        <v>0</v>
      </c>
      <c r="K175" s="501">
        <f>'d3'!K175-'d3-П'!K175</f>
        <v>0</v>
      </c>
      <c r="L175" s="501">
        <f>'d3'!L175-'d3-П'!L175</f>
        <v>0</v>
      </c>
      <c r="M175" s="501">
        <f>'d3'!M175-'d3-П'!M175</f>
        <v>0</v>
      </c>
      <c r="N175" s="501">
        <f>'d3'!N175-'d3-П'!N175</f>
        <v>0</v>
      </c>
      <c r="O175" s="501">
        <f>'d3'!O175-'d3-П'!O175</f>
        <v>0</v>
      </c>
      <c r="P175" s="501">
        <f>'d3'!P175-'d3-П'!P175</f>
        <v>0</v>
      </c>
      <c r="Q175" s="18"/>
      <c r="R175" s="48"/>
    </row>
    <row r="176" spans="1:18" ht="107.25" customHeight="1" thickTop="1" thickBot="1" x14ac:dyDescent="0.25">
      <c r="A176" s="518" t="s">
        <v>838</v>
      </c>
      <c r="B176" s="518" t="s">
        <v>839</v>
      </c>
      <c r="C176" s="518"/>
      <c r="D176" s="518" t="s">
        <v>840</v>
      </c>
      <c r="E176" s="501">
        <f>'d3'!E176-'d3-П'!E176</f>
        <v>0</v>
      </c>
      <c r="F176" s="501">
        <f>'d3'!F176-'d3-П'!F176</f>
        <v>0</v>
      </c>
      <c r="G176" s="501">
        <f>'d3'!G176-'d3-П'!G176</f>
        <v>0</v>
      </c>
      <c r="H176" s="501">
        <f>'d3'!H176-'d3-П'!H176</f>
        <v>0</v>
      </c>
      <c r="I176" s="501">
        <f>'d3'!I176-'d3-П'!I176</f>
        <v>0</v>
      </c>
      <c r="J176" s="501">
        <f>'d3'!J176-'d3-П'!J176</f>
        <v>0</v>
      </c>
      <c r="K176" s="501">
        <f>'d3'!K176-'d3-П'!K176</f>
        <v>0</v>
      </c>
      <c r="L176" s="501">
        <f>'d3'!L176-'d3-П'!L176</f>
        <v>0</v>
      </c>
      <c r="M176" s="501">
        <f>'d3'!M176-'d3-П'!M176</f>
        <v>0</v>
      </c>
      <c r="N176" s="501">
        <f>'d3'!N176-'d3-П'!N176</f>
        <v>0</v>
      </c>
      <c r="O176" s="501">
        <f>'d3'!O176-'d3-П'!O176</f>
        <v>0</v>
      </c>
      <c r="P176" s="501">
        <f>'d3'!P176-'d3-П'!P176</f>
        <v>0</v>
      </c>
      <c r="Q176" s="18"/>
      <c r="R176" s="48"/>
    </row>
    <row r="177" spans="1:18" ht="180.75" customHeight="1" thickTop="1" thickBot="1" x14ac:dyDescent="0.25">
      <c r="A177" s="94" t="s">
        <v>468</v>
      </c>
      <c r="B177" s="94" t="s">
        <v>469</v>
      </c>
      <c r="C177" s="94" t="s">
        <v>194</v>
      </c>
      <c r="D177" s="94" t="s">
        <v>470</v>
      </c>
      <c r="E177" s="501">
        <f>'d3'!E177-'d3-П'!E177</f>
        <v>0</v>
      </c>
      <c r="F177" s="501">
        <f>'d3'!F177-'d3-П'!F177</f>
        <v>0</v>
      </c>
      <c r="G177" s="501">
        <f>'d3'!G177-'d3-П'!G177</f>
        <v>0</v>
      </c>
      <c r="H177" s="501">
        <f>'d3'!H177-'d3-П'!H177</f>
        <v>0</v>
      </c>
      <c r="I177" s="501">
        <f>'d3'!I177-'d3-П'!I177</f>
        <v>0</v>
      </c>
      <c r="J177" s="501">
        <f>'d3'!J177-'d3-П'!J177</f>
        <v>0</v>
      </c>
      <c r="K177" s="501">
        <f>'d3'!K177-'d3-П'!K177</f>
        <v>0</v>
      </c>
      <c r="L177" s="501">
        <f>'d3'!L177-'d3-П'!L177</f>
        <v>0</v>
      </c>
      <c r="M177" s="501">
        <f>'d3'!M177-'d3-П'!M177</f>
        <v>0</v>
      </c>
      <c r="N177" s="501">
        <f>'d3'!N177-'d3-П'!N177</f>
        <v>0</v>
      </c>
      <c r="O177" s="501">
        <f>'d3'!O177-'d3-П'!O177</f>
        <v>0</v>
      </c>
      <c r="P177" s="501">
        <f>'d3'!P177-'d3-П'!P177</f>
        <v>0</v>
      </c>
      <c r="Q177" s="18"/>
      <c r="R177" s="48"/>
    </row>
    <row r="178" spans="1:18" ht="198" customHeight="1" thickTop="1" thickBot="1" x14ac:dyDescent="0.25">
      <c r="A178" s="469" t="s">
        <v>339</v>
      </c>
      <c r="B178" s="469" t="s">
        <v>338</v>
      </c>
      <c r="C178" s="469" t="s">
        <v>48</v>
      </c>
      <c r="D178" s="469" t="s">
        <v>442</v>
      </c>
      <c r="E178" s="501">
        <f>'d3'!E178-'d3-П'!E178</f>
        <v>0</v>
      </c>
      <c r="F178" s="501">
        <f>'d3'!F178-'d3-П'!F178</f>
        <v>0</v>
      </c>
      <c r="G178" s="501">
        <f>'d3'!G178-'d3-П'!G178</f>
        <v>0</v>
      </c>
      <c r="H178" s="501">
        <f>'d3'!H178-'d3-П'!H178</f>
        <v>0</v>
      </c>
      <c r="I178" s="501">
        <f>'d3'!I178-'d3-П'!I178</f>
        <v>0</v>
      </c>
      <c r="J178" s="501">
        <f>'d3'!J178-'d3-П'!J178</f>
        <v>0</v>
      </c>
      <c r="K178" s="501">
        <f>'d3'!K178-'d3-П'!K178</f>
        <v>0</v>
      </c>
      <c r="L178" s="501">
        <f>'d3'!L178-'d3-П'!L178</f>
        <v>0</v>
      </c>
      <c r="M178" s="501">
        <f>'d3'!M178-'d3-П'!M178</f>
        <v>0</v>
      </c>
      <c r="N178" s="501">
        <f>'d3'!N178-'d3-П'!N178</f>
        <v>0</v>
      </c>
      <c r="O178" s="501">
        <f>'d3'!O178-'d3-П'!O178</f>
        <v>0</v>
      </c>
      <c r="P178" s="501">
        <f>'d3'!P178-'d3-П'!P178</f>
        <v>0</v>
      </c>
      <c r="Q178" s="18"/>
      <c r="R178" s="48"/>
    </row>
    <row r="179" spans="1:18" s="31" customFormat="1" ht="123" customHeight="1" thickTop="1" thickBot="1" x14ac:dyDescent="0.25">
      <c r="A179" s="518" t="s">
        <v>701</v>
      </c>
      <c r="B179" s="518" t="s">
        <v>702</v>
      </c>
      <c r="C179" s="518"/>
      <c r="D179" s="518" t="s">
        <v>703</v>
      </c>
      <c r="E179" s="501">
        <f>'d3'!E179-'d3-П'!E179</f>
        <v>863571</v>
      </c>
      <c r="F179" s="501">
        <f>'d3'!F179-'d3-П'!F179</f>
        <v>863571</v>
      </c>
      <c r="G179" s="501">
        <f>'d3'!G179-'d3-П'!G179</f>
        <v>0</v>
      </c>
      <c r="H179" s="501">
        <f>'d3'!H179-'d3-П'!H179</f>
        <v>0</v>
      </c>
      <c r="I179" s="501">
        <f>'d3'!I179-'d3-П'!I179</f>
        <v>0</v>
      </c>
      <c r="J179" s="501">
        <f>'d3'!J179-'d3-П'!J179</f>
        <v>0</v>
      </c>
      <c r="K179" s="501">
        <f>'d3'!K179-'d3-П'!K179</f>
        <v>0</v>
      </c>
      <c r="L179" s="501">
        <f>'d3'!L179-'d3-П'!L179</f>
        <v>0</v>
      </c>
      <c r="M179" s="501">
        <f>'d3'!M179-'d3-П'!M179</f>
        <v>0</v>
      </c>
      <c r="N179" s="501">
        <f>'d3'!N179-'d3-П'!N179</f>
        <v>0</v>
      </c>
      <c r="O179" s="501">
        <f>'d3'!O179-'d3-П'!O179</f>
        <v>0</v>
      </c>
      <c r="P179" s="501">
        <f>'d3'!P179-'d3-П'!P179</f>
        <v>863571</v>
      </c>
      <c r="Q179" s="34"/>
      <c r="R179" s="49"/>
    </row>
    <row r="180" spans="1:18" ht="156" customHeight="1" thickTop="1" thickBot="1" x14ac:dyDescent="0.25">
      <c r="A180" s="94" t="s">
        <v>318</v>
      </c>
      <c r="B180" s="94" t="s">
        <v>319</v>
      </c>
      <c r="C180" s="94" t="s">
        <v>200</v>
      </c>
      <c r="D180" s="94" t="s">
        <v>608</v>
      </c>
      <c r="E180" s="501">
        <f>'d3'!E180-'d3-П'!E180</f>
        <v>810000</v>
      </c>
      <c r="F180" s="501">
        <f>'d3'!F180-'d3-П'!F180</f>
        <v>810000</v>
      </c>
      <c r="G180" s="501">
        <f>'d3'!G180-'d3-П'!G180</f>
        <v>0</v>
      </c>
      <c r="H180" s="501">
        <f>'d3'!H180-'d3-П'!H180</f>
        <v>0</v>
      </c>
      <c r="I180" s="501">
        <f>'d3'!I180-'d3-П'!I180</f>
        <v>0</v>
      </c>
      <c r="J180" s="501">
        <f>'d3'!J180-'d3-П'!J180</f>
        <v>0</v>
      </c>
      <c r="K180" s="501">
        <f>'d3'!K180-'d3-П'!K180</f>
        <v>0</v>
      </c>
      <c r="L180" s="501">
        <f>'d3'!L180-'d3-П'!L180</f>
        <v>0</v>
      </c>
      <c r="M180" s="501">
        <f>'d3'!M180-'d3-П'!M180</f>
        <v>0</v>
      </c>
      <c r="N180" s="501">
        <f>'d3'!N180-'d3-П'!N180</f>
        <v>0</v>
      </c>
      <c r="O180" s="501">
        <f>'d3'!O180-'d3-П'!O180</f>
        <v>0</v>
      </c>
      <c r="P180" s="501">
        <f>'d3'!P180-'d3-П'!P180</f>
        <v>810000</v>
      </c>
      <c r="Q180" s="18"/>
      <c r="R180" s="48"/>
    </row>
    <row r="181" spans="1:18" ht="159" customHeight="1" thickTop="1" thickBot="1" x14ac:dyDescent="0.25">
      <c r="A181" s="710" t="s">
        <v>1772</v>
      </c>
      <c r="B181" s="710" t="s">
        <v>1412</v>
      </c>
      <c r="C181" s="710" t="s">
        <v>200</v>
      </c>
      <c r="D181" s="710" t="s">
        <v>1413</v>
      </c>
      <c r="E181" s="501">
        <f>'d3'!E181-0</f>
        <v>53571</v>
      </c>
      <c r="F181" s="501">
        <f>'d3'!F181-0</f>
        <v>53571</v>
      </c>
      <c r="G181" s="501">
        <f>'d3'!G181-0</f>
        <v>0</v>
      </c>
      <c r="H181" s="501">
        <f>'d3'!H181-0</f>
        <v>0</v>
      </c>
      <c r="I181" s="501">
        <f>'d3'!I181-0</f>
        <v>0</v>
      </c>
      <c r="J181" s="501">
        <f>'d3'!J181-0</f>
        <v>0</v>
      </c>
      <c r="K181" s="501">
        <f>'d3'!K181-0</f>
        <v>0</v>
      </c>
      <c r="L181" s="501">
        <f>'d3'!L181-0</f>
        <v>0</v>
      </c>
      <c r="M181" s="501">
        <f>'d3'!M181-0</f>
        <v>0</v>
      </c>
      <c r="N181" s="501">
        <f>'d3'!N181-0</f>
        <v>0</v>
      </c>
      <c r="O181" s="501">
        <f>'d3'!O181-0</f>
        <v>0</v>
      </c>
      <c r="P181" s="501">
        <f>'d3'!P181-0</f>
        <v>53571</v>
      </c>
      <c r="Q181" s="18"/>
      <c r="R181" s="48"/>
    </row>
    <row r="182" spans="1:18" ht="88.5" customHeight="1" thickTop="1" thickBot="1" x14ac:dyDescent="0.25">
      <c r="A182" s="94" t="s">
        <v>417</v>
      </c>
      <c r="B182" s="94" t="s">
        <v>362</v>
      </c>
      <c r="C182" s="94" t="s">
        <v>363</v>
      </c>
      <c r="D182" s="94" t="s">
        <v>361</v>
      </c>
      <c r="E182" s="471">
        <f>'d3'!E182-'d3-П'!E181</f>
        <v>0</v>
      </c>
      <c r="F182" s="471">
        <f>'d3'!F182-'d3-П'!F181</f>
        <v>0</v>
      </c>
      <c r="G182" s="471">
        <f>'d3'!G182-'d3-П'!G181</f>
        <v>0</v>
      </c>
      <c r="H182" s="471">
        <f>'d3'!H182-'d3-П'!H181</f>
        <v>0</v>
      </c>
      <c r="I182" s="471">
        <f>'d3'!I182-'d3-П'!I181</f>
        <v>0</v>
      </c>
      <c r="J182" s="471">
        <f>'d3'!J182-'d3-П'!J181</f>
        <v>0</v>
      </c>
      <c r="K182" s="471">
        <f>'d3'!K182-'d3-П'!K181</f>
        <v>0</v>
      </c>
      <c r="L182" s="471">
        <f>'d3'!L182-'d3-П'!L181</f>
        <v>0</v>
      </c>
      <c r="M182" s="471">
        <f>'d3'!M182-'d3-П'!M181</f>
        <v>0</v>
      </c>
      <c r="N182" s="471">
        <f>'d3'!N182-'d3-П'!N181</f>
        <v>0</v>
      </c>
      <c r="O182" s="471">
        <f>'d3'!O182-'d3-П'!O181</f>
        <v>0</v>
      </c>
      <c r="P182" s="471">
        <f>'d3'!P182-'d3-П'!P181</f>
        <v>0</v>
      </c>
      <c r="Q182" s="18"/>
      <c r="R182" s="48"/>
    </row>
    <row r="183" spans="1:18" ht="130.69999999999999" hidden="1" customHeight="1" thickTop="1" thickBot="1" x14ac:dyDescent="0.25">
      <c r="A183" s="131" t="s">
        <v>980</v>
      </c>
      <c r="B183" s="131" t="s">
        <v>981</v>
      </c>
      <c r="C183" s="131"/>
      <c r="D183" s="131" t="s">
        <v>979</v>
      </c>
      <c r="E183" s="132"/>
      <c r="F183" s="132"/>
      <c r="G183" s="132"/>
      <c r="H183" s="132"/>
      <c r="I183" s="132"/>
      <c r="J183" s="132"/>
      <c r="K183" s="132"/>
      <c r="L183" s="132"/>
      <c r="M183" s="132"/>
      <c r="N183" s="132"/>
      <c r="O183" s="132"/>
      <c r="P183" s="132"/>
      <c r="Q183" s="18"/>
      <c r="R183" s="48"/>
    </row>
    <row r="184" spans="1:18" ht="184.5" hidden="1" thickTop="1" thickBot="1" x14ac:dyDescent="0.7">
      <c r="A184" s="768" t="s">
        <v>982</v>
      </c>
      <c r="B184" s="768" t="s">
        <v>983</v>
      </c>
      <c r="C184" s="768" t="s">
        <v>48</v>
      </c>
      <c r="D184" s="322" t="s">
        <v>1236</v>
      </c>
      <c r="E184" s="763"/>
      <c r="F184" s="763"/>
      <c r="G184" s="763"/>
      <c r="H184" s="763"/>
      <c r="I184" s="763"/>
      <c r="J184" s="763"/>
      <c r="K184" s="769"/>
      <c r="L184" s="763"/>
      <c r="M184" s="763"/>
      <c r="N184" s="763"/>
      <c r="O184" s="769"/>
      <c r="P184" s="763"/>
      <c r="Q184" s="771"/>
      <c r="R184" s="758"/>
    </row>
    <row r="185" spans="1:18" ht="184.5" hidden="1" thickTop="1" thickBot="1" x14ac:dyDescent="0.25">
      <c r="A185" s="764"/>
      <c r="B185" s="764"/>
      <c r="C185" s="764"/>
      <c r="D185" s="323" t="s">
        <v>1237</v>
      </c>
      <c r="E185" s="764"/>
      <c r="F185" s="764"/>
      <c r="G185" s="764"/>
      <c r="H185" s="764"/>
      <c r="I185" s="764"/>
      <c r="J185" s="764"/>
      <c r="K185" s="764"/>
      <c r="L185" s="764"/>
      <c r="M185" s="764"/>
      <c r="N185" s="764"/>
      <c r="O185" s="764"/>
      <c r="P185" s="764"/>
      <c r="Q185" s="771"/>
      <c r="R185" s="759"/>
    </row>
    <row r="186" spans="1:18" ht="184.5" hidden="1" thickTop="1" thickBot="1" x14ac:dyDescent="0.25">
      <c r="A186" s="764"/>
      <c r="B186" s="764"/>
      <c r="C186" s="764"/>
      <c r="D186" s="323" t="s">
        <v>1238</v>
      </c>
      <c r="E186" s="764"/>
      <c r="F186" s="764"/>
      <c r="G186" s="764"/>
      <c r="H186" s="764"/>
      <c r="I186" s="764"/>
      <c r="J186" s="764"/>
      <c r="K186" s="764"/>
      <c r="L186" s="764"/>
      <c r="M186" s="764"/>
      <c r="N186" s="764"/>
      <c r="O186" s="764"/>
      <c r="P186" s="764"/>
      <c r="Q186" s="771"/>
      <c r="R186" s="759"/>
    </row>
    <row r="187" spans="1:18" ht="93" hidden="1" thickTop="1" thickBot="1" x14ac:dyDescent="0.25">
      <c r="A187" s="765"/>
      <c r="B187" s="765"/>
      <c r="C187" s="765"/>
      <c r="D187" s="324" t="s">
        <v>1239</v>
      </c>
      <c r="E187" s="765"/>
      <c r="F187" s="765"/>
      <c r="G187" s="765"/>
      <c r="H187" s="765"/>
      <c r="I187" s="765"/>
      <c r="J187" s="765"/>
      <c r="K187" s="765"/>
      <c r="L187" s="765"/>
      <c r="M187" s="765"/>
      <c r="N187" s="765"/>
      <c r="O187" s="765"/>
      <c r="P187" s="765"/>
      <c r="Q187" s="771"/>
      <c r="R187" s="759"/>
    </row>
    <row r="188" spans="1:18" ht="409.6" hidden="1" thickTop="1" thickBot="1" x14ac:dyDescent="0.7">
      <c r="A188" s="768" t="s">
        <v>984</v>
      </c>
      <c r="B188" s="768" t="s">
        <v>985</v>
      </c>
      <c r="C188" s="768" t="s">
        <v>48</v>
      </c>
      <c r="D188" s="322" t="s">
        <v>1374</v>
      </c>
      <c r="E188" s="763"/>
      <c r="F188" s="763"/>
      <c r="G188" s="763"/>
      <c r="H188" s="763"/>
      <c r="I188" s="763"/>
      <c r="J188" s="763"/>
      <c r="K188" s="769"/>
      <c r="L188" s="763"/>
      <c r="M188" s="763"/>
      <c r="N188" s="763"/>
      <c r="O188" s="763"/>
      <c r="P188" s="763"/>
      <c r="Q188" s="18"/>
      <c r="R188" s="758"/>
    </row>
    <row r="189" spans="1:18" ht="184.5" hidden="1" thickTop="1" thickBot="1" x14ac:dyDescent="0.25">
      <c r="A189" s="764"/>
      <c r="B189" s="764"/>
      <c r="C189" s="764"/>
      <c r="D189" s="323" t="s">
        <v>1375</v>
      </c>
      <c r="E189" s="764"/>
      <c r="F189" s="764"/>
      <c r="G189" s="764"/>
      <c r="H189" s="764"/>
      <c r="I189" s="764"/>
      <c r="J189" s="764"/>
      <c r="K189" s="764"/>
      <c r="L189" s="764"/>
      <c r="M189" s="764"/>
      <c r="N189" s="764"/>
      <c r="O189" s="764"/>
      <c r="P189" s="764"/>
      <c r="Q189" s="18"/>
      <c r="R189" s="770"/>
    </row>
    <row r="190" spans="1:18" ht="184.5" hidden="1" thickTop="1" thickBot="1" x14ac:dyDescent="0.7">
      <c r="A190" s="768" t="s">
        <v>986</v>
      </c>
      <c r="B190" s="768" t="s">
        <v>987</v>
      </c>
      <c r="C190" s="768" t="s">
        <v>48</v>
      </c>
      <c r="D190" s="322" t="s">
        <v>1240</v>
      </c>
      <c r="E190" s="763"/>
      <c r="F190" s="763"/>
      <c r="G190" s="763"/>
      <c r="H190" s="763"/>
      <c r="I190" s="763"/>
      <c r="J190" s="763"/>
      <c r="K190" s="769"/>
      <c r="L190" s="763"/>
      <c r="M190" s="763"/>
      <c r="N190" s="763"/>
      <c r="O190" s="769"/>
      <c r="P190" s="763"/>
      <c r="Q190" s="18"/>
      <c r="R190" s="758"/>
    </row>
    <row r="191" spans="1:18" ht="184.5" hidden="1" thickTop="1" thickBot="1" x14ac:dyDescent="0.25">
      <c r="A191" s="764"/>
      <c r="B191" s="764"/>
      <c r="C191" s="764"/>
      <c r="D191" s="323" t="s">
        <v>1241</v>
      </c>
      <c r="E191" s="764"/>
      <c r="F191" s="764"/>
      <c r="G191" s="764"/>
      <c r="H191" s="764"/>
      <c r="I191" s="764"/>
      <c r="J191" s="764"/>
      <c r="K191" s="764"/>
      <c r="L191" s="764"/>
      <c r="M191" s="764"/>
      <c r="N191" s="764"/>
      <c r="O191" s="764"/>
      <c r="P191" s="764"/>
      <c r="Q191" s="18"/>
      <c r="R191" s="759"/>
    </row>
    <row r="192" spans="1:18" ht="93" hidden="1" thickTop="1" thickBot="1" x14ac:dyDescent="0.25">
      <c r="A192" s="765"/>
      <c r="B192" s="765"/>
      <c r="C192" s="765"/>
      <c r="D192" s="324" t="s">
        <v>988</v>
      </c>
      <c r="E192" s="765"/>
      <c r="F192" s="765"/>
      <c r="G192" s="765"/>
      <c r="H192" s="765"/>
      <c r="I192" s="765"/>
      <c r="J192" s="765"/>
      <c r="K192" s="765"/>
      <c r="L192" s="765"/>
      <c r="M192" s="765"/>
      <c r="N192" s="765"/>
      <c r="O192" s="765"/>
      <c r="P192" s="765"/>
      <c r="Q192" s="18"/>
      <c r="R192" s="759"/>
    </row>
    <row r="193" spans="1:18" ht="184.5" hidden="1" thickTop="1" thickBot="1" x14ac:dyDescent="0.7">
      <c r="A193" s="760" t="s">
        <v>992</v>
      </c>
      <c r="B193" s="760" t="s">
        <v>993</v>
      </c>
      <c r="C193" s="760" t="s">
        <v>48</v>
      </c>
      <c r="D193" s="278" t="s">
        <v>989</v>
      </c>
      <c r="E193" s="763"/>
      <c r="F193" s="763"/>
      <c r="G193" s="763"/>
      <c r="H193" s="763"/>
      <c r="I193" s="763"/>
      <c r="J193" s="763"/>
      <c r="K193" s="766"/>
      <c r="L193" s="767"/>
      <c r="M193" s="767"/>
      <c r="N193" s="767"/>
      <c r="O193" s="766"/>
      <c r="P193" s="767"/>
      <c r="Q193" s="18"/>
      <c r="R193" s="758"/>
    </row>
    <row r="194" spans="1:18" ht="184.5" hidden="1" thickTop="1" thickBot="1" x14ac:dyDescent="0.25">
      <c r="A194" s="761"/>
      <c r="B194" s="761"/>
      <c r="C194" s="761"/>
      <c r="D194" s="117" t="s">
        <v>990</v>
      </c>
      <c r="E194" s="764"/>
      <c r="F194" s="764"/>
      <c r="G194" s="764"/>
      <c r="H194" s="764"/>
      <c r="I194" s="764"/>
      <c r="J194" s="764"/>
      <c r="K194" s="761"/>
      <c r="L194" s="761"/>
      <c r="M194" s="761"/>
      <c r="N194" s="761"/>
      <c r="O194" s="761"/>
      <c r="P194" s="761"/>
      <c r="Q194" s="18"/>
      <c r="R194" s="759"/>
    </row>
    <row r="195" spans="1:18" ht="47.25" hidden="1" thickTop="1" thickBot="1" x14ac:dyDescent="0.25">
      <c r="A195" s="762"/>
      <c r="B195" s="762"/>
      <c r="C195" s="762"/>
      <c r="D195" s="279" t="s">
        <v>991</v>
      </c>
      <c r="E195" s="765"/>
      <c r="F195" s="765"/>
      <c r="G195" s="765"/>
      <c r="H195" s="765"/>
      <c r="I195" s="765"/>
      <c r="J195" s="765"/>
      <c r="K195" s="762"/>
      <c r="L195" s="762"/>
      <c r="M195" s="762"/>
      <c r="N195" s="762"/>
      <c r="O195" s="762"/>
      <c r="P195" s="762"/>
      <c r="Q195" s="18"/>
      <c r="R195" s="759"/>
    </row>
    <row r="196" spans="1:18" ht="378" hidden="1" customHeight="1" thickTop="1" x14ac:dyDescent="0.2">
      <c r="A196" s="768" t="s">
        <v>1449</v>
      </c>
      <c r="B196" s="768" t="s">
        <v>1450</v>
      </c>
      <c r="C196" s="768" t="s">
        <v>48</v>
      </c>
      <c r="D196" s="768" t="s">
        <v>1451</v>
      </c>
      <c r="E196" s="763"/>
      <c r="F196" s="769"/>
      <c r="G196" s="769"/>
      <c r="H196" s="769"/>
      <c r="I196" s="769"/>
      <c r="J196" s="763"/>
      <c r="K196" s="769"/>
      <c r="L196" s="769"/>
      <c r="M196" s="769"/>
      <c r="N196" s="769"/>
      <c r="O196" s="779"/>
      <c r="P196" s="763"/>
      <c r="Q196" s="18"/>
      <c r="R196" s="19"/>
    </row>
    <row r="197" spans="1:18" ht="315.75" hidden="1" customHeight="1" thickBot="1" x14ac:dyDescent="0.25">
      <c r="A197" s="809"/>
      <c r="B197" s="809"/>
      <c r="C197" s="809"/>
      <c r="D197" s="809"/>
      <c r="E197" s="808"/>
      <c r="F197" s="777"/>
      <c r="G197" s="777"/>
      <c r="H197" s="777"/>
      <c r="I197" s="777"/>
      <c r="J197" s="808"/>
      <c r="K197" s="777"/>
      <c r="L197" s="777"/>
      <c r="M197" s="777"/>
      <c r="N197" s="777"/>
      <c r="O197" s="780"/>
      <c r="P197" s="808"/>
      <c r="Q197" s="18"/>
      <c r="R197" s="19"/>
    </row>
    <row r="198" spans="1:18" ht="171.75" customHeight="1" thickTop="1" thickBot="1" x14ac:dyDescent="0.25">
      <c r="A198" s="94" t="s">
        <v>1083</v>
      </c>
      <c r="B198" s="94" t="s">
        <v>1080</v>
      </c>
      <c r="C198" s="94" t="s">
        <v>201</v>
      </c>
      <c r="D198" s="507" t="s">
        <v>1434</v>
      </c>
      <c r="E198" s="471">
        <f>'d3'!E198-'d3-П'!E197</f>
        <v>0</v>
      </c>
      <c r="F198" s="471">
        <f>'d3'!F198-'d3-П'!F197</f>
        <v>0</v>
      </c>
      <c r="G198" s="471">
        <f>'d3'!G198-'d3-П'!G197</f>
        <v>0</v>
      </c>
      <c r="H198" s="471">
        <f>'d3'!H198-'d3-П'!H197</f>
        <v>0</v>
      </c>
      <c r="I198" s="471">
        <f>'d3'!I198-'d3-П'!I197</f>
        <v>0</v>
      </c>
      <c r="J198" s="471">
        <f>'d3'!J198-'d3-П'!J197</f>
        <v>0</v>
      </c>
      <c r="K198" s="471">
        <f>'d3'!K198-'d3-П'!K197</f>
        <v>0</v>
      </c>
      <c r="L198" s="471">
        <f>'d3'!L198-'d3-П'!L197</f>
        <v>0</v>
      </c>
      <c r="M198" s="471">
        <f>'d3'!M198-'d3-П'!M197</f>
        <v>0</v>
      </c>
      <c r="N198" s="471">
        <f>'d3'!N198-'d3-П'!N197</f>
        <v>0</v>
      </c>
      <c r="O198" s="471">
        <f>'d3'!O198-'d3-П'!O197</f>
        <v>0</v>
      </c>
      <c r="P198" s="471">
        <f>'d3'!P198-'d3-П'!P197</f>
        <v>0</v>
      </c>
      <c r="Q198" s="18"/>
      <c r="R198" s="19"/>
    </row>
    <row r="199" spans="1:18" s="31" customFormat="1" ht="104.25" customHeight="1" thickTop="1" thickBot="1" x14ac:dyDescent="0.25">
      <c r="A199" s="518" t="s">
        <v>704</v>
      </c>
      <c r="B199" s="518" t="s">
        <v>705</v>
      </c>
      <c r="C199" s="518"/>
      <c r="D199" s="518" t="s">
        <v>1520</v>
      </c>
      <c r="E199" s="471">
        <f>'d3'!E199-'d3-П'!E198</f>
        <v>29440315.670000017</v>
      </c>
      <c r="F199" s="471">
        <f>'d3'!F199-'d3-П'!F198</f>
        <v>28973821.670000017</v>
      </c>
      <c r="G199" s="471">
        <f>'d3'!G199-'d3-П'!G198</f>
        <v>0</v>
      </c>
      <c r="H199" s="471">
        <f>'d3'!H199-'d3-П'!H198</f>
        <v>0</v>
      </c>
      <c r="I199" s="471">
        <f>'d3'!I199-'d3-П'!I198</f>
        <v>466494</v>
      </c>
      <c r="J199" s="471">
        <f>'d3'!J199-'d3-П'!J198</f>
        <v>0</v>
      </c>
      <c r="K199" s="471">
        <f>'d3'!K199-'d3-П'!K198</f>
        <v>0</v>
      </c>
      <c r="L199" s="471">
        <f>'d3'!L199-'d3-П'!L198</f>
        <v>0</v>
      </c>
      <c r="M199" s="471">
        <f>'d3'!M199-'d3-П'!M198</f>
        <v>0</v>
      </c>
      <c r="N199" s="471">
        <f>'d3'!N199-'d3-П'!N198</f>
        <v>0</v>
      </c>
      <c r="O199" s="471">
        <f>'d3'!O199-'d3-П'!O198</f>
        <v>0</v>
      </c>
      <c r="P199" s="471">
        <f>'d3'!P199-'d3-П'!P198</f>
        <v>29440315.670000017</v>
      </c>
      <c r="Q199" s="34"/>
      <c r="R199" s="49"/>
    </row>
    <row r="200" spans="1:18" ht="140.25" customHeight="1" thickTop="1" thickBot="1" x14ac:dyDescent="0.25">
      <c r="A200" s="94" t="s">
        <v>320</v>
      </c>
      <c r="B200" s="94" t="s">
        <v>322</v>
      </c>
      <c r="C200" s="94" t="s">
        <v>186</v>
      </c>
      <c r="D200" s="507" t="s">
        <v>1392</v>
      </c>
      <c r="E200" s="471">
        <f>'d3'!E200-'d3-П'!E199</f>
        <v>4397173.6700000018</v>
      </c>
      <c r="F200" s="471">
        <f>'d3'!F200-'d3-П'!F199</f>
        <v>3930679.6700000018</v>
      </c>
      <c r="G200" s="471">
        <f>'d3'!G200-'d3-П'!G199</f>
        <v>0</v>
      </c>
      <c r="H200" s="471">
        <f>'d3'!H200-'d3-П'!H199</f>
        <v>0</v>
      </c>
      <c r="I200" s="471">
        <f>'d3'!I200-'d3-П'!I199</f>
        <v>466494</v>
      </c>
      <c r="J200" s="471">
        <f>'d3'!J200-'d3-П'!J199</f>
        <v>0</v>
      </c>
      <c r="K200" s="471">
        <f>'d3'!K200-'d3-П'!K199</f>
        <v>0</v>
      </c>
      <c r="L200" s="471">
        <f>'d3'!L200-'d3-П'!L199</f>
        <v>0</v>
      </c>
      <c r="M200" s="471">
        <f>'d3'!M200-'d3-П'!M199</f>
        <v>0</v>
      </c>
      <c r="N200" s="471">
        <f>'d3'!N200-'d3-П'!N199</f>
        <v>0</v>
      </c>
      <c r="O200" s="471">
        <f>'d3'!O200-'d3-П'!O199</f>
        <v>0</v>
      </c>
      <c r="P200" s="471">
        <f>'d3'!P200-'d3-П'!P199</f>
        <v>4397173.6699999869</v>
      </c>
      <c r="Q200" s="18"/>
      <c r="R200" s="44"/>
    </row>
    <row r="201" spans="1:18" ht="123" customHeight="1" thickTop="1" thickBot="1" x14ac:dyDescent="0.25">
      <c r="A201" s="94" t="s">
        <v>321</v>
      </c>
      <c r="B201" s="94" t="s">
        <v>323</v>
      </c>
      <c r="C201" s="94" t="s">
        <v>186</v>
      </c>
      <c r="D201" s="507" t="s">
        <v>1702</v>
      </c>
      <c r="E201" s="471">
        <f>'d3'!E201-'d3-П'!E200</f>
        <v>25043142</v>
      </c>
      <c r="F201" s="471">
        <f>'d3'!F201-'d3-П'!F200</f>
        <v>25043142</v>
      </c>
      <c r="G201" s="471">
        <f>'d3'!G201-'d3-П'!G200</f>
        <v>0</v>
      </c>
      <c r="H201" s="471">
        <f>'d3'!H201-'d3-П'!H200</f>
        <v>0</v>
      </c>
      <c r="I201" s="471">
        <f>'d3'!I201-'d3-П'!I200</f>
        <v>0</v>
      </c>
      <c r="J201" s="471">
        <f>'d3'!J201-'d3-П'!J200</f>
        <v>0</v>
      </c>
      <c r="K201" s="471">
        <f>'d3'!K201-'d3-П'!K200</f>
        <v>0</v>
      </c>
      <c r="L201" s="471">
        <f>'d3'!L201-'d3-П'!L200</f>
        <v>0</v>
      </c>
      <c r="M201" s="471">
        <f>'d3'!M201-'d3-П'!M200</f>
        <v>0</v>
      </c>
      <c r="N201" s="471">
        <f>'d3'!N201-'d3-П'!N200</f>
        <v>0</v>
      </c>
      <c r="O201" s="471">
        <f>'d3'!O201-'d3-П'!O200</f>
        <v>0</v>
      </c>
      <c r="P201" s="471">
        <f>'d3'!P201-'d3-П'!P200</f>
        <v>25043142</v>
      </c>
      <c r="Q201" s="18"/>
      <c r="R201" s="44"/>
    </row>
    <row r="202" spans="1:18" ht="176.25" customHeight="1" thickTop="1" thickBot="1" x14ac:dyDescent="0.25">
      <c r="A202" s="94" t="s">
        <v>1460</v>
      </c>
      <c r="B202" s="94" t="s">
        <v>1459</v>
      </c>
      <c r="C202" s="94" t="s">
        <v>180</v>
      </c>
      <c r="D202" s="507" t="s">
        <v>1709</v>
      </c>
      <c r="E202" s="471">
        <f>'d3'!E202-'d3-П'!E201</f>
        <v>0</v>
      </c>
      <c r="F202" s="471">
        <f>'d3'!F202-'d3-П'!F201</f>
        <v>0</v>
      </c>
      <c r="G202" s="471">
        <f>'d3'!G202-'d3-П'!G201</f>
        <v>0</v>
      </c>
      <c r="H202" s="471">
        <f>'d3'!H202-'d3-П'!H201</f>
        <v>0</v>
      </c>
      <c r="I202" s="471">
        <f>'d3'!I202-'d3-П'!I201</f>
        <v>0</v>
      </c>
      <c r="J202" s="471">
        <f>'d3'!J202-'d3-П'!J201</f>
        <v>0</v>
      </c>
      <c r="K202" s="471">
        <f>'d3'!K202-'d3-П'!K201</f>
        <v>0</v>
      </c>
      <c r="L202" s="471">
        <f>'d3'!L202-'d3-П'!L201</f>
        <v>0</v>
      </c>
      <c r="M202" s="471">
        <f>'d3'!M202-'d3-П'!M201</f>
        <v>0</v>
      </c>
      <c r="N202" s="471">
        <f>'d3'!N202-'d3-П'!N201</f>
        <v>0</v>
      </c>
      <c r="O202" s="471">
        <f>'d3'!O202-'d3-П'!O201</f>
        <v>0</v>
      </c>
      <c r="P202" s="471">
        <f>'d3'!P202-'d3-П'!P201</f>
        <v>0</v>
      </c>
      <c r="Q202" s="18"/>
      <c r="R202" s="44"/>
    </row>
    <row r="203" spans="1:18" ht="189" customHeight="1" thickTop="1" thickBot="1" x14ac:dyDescent="0.25">
      <c r="A203" s="94" t="s">
        <v>1376</v>
      </c>
      <c r="B203" s="94" t="s">
        <v>1377</v>
      </c>
      <c r="C203" s="94" t="s">
        <v>186</v>
      </c>
      <c r="D203" s="94" t="s">
        <v>1505</v>
      </c>
      <c r="E203" s="471">
        <f>'d3'!E203-'d3-П'!E202</f>
        <v>0</v>
      </c>
      <c r="F203" s="471">
        <f>'d3'!F203-'d3-П'!F202</f>
        <v>0</v>
      </c>
      <c r="G203" s="471">
        <f>'d3'!G203-'d3-П'!G202</f>
        <v>0</v>
      </c>
      <c r="H203" s="471">
        <f>'d3'!H203-'d3-П'!H202</f>
        <v>0</v>
      </c>
      <c r="I203" s="471">
        <f>'d3'!I203-'d3-П'!I202</f>
        <v>0</v>
      </c>
      <c r="J203" s="471">
        <f>'d3'!J203-'d3-П'!J202</f>
        <v>3000000</v>
      </c>
      <c r="K203" s="471">
        <f>'d3'!K203-'d3-П'!K202</f>
        <v>3000000</v>
      </c>
      <c r="L203" s="471">
        <f>'d3'!L203-'d3-П'!L202</f>
        <v>0</v>
      </c>
      <c r="M203" s="471">
        <f>'d3'!M203-'d3-П'!M202</f>
        <v>0</v>
      </c>
      <c r="N203" s="471">
        <f>'d3'!N203-'d3-П'!N202</f>
        <v>0</v>
      </c>
      <c r="O203" s="471">
        <f>'d3'!O203-'d3-П'!O202</f>
        <v>3000000</v>
      </c>
      <c r="P203" s="471">
        <f>'d3'!P203-'d3-П'!P202</f>
        <v>3000000</v>
      </c>
      <c r="Q203" s="18"/>
      <c r="R203" s="44"/>
    </row>
    <row r="204" spans="1:18" ht="47.25" hidden="1" thickTop="1" thickBot="1" x14ac:dyDescent="0.25">
      <c r="A204" s="116" t="s">
        <v>706</v>
      </c>
      <c r="B204" s="116" t="s">
        <v>707</v>
      </c>
      <c r="C204" s="116"/>
      <c r="D204" s="280" t="s">
        <v>708</v>
      </c>
      <c r="E204" s="471">
        <f>'d3'!E204-'d3-П'!E203</f>
        <v>0</v>
      </c>
      <c r="F204" s="471">
        <f>'d3'!F204-'d3-П'!F203</f>
        <v>0</v>
      </c>
      <c r="G204" s="471">
        <f>'d3'!G204-'d3-П'!G203</f>
        <v>0</v>
      </c>
      <c r="H204" s="471">
        <f>'d3'!H204-'d3-П'!H203</f>
        <v>0</v>
      </c>
      <c r="I204" s="471">
        <f>'d3'!I204-'d3-П'!I203</f>
        <v>0</v>
      </c>
      <c r="J204" s="471">
        <f>'d3'!J204-'d3-П'!J203</f>
        <v>0</v>
      </c>
      <c r="K204" s="471">
        <f>'d3'!K204-'d3-П'!K203</f>
        <v>0</v>
      </c>
      <c r="L204" s="471">
        <f>'d3'!L204-'d3-П'!L203</f>
        <v>0</v>
      </c>
      <c r="M204" s="471">
        <f>'d3'!M204-'d3-П'!M203</f>
        <v>0</v>
      </c>
      <c r="N204" s="471">
        <f>'d3'!N204-'d3-П'!N203</f>
        <v>0</v>
      </c>
      <c r="O204" s="471">
        <f>'d3'!O204-'d3-П'!O203</f>
        <v>0</v>
      </c>
      <c r="P204" s="471">
        <f>'d3'!P204-'d3-П'!P203</f>
        <v>0</v>
      </c>
      <c r="Q204" s="18"/>
      <c r="R204" s="44"/>
    </row>
    <row r="205" spans="1:18" s="31" customFormat="1" ht="48" hidden="1" thickTop="1" thickBot="1" x14ac:dyDescent="0.25">
      <c r="A205" s="131" t="s">
        <v>709</v>
      </c>
      <c r="B205" s="131" t="s">
        <v>710</v>
      </c>
      <c r="C205" s="131"/>
      <c r="D205" s="143" t="s">
        <v>711</v>
      </c>
      <c r="E205" s="471">
        <f>'d3'!E205-'d3-П'!E204</f>
        <v>0</v>
      </c>
      <c r="F205" s="471">
        <f>'d3'!F205-'d3-П'!F204</f>
        <v>0</v>
      </c>
      <c r="G205" s="471">
        <f>'d3'!G205-'d3-П'!G204</f>
        <v>0</v>
      </c>
      <c r="H205" s="471">
        <f>'d3'!H205-'d3-П'!H204</f>
        <v>0</v>
      </c>
      <c r="I205" s="471">
        <f>'d3'!I205-'d3-П'!I204</f>
        <v>0</v>
      </c>
      <c r="J205" s="471">
        <f>'d3'!J205-'d3-П'!J204</f>
        <v>0</v>
      </c>
      <c r="K205" s="471">
        <f>'d3'!K205-'d3-П'!K204</f>
        <v>0</v>
      </c>
      <c r="L205" s="471">
        <f>'d3'!L205-'d3-П'!L204</f>
        <v>0</v>
      </c>
      <c r="M205" s="471">
        <f>'d3'!M205-'d3-П'!M204</f>
        <v>0</v>
      </c>
      <c r="N205" s="471">
        <f>'d3'!N205-'d3-П'!N204</f>
        <v>0</v>
      </c>
      <c r="O205" s="471">
        <f>'d3'!O205-'d3-П'!O204</f>
        <v>0</v>
      </c>
      <c r="P205" s="471">
        <f>'d3'!P205-'d3-П'!P204</f>
        <v>0</v>
      </c>
      <c r="Q205" s="34"/>
      <c r="R205" s="50"/>
    </row>
    <row r="206" spans="1:18" ht="93" hidden="1" thickTop="1" thickBot="1" x14ac:dyDescent="0.25">
      <c r="A206" s="119" t="s">
        <v>357</v>
      </c>
      <c r="B206" s="119" t="s">
        <v>355</v>
      </c>
      <c r="C206" s="119" t="s">
        <v>331</v>
      </c>
      <c r="D206" s="277" t="s">
        <v>356</v>
      </c>
      <c r="E206" s="471">
        <f>'d3'!E206-'d3-П'!E205</f>
        <v>0</v>
      </c>
      <c r="F206" s="471">
        <f>'d3'!F206-'d3-П'!F205</f>
        <v>0</v>
      </c>
      <c r="G206" s="471">
        <f>'d3'!G206-'d3-П'!G205</f>
        <v>0</v>
      </c>
      <c r="H206" s="471">
        <f>'d3'!H206-'d3-П'!H205</f>
        <v>0</v>
      </c>
      <c r="I206" s="471">
        <f>'d3'!I206-'d3-П'!I205</f>
        <v>0</v>
      </c>
      <c r="J206" s="471">
        <f>'d3'!J206-'d3-П'!J205</f>
        <v>0</v>
      </c>
      <c r="K206" s="471">
        <f>'d3'!K206-'d3-П'!K205</f>
        <v>0</v>
      </c>
      <c r="L206" s="471">
        <f>'d3'!L206-'d3-П'!L205</f>
        <v>0</v>
      </c>
      <c r="M206" s="471">
        <f>'d3'!M206-'d3-П'!M205</f>
        <v>0</v>
      </c>
      <c r="N206" s="471">
        <f>'d3'!N206-'d3-П'!N205</f>
        <v>0</v>
      </c>
      <c r="O206" s="471">
        <f>'d3'!O206-'d3-П'!O205</f>
        <v>0</v>
      </c>
      <c r="P206" s="471">
        <f>'d3'!P206-'d3-П'!P205</f>
        <v>0</v>
      </c>
      <c r="Q206" s="18"/>
      <c r="R206" s="44"/>
    </row>
    <row r="207" spans="1:18" ht="184.5" hidden="1" customHeight="1" thickTop="1" thickBot="1" x14ac:dyDescent="0.25">
      <c r="A207" s="119" t="s">
        <v>994</v>
      </c>
      <c r="B207" s="119" t="s">
        <v>995</v>
      </c>
      <c r="C207" s="119" t="s">
        <v>331</v>
      </c>
      <c r="D207" s="277" t="s">
        <v>996</v>
      </c>
      <c r="E207" s="471">
        <f>'d3'!E207-'d3-П'!E206</f>
        <v>0</v>
      </c>
      <c r="F207" s="471">
        <f>'d3'!F207-'d3-П'!F206</f>
        <v>0</v>
      </c>
      <c r="G207" s="471">
        <f>'d3'!G207-'d3-П'!G206</f>
        <v>0</v>
      </c>
      <c r="H207" s="471">
        <f>'d3'!H207-'d3-П'!H206</f>
        <v>0</v>
      </c>
      <c r="I207" s="471">
        <f>'d3'!I207-'d3-П'!I206</f>
        <v>0</v>
      </c>
      <c r="J207" s="471">
        <f>'d3'!J207-'d3-П'!J206</f>
        <v>0</v>
      </c>
      <c r="K207" s="471">
        <f>'d3'!K207-'d3-П'!K206</f>
        <v>0</v>
      </c>
      <c r="L207" s="471">
        <f>'d3'!L207-'d3-П'!L206</f>
        <v>0</v>
      </c>
      <c r="M207" s="471">
        <f>'d3'!M207-'d3-П'!M206</f>
        <v>0</v>
      </c>
      <c r="N207" s="471">
        <f>'d3'!N207-'d3-П'!N206</f>
        <v>0</v>
      </c>
      <c r="O207" s="471">
        <f>'d3'!O207-'d3-П'!O206</f>
        <v>0</v>
      </c>
      <c r="P207" s="471">
        <f>'d3'!P207-'d3-П'!P206</f>
        <v>0</v>
      </c>
      <c r="Q207" s="18"/>
      <c r="R207" s="44"/>
    </row>
    <row r="208" spans="1:18" ht="90.75" customHeight="1" thickTop="1" thickBot="1" x14ac:dyDescent="0.25">
      <c r="A208" s="239" t="s">
        <v>715</v>
      </c>
      <c r="B208" s="239" t="s">
        <v>713</v>
      </c>
      <c r="C208" s="239"/>
      <c r="D208" s="239" t="s">
        <v>714</v>
      </c>
      <c r="E208" s="471">
        <f>'d3'!E208-'d3-П'!E207</f>
        <v>-1850000</v>
      </c>
      <c r="F208" s="471">
        <f>'d3'!F208-'d3-П'!F207</f>
        <v>0</v>
      </c>
      <c r="G208" s="471">
        <f>'d3'!G208-'d3-П'!G207</f>
        <v>0</v>
      </c>
      <c r="H208" s="471">
        <f>'d3'!H208-'d3-П'!H207</f>
        <v>0</v>
      </c>
      <c r="I208" s="471">
        <f>'d3'!I208-'d3-П'!I207</f>
        <v>-1850000</v>
      </c>
      <c r="J208" s="471">
        <f>'d3'!J208-'d3-П'!J207</f>
        <v>0</v>
      </c>
      <c r="K208" s="471">
        <f>'d3'!K208-'d3-П'!K207</f>
        <v>0</v>
      </c>
      <c r="L208" s="471">
        <f>'d3'!L208-'d3-П'!L207</f>
        <v>0</v>
      </c>
      <c r="M208" s="471">
        <f>'d3'!M208-'d3-П'!M207</f>
        <v>0</v>
      </c>
      <c r="N208" s="471">
        <f>'d3'!N208-'d3-П'!N207</f>
        <v>0</v>
      </c>
      <c r="O208" s="471">
        <f>'d3'!O208-'d3-П'!O207</f>
        <v>0</v>
      </c>
      <c r="P208" s="471">
        <f>'d3'!P208-'d3-П'!P207</f>
        <v>-1850000</v>
      </c>
      <c r="Q208" s="18"/>
      <c r="R208" s="44"/>
    </row>
    <row r="209" spans="1:18" ht="103.5" customHeight="1" thickTop="1" thickBot="1" x14ac:dyDescent="0.25">
      <c r="A209" s="508" t="s">
        <v>717</v>
      </c>
      <c r="B209" s="508" t="s">
        <v>659</v>
      </c>
      <c r="C209" s="508"/>
      <c r="D209" s="508" t="s">
        <v>657</v>
      </c>
      <c r="E209" s="471">
        <f>'d3'!E209-'d3-П'!E208</f>
        <v>-1850000</v>
      </c>
      <c r="F209" s="471">
        <f>'d3'!F209-'d3-П'!F208</f>
        <v>0</v>
      </c>
      <c r="G209" s="471">
        <f>'d3'!G209-'d3-П'!G208</f>
        <v>0</v>
      </c>
      <c r="H209" s="471">
        <f>'d3'!H209-'d3-П'!H208</f>
        <v>0</v>
      </c>
      <c r="I209" s="471">
        <f>'d3'!I209-'d3-П'!I208</f>
        <v>-1850000</v>
      </c>
      <c r="J209" s="471">
        <f>'d3'!J209-'d3-П'!J208</f>
        <v>0</v>
      </c>
      <c r="K209" s="471">
        <f>'d3'!K209-'d3-П'!K208</f>
        <v>0</v>
      </c>
      <c r="L209" s="471">
        <f>'d3'!L209-'d3-П'!L208</f>
        <v>0</v>
      </c>
      <c r="M209" s="471">
        <f>'d3'!M209-'d3-П'!M208</f>
        <v>0</v>
      </c>
      <c r="N209" s="471">
        <f>'d3'!N209-'d3-П'!N208</f>
        <v>0</v>
      </c>
      <c r="O209" s="471">
        <f>'d3'!O209-'d3-П'!O208</f>
        <v>0</v>
      </c>
      <c r="P209" s="471">
        <f>'d3'!P209-'d3-П'!P208</f>
        <v>-1850000</v>
      </c>
      <c r="Q209" s="18"/>
      <c r="R209" s="44"/>
    </row>
    <row r="210" spans="1:18" ht="101.25" customHeight="1" thickTop="1" thickBot="1" x14ac:dyDescent="0.25">
      <c r="A210" s="94" t="s">
        <v>1160</v>
      </c>
      <c r="B210" s="94" t="s">
        <v>207</v>
      </c>
      <c r="C210" s="94" t="s">
        <v>208</v>
      </c>
      <c r="D210" s="94" t="s">
        <v>40</v>
      </c>
      <c r="E210" s="471">
        <f>'d3'!E210-'d3-П'!E209</f>
        <v>-1850000</v>
      </c>
      <c r="F210" s="471">
        <f>'d3'!F210-'d3-П'!F209</f>
        <v>0</v>
      </c>
      <c r="G210" s="471">
        <f>'d3'!G210-'d3-П'!G209</f>
        <v>0</v>
      </c>
      <c r="H210" s="471">
        <f>'d3'!H210-'d3-П'!H209</f>
        <v>0</v>
      </c>
      <c r="I210" s="471">
        <f>'d3'!I210-'d3-П'!I209</f>
        <v>-1850000</v>
      </c>
      <c r="J210" s="471">
        <f>'d3'!J210-'d3-П'!J209</f>
        <v>0</v>
      </c>
      <c r="K210" s="471">
        <f>'d3'!K210-'d3-П'!K209</f>
        <v>0</v>
      </c>
      <c r="L210" s="471">
        <f>'d3'!L210-'d3-П'!L209</f>
        <v>0</v>
      </c>
      <c r="M210" s="471">
        <f>'d3'!M210-'d3-П'!M209</f>
        <v>0</v>
      </c>
      <c r="N210" s="471">
        <f>'d3'!N210-'d3-П'!N209</f>
        <v>0</v>
      </c>
      <c r="O210" s="471">
        <f>'d3'!O210-'d3-П'!O209</f>
        <v>0</v>
      </c>
      <c r="P210" s="471">
        <f>'d3'!P210-'d3-П'!P209</f>
        <v>-1850000</v>
      </c>
      <c r="Q210" s="18"/>
      <c r="R210" s="44"/>
    </row>
    <row r="211" spans="1:18" ht="48" hidden="1" thickTop="1" thickBot="1" x14ac:dyDescent="0.25">
      <c r="A211" s="131" t="s">
        <v>716</v>
      </c>
      <c r="B211" s="131" t="s">
        <v>662</v>
      </c>
      <c r="C211" s="131"/>
      <c r="D211" s="143" t="s">
        <v>660</v>
      </c>
      <c r="E211" s="132">
        <f>E212</f>
        <v>0</v>
      </c>
      <c r="F211" s="132">
        <f t="shared" ref="F211:P211" si="21">F212</f>
        <v>0</v>
      </c>
      <c r="G211" s="132">
        <f t="shared" si="21"/>
        <v>0</v>
      </c>
      <c r="H211" s="132">
        <f t="shared" si="21"/>
        <v>0</v>
      </c>
      <c r="I211" s="132">
        <f t="shared" si="21"/>
        <v>0</v>
      </c>
      <c r="J211" s="132">
        <f t="shared" si="21"/>
        <v>0</v>
      </c>
      <c r="K211" s="132">
        <f t="shared" si="21"/>
        <v>0</v>
      </c>
      <c r="L211" s="132">
        <f t="shared" si="21"/>
        <v>0</v>
      </c>
      <c r="M211" s="132">
        <f t="shared" si="21"/>
        <v>0</v>
      </c>
      <c r="N211" s="132">
        <f t="shared" si="21"/>
        <v>0</v>
      </c>
      <c r="O211" s="132">
        <f t="shared" si="21"/>
        <v>0</v>
      </c>
      <c r="P211" s="132">
        <f t="shared" si="21"/>
        <v>0</v>
      </c>
      <c r="Q211" s="18"/>
      <c r="R211" s="44"/>
    </row>
    <row r="212" spans="1:18" ht="184.5" hidden="1" thickTop="1" thickBot="1" x14ac:dyDescent="0.7">
      <c r="A212" s="805" t="s">
        <v>412</v>
      </c>
      <c r="B212" s="805" t="s">
        <v>329</v>
      </c>
      <c r="C212" s="805" t="s">
        <v>165</v>
      </c>
      <c r="D212" s="144" t="s">
        <v>429</v>
      </c>
      <c r="E212" s="778">
        <f t="shared" ref="E212" si="22">F212</f>
        <v>0</v>
      </c>
      <c r="F212" s="772"/>
      <c r="G212" s="772"/>
      <c r="H212" s="772"/>
      <c r="I212" s="772"/>
      <c r="J212" s="778">
        <f t="shared" ref="J212" si="23">L212+O212</f>
        <v>0</v>
      </c>
      <c r="K212" s="772"/>
      <c r="L212" s="772"/>
      <c r="M212" s="772"/>
      <c r="N212" s="772"/>
      <c r="O212" s="775">
        <f t="shared" ref="O212" si="24">K212</f>
        <v>0</v>
      </c>
      <c r="P212" s="806">
        <f t="shared" ref="P212" si="25">E212+J212</f>
        <v>0</v>
      </c>
      <c r="Q212" s="18"/>
      <c r="R212" s="48"/>
    </row>
    <row r="213" spans="1:18" ht="93" hidden="1" thickTop="1" thickBot="1" x14ac:dyDescent="0.25">
      <c r="A213" s="773"/>
      <c r="B213" s="810"/>
      <c r="C213" s="773"/>
      <c r="D213" s="145" t="s">
        <v>430</v>
      </c>
      <c r="E213" s="773"/>
      <c r="F213" s="774"/>
      <c r="G213" s="774"/>
      <c r="H213" s="774"/>
      <c r="I213" s="774"/>
      <c r="J213" s="773"/>
      <c r="K213" s="773"/>
      <c r="L213" s="774"/>
      <c r="M213" s="774"/>
      <c r="N213" s="774"/>
      <c r="O213" s="776"/>
      <c r="P213" s="807"/>
      <c r="Q213" s="18"/>
      <c r="R213" s="48"/>
    </row>
    <row r="214" spans="1:18" ht="168.75" customHeight="1" thickTop="1" thickBot="1" x14ac:dyDescent="0.25">
      <c r="A214" s="514">
        <v>1000000</v>
      </c>
      <c r="B214" s="514"/>
      <c r="C214" s="514"/>
      <c r="D214" s="515" t="s">
        <v>24</v>
      </c>
      <c r="E214" s="516">
        <f>E215</f>
        <v>2450339</v>
      </c>
      <c r="F214" s="517">
        <f t="shared" ref="F214:G214" si="26">F215</f>
        <v>1014342</v>
      </c>
      <c r="G214" s="517">
        <f t="shared" si="26"/>
        <v>0</v>
      </c>
      <c r="H214" s="517">
        <f>H215</f>
        <v>0</v>
      </c>
      <c r="I214" s="517">
        <f>I215</f>
        <v>1435997</v>
      </c>
      <c r="J214" s="516">
        <f>J215</f>
        <v>0</v>
      </c>
      <c r="K214" s="517">
        <f>K215</f>
        <v>0</v>
      </c>
      <c r="L214" s="517">
        <f>L215</f>
        <v>0</v>
      </c>
      <c r="M214" s="517">
        <f t="shared" ref="M214" si="27">M215</f>
        <v>0</v>
      </c>
      <c r="N214" s="517">
        <f>N215</f>
        <v>0</v>
      </c>
      <c r="O214" s="516">
        <f>O215</f>
        <v>0</v>
      </c>
      <c r="P214" s="517">
        <f t="shared" ref="P214" si="28">P215</f>
        <v>2450339</v>
      </c>
      <c r="Q214" s="517">
        <f>O215-K215</f>
        <v>0</v>
      </c>
    </row>
    <row r="215" spans="1:18" ht="168.75" customHeight="1" thickTop="1" thickBot="1" x14ac:dyDescent="0.25">
      <c r="A215" s="511">
        <v>1010000</v>
      </c>
      <c r="B215" s="511"/>
      <c r="C215" s="511"/>
      <c r="D215" s="512" t="s">
        <v>38</v>
      </c>
      <c r="E215" s="513">
        <f>E216+E218+E232+E226</f>
        <v>2450339</v>
      </c>
      <c r="F215" s="513">
        <f>F216+F218+F232+F226</f>
        <v>1014342</v>
      </c>
      <c r="G215" s="513">
        <f>G216+G218+G232+G226</f>
        <v>0</v>
      </c>
      <c r="H215" s="513">
        <f>H216+H218+H232+H226</f>
        <v>0</v>
      </c>
      <c r="I215" s="513">
        <f>I216+I218+I232+I226</f>
        <v>1435997</v>
      </c>
      <c r="J215" s="513">
        <f t="shared" ref="J215" si="29">L215+O215</f>
        <v>0</v>
      </c>
      <c r="K215" s="513">
        <f>K216+K218+K232+K226</f>
        <v>0</v>
      </c>
      <c r="L215" s="513">
        <f>L216+L218+L232+L226</f>
        <v>0</v>
      </c>
      <c r="M215" s="513">
        <f>M216+M218+M232+M226</f>
        <v>0</v>
      </c>
      <c r="N215" s="513">
        <f>N216+N218+N232+N226</f>
        <v>0</v>
      </c>
      <c r="O215" s="513">
        <f>O216+O218+O232+O226</f>
        <v>0</v>
      </c>
      <c r="P215" s="513">
        <f t="shared" ref="P215" si="30">E215+J215</f>
        <v>2450339</v>
      </c>
      <c r="Q215" s="546" t="b">
        <f>P215=P217+P219+P220+P221+P224+P225+P229+P222</f>
        <v>1</v>
      </c>
      <c r="R215" s="44"/>
    </row>
    <row r="216" spans="1:18" ht="95.25" customHeight="1" thickTop="1" thickBot="1" x14ac:dyDescent="0.25">
      <c r="A216" s="239" t="s">
        <v>718</v>
      </c>
      <c r="B216" s="239" t="s">
        <v>675</v>
      </c>
      <c r="C216" s="239"/>
      <c r="D216" s="239" t="s">
        <v>676</v>
      </c>
      <c r="E216" s="471">
        <f>'d3'!E216-'d3-П'!E215</f>
        <v>1238692</v>
      </c>
      <c r="F216" s="471">
        <f>'d3'!F216-'d3-П'!F215</f>
        <v>387692</v>
      </c>
      <c r="G216" s="471">
        <f>'d3'!G216-'d3-П'!G215</f>
        <v>0</v>
      </c>
      <c r="H216" s="471">
        <f>'d3'!H216-'d3-П'!H215</f>
        <v>0</v>
      </c>
      <c r="I216" s="471">
        <f>'d3'!I216-'d3-П'!I215</f>
        <v>851000</v>
      </c>
      <c r="J216" s="471">
        <f>'d3'!J216-'d3-П'!J215</f>
        <v>0</v>
      </c>
      <c r="K216" s="471">
        <f>'d3'!K216-'d3-П'!K215</f>
        <v>0</v>
      </c>
      <c r="L216" s="471">
        <f>'d3'!L216-'d3-П'!L215</f>
        <v>0</v>
      </c>
      <c r="M216" s="471">
        <f>'d3'!M216-'d3-П'!M215</f>
        <v>0</v>
      </c>
      <c r="N216" s="471">
        <f>'d3'!N216-'d3-П'!N215</f>
        <v>0</v>
      </c>
      <c r="O216" s="471">
        <f>'d3'!O216-'d3-П'!O215</f>
        <v>0</v>
      </c>
      <c r="P216" s="471">
        <f>'d3'!P216-'d3-П'!P215</f>
        <v>1238692</v>
      </c>
      <c r="Q216" s="45"/>
      <c r="R216" s="44"/>
    </row>
    <row r="217" spans="1:18" ht="96" customHeight="1" thickTop="1" thickBot="1" x14ac:dyDescent="0.25">
      <c r="A217" s="94" t="s">
        <v>609</v>
      </c>
      <c r="B217" s="94" t="s">
        <v>610</v>
      </c>
      <c r="C217" s="94" t="s">
        <v>176</v>
      </c>
      <c r="D217" s="94" t="s">
        <v>1583</v>
      </c>
      <c r="E217" s="471">
        <f>'d3'!E217-'d3-П'!E216</f>
        <v>1238692</v>
      </c>
      <c r="F217" s="471">
        <f>'d3'!F217-'d3-П'!F216</f>
        <v>387692</v>
      </c>
      <c r="G217" s="471">
        <f>'d3'!G217-'d3-П'!G216</f>
        <v>0</v>
      </c>
      <c r="H217" s="471">
        <f>'d3'!H217-'d3-П'!H216</f>
        <v>0</v>
      </c>
      <c r="I217" s="471">
        <f>'d3'!I217-'d3-П'!I216</f>
        <v>851000</v>
      </c>
      <c r="J217" s="471">
        <f>'d3'!J217-'d3-П'!J216</f>
        <v>0</v>
      </c>
      <c r="K217" s="471">
        <f>'d3'!K217-'d3-П'!K216</f>
        <v>0</v>
      </c>
      <c r="L217" s="471">
        <f>'d3'!L217-'d3-П'!L216</f>
        <v>0</v>
      </c>
      <c r="M217" s="471">
        <f>'d3'!M217-'d3-П'!M216</f>
        <v>0</v>
      </c>
      <c r="N217" s="471">
        <f>'d3'!N217-'d3-П'!N216</f>
        <v>0</v>
      </c>
      <c r="O217" s="471">
        <f>'d3'!O217-'d3-П'!O216</f>
        <v>0</v>
      </c>
      <c r="P217" s="471">
        <f>'d3'!P217-'d3-П'!P216</f>
        <v>1238692</v>
      </c>
      <c r="Q217" s="18"/>
      <c r="R217" s="44"/>
    </row>
    <row r="218" spans="1:18" s="22" customFormat="1" ht="105.75" customHeight="1" thickTop="1" thickBot="1" x14ac:dyDescent="0.25">
      <c r="A218" s="239" t="s">
        <v>719</v>
      </c>
      <c r="B218" s="239" t="s">
        <v>720</v>
      </c>
      <c r="C218" s="239"/>
      <c r="D218" s="239" t="s">
        <v>721</v>
      </c>
      <c r="E218" s="471">
        <f>'d3'!E218-'d3-П'!E217</f>
        <v>1185347</v>
      </c>
      <c r="F218" s="471">
        <f>'d3'!F218-'d3-П'!F217</f>
        <v>600350</v>
      </c>
      <c r="G218" s="471">
        <f>'d3'!G218-'d3-П'!G217</f>
        <v>0</v>
      </c>
      <c r="H218" s="471">
        <f>'d3'!H218-'d3-П'!H217</f>
        <v>0</v>
      </c>
      <c r="I218" s="471">
        <f>'d3'!I218-'d3-П'!I217</f>
        <v>584997</v>
      </c>
      <c r="J218" s="471">
        <f>'d3'!J218-'d3-П'!J217</f>
        <v>0</v>
      </c>
      <c r="K218" s="471">
        <f>'d3'!K218-'d3-П'!K217</f>
        <v>0</v>
      </c>
      <c r="L218" s="471">
        <f>'d3'!L218-'d3-П'!L217</f>
        <v>0</v>
      </c>
      <c r="M218" s="471">
        <f>'d3'!M218-'d3-П'!M217</f>
        <v>0</v>
      </c>
      <c r="N218" s="471">
        <f>'d3'!N218-'d3-П'!N217</f>
        <v>0</v>
      </c>
      <c r="O218" s="471">
        <f>'d3'!O218-'d3-П'!O217</f>
        <v>0</v>
      </c>
      <c r="P218" s="471">
        <f>'d3'!P218-'d3-П'!P217</f>
        <v>1185347</v>
      </c>
      <c r="Q218" s="23"/>
      <c r="R218" s="48"/>
    </row>
    <row r="219" spans="1:18" ht="122.25" customHeight="1" thickTop="1" thickBot="1" x14ac:dyDescent="0.25">
      <c r="A219" s="94" t="s">
        <v>167</v>
      </c>
      <c r="B219" s="94" t="s">
        <v>168</v>
      </c>
      <c r="C219" s="94" t="s">
        <v>169</v>
      </c>
      <c r="D219" s="94" t="s">
        <v>170</v>
      </c>
      <c r="E219" s="471">
        <f>'d3'!E219-'d3-П'!E218</f>
        <v>699797</v>
      </c>
      <c r="F219" s="471">
        <f>'d3'!F219-'d3-П'!F218</f>
        <v>114800</v>
      </c>
      <c r="G219" s="471">
        <f>'d3'!G219-'d3-П'!G218</f>
        <v>0</v>
      </c>
      <c r="H219" s="471">
        <f>'d3'!H219-'d3-П'!H218</f>
        <v>0</v>
      </c>
      <c r="I219" s="471">
        <f>'d3'!I219-'d3-П'!I218</f>
        <v>584997</v>
      </c>
      <c r="J219" s="471">
        <f>'d3'!J219-'d3-П'!J218</f>
        <v>0</v>
      </c>
      <c r="K219" s="471">
        <f>'d3'!K219-'d3-П'!K218</f>
        <v>0</v>
      </c>
      <c r="L219" s="471">
        <f>'d3'!L219-'d3-П'!L218</f>
        <v>0</v>
      </c>
      <c r="M219" s="471">
        <f>'d3'!M219-'d3-П'!M218</f>
        <v>0</v>
      </c>
      <c r="N219" s="471">
        <f>'d3'!N219-'d3-П'!N218</f>
        <v>0</v>
      </c>
      <c r="O219" s="471">
        <f>'d3'!O219-'d3-П'!O218</f>
        <v>0</v>
      </c>
      <c r="P219" s="471">
        <f>'d3'!P219-'d3-П'!P218</f>
        <v>699797</v>
      </c>
      <c r="Q219" s="18"/>
      <c r="R219" s="44"/>
    </row>
    <row r="220" spans="1:18" ht="112.5" customHeight="1" thickTop="1" thickBot="1" x14ac:dyDescent="0.25">
      <c r="A220" s="94" t="s">
        <v>171</v>
      </c>
      <c r="B220" s="94" t="s">
        <v>172</v>
      </c>
      <c r="C220" s="94" t="s">
        <v>169</v>
      </c>
      <c r="D220" s="94" t="s">
        <v>449</v>
      </c>
      <c r="E220" s="471">
        <f>'d3'!E220-'d3-П'!E219</f>
        <v>147700</v>
      </c>
      <c r="F220" s="471">
        <f>'d3'!F220-'d3-П'!F219</f>
        <v>147700</v>
      </c>
      <c r="G220" s="471">
        <f>'d3'!G220-'d3-П'!G219</f>
        <v>0</v>
      </c>
      <c r="H220" s="471">
        <f>'d3'!H220-'d3-П'!H219</f>
        <v>0</v>
      </c>
      <c r="I220" s="471">
        <f>'d3'!I220-'d3-П'!I219</f>
        <v>0</v>
      </c>
      <c r="J220" s="471">
        <f>'d3'!J220-'d3-П'!J219</f>
        <v>0</v>
      </c>
      <c r="K220" s="471">
        <f>'d3'!K220-'d3-П'!K219</f>
        <v>0</v>
      </c>
      <c r="L220" s="471">
        <f>'d3'!L220-'d3-П'!L219</f>
        <v>0</v>
      </c>
      <c r="M220" s="471">
        <f>'d3'!M220-'d3-П'!M219</f>
        <v>0</v>
      </c>
      <c r="N220" s="471">
        <f>'d3'!N220-'d3-П'!N219</f>
        <v>0</v>
      </c>
      <c r="O220" s="471">
        <f>'d3'!O220-'d3-П'!O219</f>
        <v>0</v>
      </c>
      <c r="P220" s="471">
        <f>'d3'!P220-'d3-П'!P219</f>
        <v>147700</v>
      </c>
      <c r="Q220" s="18"/>
      <c r="R220" s="44"/>
    </row>
    <row r="221" spans="1:18" ht="118.5" customHeight="1" thickTop="1" thickBot="1" x14ac:dyDescent="0.25">
      <c r="A221" s="94" t="s">
        <v>173</v>
      </c>
      <c r="B221" s="94" t="s">
        <v>166</v>
      </c>
      <c r="C221" s="94" t="s">
        <v>174</v>
      </c>
      <c r="D221" s="94" t="s">
        <v>175</v>
      </c>
      <c r="E221" s="471">
        <f>'d3'!E221-'d3-П'!E220</f>
        <v>172850</v>
      </c>
      <c r="F221" s="471">
        <f>'d3'!F221-'d3-П'!F220</f>
        <v>172850</v>
      </c>
      <c r="G221" s="471">
        <f>'d3'!G221-'d3-П'!G220</f>
        <v>0</v>
      </c>
      <c r="H221" s="471">
        <f>'d3'!H221-'d3-П'!H220</f>
        <v>0</v>
      </c>
      <c r="I221" s="471">
        <f>'d3'!I221-'d3-П'!I220</f>
        <v>0</v>
      </c>
      <c r="J221" s="471">
        <f>'d3'!J221-'d3-П'!J220</f>
        <v>0</v>
      </c>
      <c r="K221" s="471">
        <f>'d3'!K221-'d3-П'!K220</f>
        <v>0</v>
      </c>
      <c r="L221" s="471">
        <f>'d3'!L221-'d3-П'!L220</f>
        <v>0</v>
      </c>
      <c r="M221" s="471">
        <f>'d3'!M221-'d3-П'!M220</f>
        <v>0</v>
      </c>
      <c r="N221" s="471">
        <f>'d3'!N221-'d3-П'!N220</f>
        <v>0</v>
      </c>
      <c r="O221" s="471">
        <f>'d3'!O221-'d3-П'!O220</f>
        <v>0</v>
      </c>
      <c r="P221" s="471">
        <f>'d3'!P221-'d3-П'!P220</f>
        <v>172850</v>
      </c>
      <c r="Q221" s="18"/>
      <c r="R221" s="44"/>
    </row>
    <row r="222" spans="1:18" ht="138.75" customHeight="1" thickTop="1" thickBot="1" x14ac:dyDescent="0.25">
      <c r="A222" s="713" t="s">
        <v>1074</v>
      </c>
      <c r="B222" s="713" t="s">
        <v>1075</v>
      </c>
      <c r="C222" s="713" t="s">
        <v>1077</v>
      </c>
      <c r="D222" s="713" t="s">
        <v>1076</v>
      </c>
      <c r="E222" s="471">
        <f>'d3'!E222-0</f>
        <v>165000</v>
      </c>
      <c r="F222" s="471">
        <f>'d3'!F222-0</f>
        <v>165000</v>
      </c>
      <c r="G222" s="471">
        <f>'d3'!G222-0</f>
        <v>0</v>
      </c>
      <c r="H222" s="471">
        <f>'d3'!H222-0</f>
        <v>0</v>
      </c>
      <c r="I222" s="471">
        <f>'d3'!I222-0</f>
        <v>0</v>
      </c>
      <c r="J222" s="471">
        <f>'d3'!J222-0</f>
        <v>0</v>
      </c>
      <c r="K222" s="471">
        <f>'d3'!K222-0</f>
        <v>0</v>
      </c>
      <c r="L222" s="471">
        <f>'d3'!L222-0</f>
        <v>0</v>
      </c>
      <c r="M222" s="471">
        <f>'d3'!M222-0</f>
        <v>0</v>
      </c>
      <c r="N222" s="471">
        <f>'d3'!N222-0</f>
        <v>0</v>
      </c>
      <c r="O222" s="471">
        <f>'d3'!O222-0</f>
        <v>0</v>
      </c>
      <c r="P222" s="471">
        <f>'d3'!P222-0</f>
        <v>165000</v>
      </c>
      <c r="Q222" s="18"/>
      <c r="R222" s="44"/>
    </row>
    <row r="223" spans="1:18" ht="126" customHeight="1" thickTop="1" thickBot="1" x14ac:dyDescent="0.25">
      <c r="A223" s="518" t="s">
        <v>722</v>
      </c>
      <c r="B223" s="518" t="s">
        <v>723</v>
      </c>
      <c r="C223" s="518"/>
      <c r="D223" s="518" t="s">
        <v>724</v>
      </c>
      <c r="E223" s="471">
        <f>'d3'!E223-'d3-П'!E222</f>
        <v>0</v>
      </c>
      <c r="F223" s="471">
        <f>'d3'!F223-'d3-П'!F222</f>
        <v>0</v>
      </c>
      <c r="G223" s="471">
        <f>'d3'!G223-'d3-П'!G222</f>
        <v>0</v>
      </c>
      <c r="H223" s="471">
        <f>'d3'!H223-'d3-П'!H222</f>
        <v>0</v>
      </c>
      <c r="I223" s="471">
        <f>'d3'!I223-'d3-П'!I222</f>
        <v>0</v>
      </c>
      <c r="J223" s="471">
        <f>'d3'!J223-'d3-П'!J222</f>
        <v>0</v>
      </c>
      <c r="K223" s="471">
        <f>'d3'!K223-'d3-П'!K222</f>
        <v>0</v>
      </c>
      <c r="L223" s="471">
        <f>'d3'!L223-'d3-П'!L222</f>
        <v>0</v>
      </c>
      <c r="M223" s="471">
        <f>'d3'!M223-'d3-П'!M222</f>
        <v>0</v>
      </c>
      <c r="N223" s="471">
        <f>'d3'!N223-'d3-П'!N222</f>
        <v>0</v>
      </c>
      <c r="O223" s="471">
        <f>'d3'!O223-'d3-П'!O222</f>
        <v>0</v>
      </c>
      <c r="P223" s="471">
        <f>'d3'!P223-'d3-П'!P222</f>
        <v>0</v>
      </c>
      <c r="Q223" s="18"/>
      <c r="R223" s="44"/>
    </row>
    <row r="224" spans="1:18" ht="119.25" customHeight="1" thickTop="1" thickBot="1" x14ac:dyDescent="0.25">
      <c r="A224" s="94" t="s">
        <v>324</v>
      </c>
      <c r="B224" s="94" t="s">
        <v>325</v>
      </c>
      <c r="C224" s="94" t="s">
        <v>177</v>
      </c>
      <c r="D224" s="94" t="s">
        <v>450</v>
      </c>
      <c r="E224" s="471">
        <f>'d3'!E224-'d3-П'!E223</f>
        <v>0</v>
      </c>
      <c r="F224" s="471">
        <f>'d3'!F224-'d3-П'!F223</f>
        <v>0</v>
      </c>
      <c r="G224" s="471">
        <f>'d3'!G224-'d3-П'!G223</f>
        <v>0</v>
      </c>
      <c r="H224" s="471">
        <f>'d3'!H224-'d3-П'!H223</f>
        <v>0</v>
      </c>
      <c r="I224" s="471">
        <f>'d3'!I224-'d3-П'!I223</f>
        <v>0</v>
      </c>
      <c r="J224" s="471">
        <f>'d3'!J224-'d3-П'!J223</f>
        <v>0</v>
      </c>
      <c r="K224" s="471">
        <f>'d3'!K224-'d3-П'!K223</f>
        <v>0</v>
      </c>
      <c r="L224" s="471">
        <f>'d3'!L224-'d3-П'!L223</f>
        <v>0</v>
      </c>
      <c r="M224" s="471">
        <f>'d3'!M224-'d3-П'!M223</f>
        <v>0</v>
      </c>
      <c r="N224" s="471">
        <f>'d3'!N224-'d3-П'!N223</f>
        <v>0</v>
      </c>
      <c r="O224" s="471">
        <f>'d3'!O224-'d3-П'!O223</f>
        <v>0</v>
      </c>
      <c r="P224" s="471">
        <f>'d3'!P224-'d3-П'!P223</f>
        <v>0</v>
      </c>
      <c r="Q224" s="18"/>
      <c r="R224" s="44"/>
    </row>
    <row r="225" spans="1:18" ht="121.5" customHeight="1" thickTop="1" thickBot="1" x14ac:dyDescent="0.25">
      <c r="A225" s="94" t="s">
        <v>326</v>
      </c>
      <c r="B225" s="94" t="s">
        <v>327</v>
      </c>
      <c r="C225" s="94" t="s">
        <v>177</v>
      </c>
      <c r="D225" s="94" t="s">
        <v>451</v>
      </c>
      <c r="E225" s="471">
        <f>'d3'!E225-'d3-П'!E224</f>
        <v>0</v>
      </c>
      <c r="F225" s="471">
        <f>'d3'!F225-'d3-П'!F224</f>
        <v>0</v>
      </c>
      <c r="G225" s="471">
        <f>'d3'!G225-'d3-П'!G224</f>
        <v>0</v>
      </c>
      <c r="H225" s="471">
        <f>'d3'!H225-'d3-П'!H224</f>
        <v>0</v>
      </c>
      <c r="I225" s="471">
        <f>'d3'!I225-'d3-П'!I224</f>
        <v>0</v>
      </c>
      <c r="J225" s="471">
        <f>'d3'!J225-'d3-П'!J224</f>
        <v>0</v>
      </c>
      <c r="K225" s="471">
        <f>'d3'!K225-'d3-П'!K224</f>
        <v>0</v>
      </c>
      <c r="L225" s="471">
        <f>'d3'!L225-'d3-П'!L224</f>
        <v>0</v>
      </c>
      <c r="M225" s="471">
        <f>'d3'!M225-'d3-П'!M224</f>
        <v>0</v>
      </c>
      <c r="N225" s="471">
        <f>'d3'!N225-'d3-П'!N224</f>
        <v>0</v>
      </c>
      <c r="O225" s="471">
        <f>'d3'!O225-'d3-П'!O224</f>
        <v>0</v>
      </c>
      <c r="P225" s="471">
        <f>'d3'!P225-'d3-П'!P224</f>
        <v>0</v>
      </c>
      <c r="Q225" s="18"/>
      <c r="R225" s="48"/>
    </row>
    <row r="226" spans="1:18" ht="101.25" customHeight="1" thickTop="1" thickBot="1" x14ac:dyDescent="0.25">
      <c r="A226" s="239" t="s">
        <v>871</v>
      </c>
      <c r="B226" s="239" t="s">
        <v>713</v>
      </c>
      <c r="C226" s="239"/>
      <c r="D226" s="239" t="s">
        <v>714</v>
      </c>
      <c r="E226" s="471">
        <f>'d3'!E226-'d3-П'!E225</f>
        <v>26300</v>
      </c>
      <c r="F226" s="471">
        <f>'d3'!F226-'d3-П'!F225</f>
        <v>26300</v>
      </c>
      <c r="G226" s="471">
        <f>'d3'!G226-'d3-П'!G225</f>
        <v>0</v>
      </c>
      <c r="H226" s="471">
        <f>'d3'!H226-'d3-П'!H225</f>
        <v>0</v>
      </c>
      <c r="I226" s="471">
        <f>'d3'!I226-'d3-П'!I225</f>
        <v>0</v>
      </c>
      <c r="J226" s="471">
        <f>'d3'!J226-'d3-П'!J225</f>
        <v>0</v>
      </c>
      <c r="K226" s="471">
        <f>'d3'!K226-'d3-П'!K225</f>
        <v>0</v>
      </c>
      <c r="L226" s="471">
        <f>'d3'!L226-'d3-П'!L225</f>
        <v>0</v>
      </c>
      <c r="M226" s="471">
        <f>'d3'!M226-'d3-П'!M225</f>
        <v>0</v>
      </c>
      <c r="N226" s="471">
        <f>'d3'!N226-'d3-П'!N225</f>
        <v>0</v>
      </c>
      <c r="O226" s="471">
        <f>'d3'!O226-'d3-П'!O225</f>
        <v>0</v>
      </c>
      <c r="P226" s="471">
        <f>'d3'!P226-'d3-П'!P225</f>
        <v>26300</v>
      </c>
      <c r="Q226" s="18"/>
      <c r="R226" s="48"/>
    </row>
    <row r="227" spans="1:18" ht="111.75" customHeight="1" thickTop="1" thickBot="1" x14ac:dyDescent="0.25">
      <c r="A227" s="508" t="s">
        <v>872</v>
      </c>
      <c r="B227" s="508" t="s">
        <v>659</v>
      </c>
      <c r="C227" s="508"/>
      <c r="D227" s="508" t="s">
        <v>657</v>
      </c>
      <c r="E227" s="471">
        <f>'d3'!E227-'d3-П'!E226</f>
        <v>26300</v>
      </c>
      <c r="F227" s="471">
        <f>'d3'!F227-'d3-П'!F226</f>
        <v>26300</v>
      </c>
      <c r="G227" s="471">
        <f>'d3'!G227-'d3-П'!G226</f>
        <v>0</v>
      </c>
      <c r="H227" s="471">
        <f>'d3'!H227-'d3-П'!H226</f>
        <v>0</v>
      </c>
      <c r="I227" s="471">
        <f>'d3'!I227-'d3-П'!I226</f>
        <v>0</v>
      </c>
      <c r="J227" s="471">
        <f>'d3'!J227-'d3-П'!J226</f>
        <v>0</v>
      </c>
      <c r="K227" s="471">
        <f>'d3'!K227-'d3-П'!K226</f>
        <v>0</v>
      </c>
      <c r="L227" s="471">
        <f>'d3'!L227-'d3-П'!L226</f>
        <v>0</v>
      </c>
      <c r="M227" s="471">
        <f>'d3'!M227-'d3-П'!M226</f>
        <v>0</v>
      </c>
      <c r="N227" s="471">
        <f>'d3'!N227-'d3-П'!N226</f>
        <v>0</v>
      </c>
      <c r="O227" s="471">
        <f>'d3'!O227-'d3-П'!O226</f>
        <v>0</v>
      </c>
      <c r="P227" s="471">
        <f>'d3'!P227-'d3-П'!P226</f>
        <v>26300</v>
      </c>
      <c r="Q227" s="18"/>
      <c r="R227" s="48"/>
    </row>
    <row r="228" spans="1:18" ht="105.75" customHeight="1" thickTop="1" thickBot="1" x14ac:dyDescent="0.25">
      <c r="A228" s="518" t="s">
        <v>956</v>
      </c>
      <c r="B228" s="518" t="s">
        <v>957</v>
      </c>
      <c r="C228" s="518"/>
      <c r="D228" s="518" t="s">
        <v>955</v>
      </c>
      <c r="E228" s="471">
        <f>'d3'!E228-'d3-П'!E227</f>
        <v>26300</v>
      </c>
      <c r="F228" s="471">
        <f>'d3'!F228-'d3-П'!F227</f>
        <v>26300</v>
      </c>
      <c r="G228" s="471">
        <f>'d3'!G228-'d3-П'!G227</f>
        <v>0</v>
      </c>
      <c r="H228" s="471">
        <f>'d3'!H228-'d3-П'!H227</f>
        <v>0</v>
      </c>
      <c r="I228" s="471">
        <f>'d3'!I228-'d3-П'!I227</f>
        <v>0</v>
      </c>
      <c r="J228" s="471">
        <f>'d3'!J228-'d3-П'!J227</f>
        <v>0</v>
      </c>
      <c r="K228" s="471">
        <f>'d3'!K228-'d3-П'!K227</f>
        <v>0</v>
      </c>
      <c r="L228" s="471">
        <f>'d3'!L228-'d3-П'!L227</f>
        <v>0</v>
      </c>
      <c r="M228" s="471">
        <f>'d3'!M228-'d3-П'!M227</f>
        <v>0</v>
      </c>
      <c r="N228" s="471">
        <f>'d3'!N228-'d3-П'!N227</f>
        <v>0</v>
      </c>
      <c r="O228" s="471">
        <f>'d3'!O228-'d3-П'!O227</f>
        <v>0</v>
      </c>
      <c r="P228" s="471">
        <f>'d3'!P228-'d3-П'!P227</f>
        <v>26300</v>
      </c>
      <c r="Q228" s="18"/>
      <c r="R228" s="48"/>
    </row>
    <row r="229" spans="1:18" ht="105.75" customHeight="1" thickTop="1" thickBot="1" x14ac:dyDescent="0.25">
      <c r="A229" s="94" t="s">
        <v>959</v>
      </c>
      <c r="B229" s="94" t="s">
        <v>960</v>
      </c>
      <c r="C229" s="94" t="s">
        <v>208</v>
      </c>
      <c r="D229" s="94" t="s">
        <v>958</v>
      </c>
      <c r="E229" s="471">
        <f>'d3'!E229-'d3-П'!E228</f>
        <v>26300</v>
      </c>
      <c r="F229" s="471">
        <f>'d3'!F229-'d3-П'!F228</f>
        <v>26300</v>
      </c>
      <c r="G229" s="471">
        <f>'d3'!G229-'d3-П'!G228</f>
        <v>0</v>
      </c>
      <c r="H229" s="471">
        <f>'d3'!H229-'d3-П'!H228</f>
        <v>0</v>
      </c>
      <c r="I229" s="471">
        <f>'d3'!I229-'d3-П'!I228</f>
        <v>0</v>
      </c>
      <c r="J229" s="471">
        <f>'d3'!J229-'d3-П'!J228</f>
        <v>0</v>
      </c>
      <c r="K229" s="471">
        <f>'d3'!K229-'d3-П'!K228</f>
        <v>0</v>
      </c>
      <c r="L229" s="471">
        <f>'d3'!L229-'d3-П'!L228</f>
        <v>0</v>
      </c>
      <c r="M229" s="471">
        <f>'d3'!M229-'d3-П'!M228</f>
        <v>0</v>
      </c>
      <c r="N229" s="471">
        <f>'d3'!N229-'d3-П'!N228</f>
        <v>0</v>
      </c>
      <c r="O229" s="471">
        <f>'d3'!O229-'d3-П'!O228</f>
        <v>0</v>
      </c>
      <c r="P229" s="471">
        <f>'d3'!P229-'d3-П'!P228</f>
        <v>26300</v>
      </c>
      <c r="Q229" s="18"/>
      <c r="R229" s="48"/>
    </row>
    <row r="230" spans="1:18" ht="48" hidden="1" thickTop="1" thickBot="1" x14ac:dyDescent="0.25">
      <c r="A230" s="119" t="s">
        <v>1131</v>
      </c>
      <c r="B230" s="119" t="s">
        <v>207</v>
      </c>
      <c r="C230" s="119" t="s">
        <v>208</v>
      </c>
      <c r="D230" s="119" t="s">
        <v>40</v>
      </c>
      <c r="E230" s="118">
        <f t="shared" ref="E230:E231" si="31">F230</f>
        <v>0</v>
      </c>
      <c r="F230" s="125"/>
      <c r="G230" s="125"/>
      <c r="H230" s="125"/>
      <c r="I230" s="125"/>
      <c r="J230" s="118">
        <f>L230+O230</f>
        <v>0</v>
      </c>
      <c r="K230" s="125"/>
      <c r="L230" s="125"/>
      <c r="M230" s="125"/>
      <c r="N230" s="125"/>
      <c r="O230" s="123">
        <f>K230</f>
        <v>0</v>
      </c>
      <c r="P230" s="118">
        <f>E230+J230</f>
        <v>0</v>
      </c>
      <c r="Q230" s="18"/>
      <c r="R230" s="48"/>
    </row>
    <row r="231" spans="1:18" ht="48" hidden="1" thickTop="1" thickBot="1" x14ac:dyDescent="0.25">
      <c r="A231" s="119" t="s">
        <v>873</v>
      </c>
      <c r="B231" s="119" t="s">
        <v>192</v>
      </c>
      <c r="C231" s="119" t="s">
        <v>165</v>
      </c>
      <c r="D231" s="119" t="s">
        <v>33</v>
      </c>
      <c r="E231" s="118">
        <f t="shared" si="31"/>
        <v>0</v>
      </c>
      <c r="F231" s="125"/>
      <c r="G231" s="125"/>
      <c r="H231" s="125"/>
      <c r="I231" s="125"/>
      <c r="J231" s="118">
        <f t="shared" ref="J231" si="32">L231+O231</f>
        <v>0</v>
      </c>
      <c r="K231" s="125"/>
      <c r="L231" s="125"/>
      <c r="M231" s="125"/>
      <c r="N231" s="125"/>
      <c r="O231" s="123">
        <f t="shared" ref="O231" si="33">K231</f>
        <v>0</v>
      </c>
      <c r="P231" s="118">
        <f t="shared" ref="P231" si="34">E231+J231</f>
        <v>0</v>
      </c>
      <c r="Q231" s="18"/>
      <c r="R231" s="44"/>
    </row>
    <row r="232" spans="1:18" ht="47.25" hidden="1" thickTop="1" thickBot="1" x14ac:dyDescent="0.25">
      <c r="A232" s="137" t="s">
        <v>725</v>
      </c>
      <c r="B232" s="137" t="s">
        <v>669</v>
      </c>
      <c r="C232" s="137"/>
      <c r="D232" s="137" t="s">
        <v>670</v>
      </c>
      <c r="E232" s="40">
        <f>E233</f>
        <v>0</v>
      </c>
      <c r="F232" s="40">
        <f t="shared" ref="F232:P233" si="35">F233</f>
        <v>0</v>
      </c>
      <c r="G232" s="40">
        <f t="shared" si="35"/>
        <v>0</v>
      </c>
      <c r="H232" s="40">
        <f t="shared" si="35"/>
        <v>0</v>
      </c>
      <c r="I232" s="40">
        <f t="shared" si="35"/>
        <v>0</v>
      </c>
      <c r="J232" s="40">
        <f t="shared" si="35"/>
        <v>0</v>
      </c>
      <c r="K232" s="40">
        <f t="shared" si="35"/>
        <v>0</v>
      </c>
      <c r="L232" s="40">
        <f t="shared" si="35"/>
        <v>0</v>
      </c>
      <c r="M232" s="40">
        <f t="shared" si="35"/>
        <v>0</v>
      </c>
      <c r="N232" s="40">
        <f t="shared" si="35"/>
        <v>0</v>
      </c>
      <c r="O232" s="40">
        <f t="shared" si="35"/>
        <v>0</v>
      </c>
      <c r="P232" s="40">
        <f t="shared" si="35"/>
        <v>0</v>
      </c>
      <c r="Q232" s="18"/>
      <c r="R232" s="48"/>
    </row>
    <row r="233" spans="1:18" ht="91.5" hidden="1" thickTop="1" thickBot="1" x14ac:dyDescent="0.25">
      <c r="A233" s="138" t="s">
        <v>726</v>
      </c>
      <c r="B233" s="138" t="s">
        <v>672</v>
      </c>
      <c r="C233" s="138"/>
      <c r="D233" s="138" t="s">
        <v>673</v>
      </c>
      <c r="E233" s="139">
        <f>E234</f>
        <v>0</v>
      </c>
      <c r="F233" s="139">
        <f t="shared" si="35"/>
        <v>0</v>
      </c>
      <c r="G233" s="139">
        <f t="shared" si="35"/>
        <v>0</v>
      </c>
      <c r="H233" s="139">
        <f t="shared" si="35"/>
        <v>0</v>
      </c>
      <c r="I233" s="139">
        <f t="shared" si="35"/>
        <v>0</v>
      </c>
      <c r="J233" s="139">
        <f t="shared" si="35"/>
        <v>0</v>
      </c>
      <c r="K233" s="139">
        <f t="shared" si="35"/>
        <v>0</v>
      </c>
      <c r="L233" s="139">
        <f t="shared" si="35"/>
        <v>0</v>
      </c>
      <c r="M233" s="139">
        <f t="shared" si="35"/>
        <v>0</v>
      </c>
      <c r="N233" s="139">
        <f t="shared" si="35"/>
        <v>0</v>
      </c>
      <c r="O233" s="139">
        <f t="shared" si="35"/>
        <v>0</v>
      </c>
      <c r="P233" s="139">
        <f t="shared" si="35"/>
        <v>0</v>
      </c>
      <c r="Q233" s="18"/>
      <c r="R233" s="48"/>
    </row>
    <row r="234" spans="1:18" ht="48" hidden="1" thickTop="1" thickBot="1" x14ac:dyDescent="0.25">
      <c r="A234" s="39" t="s">
        <v>561</v>
      </c>
      <c r="B234" s="39" t="s">
        <v>353</v>
      </c>
      <c r="C234" s="39" t="s">
        <v>42</v>
      </c>
      <c r="D234" s="39" t="s">
        <v>354</v>
      </c>
      <c r="E234" s="40">
        <f t="shared" ref="E234" si="36">F234</f>
        <v>0</v>
      </c>
      <c r="F234" s="41">
        <v>0</v>
      </c>
      <c r="G234" s="41"/>
      <c r="H234" s="41"/>
      <c r="I234" s="41"/>
      <c r="J234" s="40">
        <f>L234+O234</f>
        <v>0</v>
      </c>
      <c r="K234" s="41"/>
      <c r="L234" s="41"/>
      <c r="M234" s="41"/>
      <c r="N234" s="41"/>
      <c r="O234" s="42">
        <f>K234</f>
        <v>0</v>
      </c>
      <c r="P234" s="40">
        <f>E234+J234</f>
        <v>0</v>
      </c>
      <c r="Q234" s="18"/>
      <c r="R234" s="48"/>
    </row>
    <row r="235" spans="1:18" ht="159" customHeight="1" thickTop="1" thickBot="1" x14ac:dyDescent="0.25">
      <c r="A235" s="514" t="s">
        <v>22</v>
      </c>
      <c r="B235" s="514"/>
      <c r="C235" s="514"/>
      <c r="D235" s="515" t="s">
        <v>23</v>
      </c>
      <c r="E235" s="516">
        <f>E236</f>
        <v>5775827</v>
      </c>
      <c r="F235" s="517">
        <f t="shared" ref="F235:G235" si="37">F236</f>
        <v>1748598.1799999997</v>
      </c>
      <c r="G235" s="517">
        <f t="shared" si="37"/>
        <v>0</v>
      </c>
      <c r="H235" s="517">
        <f>H236</f>
        <v>0</v>
      </c>
      <c r="I235" s="517">
        <f t="shared" ref="I235" si="38">I236</f>
        <v>4027228.8200000003</v>
      </c>
      <c r="J235" s="516">
        <f>J236</f>
        <v>0</v>
      </c>
      <c r="K235" s="517">
        <f>K236</f>
        <v>0</v>
      </c>
      <c r="L235" s="517">
        <f>L236</f>
        <v>0</v>
      </c>
      <c r="M235" s="517">
        <f t="shared" ref="M235" si="39">M236</f>
        <v>0</v>
      </c>
      <c r="N235" s="517">
        <f>N236</f>
        <v>950</v>
      </c>
      <c r="O235" s="516">
        <f>O236</f>
        <v>0</v>
      </c>
      <c r="P235" s="517">
        <f t="shared" ref="P235" si="40">P236</f>
        <v>5775827</v>
      </c>
      <c r="Q235" s="517">
        <f>O236-K236</f>
        <v>0</v>
      </c>
    </row>
    <row r="236" spans="1:18" ht="156" customHeight="1" thickTop="1" thickBot="1" x14ac:dyDescent="0.25">
      <c r="A236" s="511" t="s">
        <v>21</v>
      </c>
      <c r="B236" s="511"/>
      <c r="C236" s="511"/>
      <c r="D236" s="512" t="s">
        <v>34</v>
      </c>
      <c r="E236" s="513">
        <f>E237+E243+E259+E262+E269</f>
        <v>5775827</v>
      </c>
      <c r="F236" s="513">
        <f>F237+F243+F259+F262+F269</f>
        <v>1748598.1799999997</v>
      </c>
      <c r="G236" s="513">
        <f>G237+G243+G259+G262+G269</f>
        <v>0</v>
      </c>
      <c r="H236" s="513">
        <f>H237+H243+H259+H262+H269</f>
        <v>0</v>
      </c>
      <c r="I236" s="513">
        <f>I237+I243+I259+I262+I269</f>
        <v>4027228.8200000003</v>
      </c>
      <c r="J236" s="513">
        <f>L236+O236</f>
        <v>0</v>
      </c>
      <c r="K236" s="513">
        <f>K237+K243+K259+K262+K269</f>
        <v>0</v>
      </c>
      <c r="L236" s="513">
        <f>L237+L243+L259+L262+L269</f>
        <v>0</v>
      </c>
      <c r="M236" s="513">
        <f>M237+M243+M259+M262+M269</f>
        <v>0</v>
      </c>
      <c r="N236" s="513">
        <f>N237+N243+N259+N262+N269</f>
        <v>950</v>
      </c>
      <c r="O236" s="513">
        <f>O237+O243+O259+O262+O269</f>
        <v>0</v>
      </c>
      <c r="P236" s="513">
        <f>E236+J236</f>
        <v>5775827</v>
      </c>
      <c r="Q236" s="546" t="b">
        <f>P236=P241+P242+P245+P246+P248+P250+P251+P255+P256+P257+P261+P271</f>
        <v>1</v>
      </c>
      <c r="R236" s="44"/>
    </row>
    <row r="237" spans="1:18" ht="96" customHeight="1" thickTop="1" thickBot="1" x14ac:dyDescent="0.25">
      <c r="A237" s="239" t="s">
        <v>727</v>
      </c>
      <c r="B237" s="239" t="s">
        <v>678</v>
      </c>
      <c r="C237" s="239"/>
      <c r="D237" s="239" t="s">
        <v>679</v>
      </c>
      <c r="E237" s="471">
        <f>'d3'!E237-'d3-П'!E236</f>
        <v>918571</v>
      </c>
      <c r="F237" s="471">
        <f>'d3'!F237-'d3-П'!F236</f>
        <v>85772.179999999702</v>
      </c>
      <c r="G237" s="471">
        <f>'d3'!G237-'d3-П'!G236</f>
        <v>0</v>
      </c>
      <c r="H237" s="471">
        <f>'d3'!H237-'d3-П'!H236</f>
        <v>0</v>
      </c>
      <c r="I237" s="471">
        <f>'d3'!I237-'d3-П'!I236</f>
        <v>832798.82000000007</v>
      </c>
      <c r="J237" s="471">
        <f>'d3'!J237-'d3-П'!J236</f>
        <v>0</v>
      </c>
      <c r="K237" s="471">
        <f>'d3'!K237-'d3-П'!K236</f>
        <v>0</v>
      </c>
      <c r="L237" s="471">
        <f>'d3'!L237-'d3-П'!L236</f>
        <v>0</v>
      </c>
      <c r="M237" s="471">
        <f>'d3'!M237-'d3-П'!M236</f>
        <v>0</v>
      </c>
      <c r="N237" s="471">
        <f>'d3'!N237-'d3-П'!N236</f>
        <v>0</v>
      </c>
      <c r="O237" s="471">
        <f>'d3'!O237-'d3-П'!O236</f>
        <v>0</v>
      </c>
      <c r="P237" s="471">
        <f>'d3'!P237-'d3-П'!P236</f>
        <v>918571</v>
      </c>
      <c r="Q237" s="45"/>
      <c r="R237" s="44"/>
    </row>
    <row r="238" spans="1:18" s="31" customFormat="1" ht="48" hidden="1" thickTop="1" thickBot="1" x14ac:dyDescent="0.25">
      <c r="A238" s="131" t="s">
        <v>728</v>
      </c>
      <c r="B238" s="131" t="s">
        <v>729</v>
      </c>
      <c r="C238" s="131"/>
      <c r="D238" s="131" t="s">
        <v>730</v>
      </c>
      <c r="E238" s="471">
        <f>'d3'!E238-'d3-П'!E237</f>
        <v>0</v>
      </c>
      <c r="F238" s="471">
        <f>'d3'!F238-'d3-П'!F237</f>
        <v>0</v>
      </c>
      <c r="G238" s="471">
        <f>'d3'!G238-'d3-П'!G237</f>
        <v>0</v>
      </c>
      <c r="H238" s="471">
        <f>'d3'!H238-'d3-П'!H237</f>
        <v>0</v>
      </c>
      <c r="I238" s="471">
        <f>'d3'!I238-'d3-П'!I237</f>
        <v>0</v>
      </c>
      <c r="J238" s="471">
        <f>'d3'!J238-'d3-П'!J237</f>
        <v>0</v>
      </c>
      <c r="K238" s="471">
        <f>'d3'!K238-'d3-П'!K237</f>
        <v>0</v>
      </c>
      <c r="L238" s="471">
        <f>'d3'!L238-'d3-П'!L237</f>
        <v>0</v>
      </c>
      <c r="M238" s="471">
        <f>'d3'!M238-'d3-П'!M237</f>
        <v>0</v>
      </c>
      <c r="N238" s="471">
        <f>'d3'!N238-'d3-П'!N237</f>
        <v>0</v>
      </c>
      <c r="O238" s="471">
        <f>'d3'!O238-'d3-П'!O237</f>
        <v>0</v>
      </c>
      <c r="P238" s="471">
        <f>'d3'!P238-'d3-П'!P237</f>
        <v>0</v>
      </c>
      <c r="Q238" s="146"/>
      <c r="R238" s="50"/>
    </row>
    <row r="239" spans="1:18" ht="47.25" hidden="1" thickTop="1" thickBot="1" x14ac:dyDescent="0.25">
      <c r="A239" s="119" t="s">
        <v>178</v>
      </c>
      <c r="B239" s="119" t="s">
        <v>179</v>
      </c>
      <c r="C239" s="119" t="s">
        <v>180</v>
      </c>
      <c r="D239" s="119" t="s">
        <v>611</v>
      </c>
      <c r="E239" s="471">
        <f>'d3'!E239-'d3-П'!E238</f>
        <v>0</v>
      </c>
      <c r="F239" s="471">
        <f>'d3'!F239-'d3-П'!F238</f>
        <v>0</v>
      </c>
      <c r="G239" s="471">
        <f>'d3'!G239-'d3-П'!G238</f>
        <v>0</v>
      </c>
      <c r="H239" s="471">
        <f>'d3'!H239-'d3-П'!H238</f>
        <v>0</v>
      </c>
      <c r="I239" s="471">
        <f>'d3'!I239-'d3-П'!I238</f>
        <v>0</v>
      </c>
      <c r="J239" s="471">
        <f>'d3'!J239-'d3-П'!J238</f>
        <v>0</v>
      </c>
      <c r="K239" s="471">
        <f>'d3'!K239-'d3-П'!K238</f>
        <v>0</v>
      </c>
      <c r="L239" s="471">
        <f>'d3'!L239-'d3-П'!L238</f>
        <v>0</v>
      </c>
      <c r="M239" s="471">
        <f>'d3'!M239-'d3-П'!M238</f>
        <v>0</v>
      </c>
      <c r="N239" s="471">
        <f>'d3'!N239-'d3-П'!N238</f>
        <v>0</v>
      </c>
      <c r="O239" s="471">
        <f>'d3'!O239-'d3-П'!O238</f>
        <v>0</v>
      </c>
      <c r="P239" s="471">
        <f>'d3'!P239-'d3-П'!P238</f>
        <v>0</v>
      </c>
      <c r="Q239" s="48"/>
      <c r="R239" s="48"/>
    </row>
    <row r="240" spans="1:18" s="31" customFormat="1" ht="114.75" customHeight="1" thickTop="1" thickBot="1" x14ac:dyDescent="0.25">
      <c r="A240" s="518" t="s">
        <v>731</v>
      </c>
      <c r="B240" s="518" t="s">
        <v>732</v>
      </c>
      <c r="C240" s="518"/>
      <c r="D240" s="518" t="s">
        <v>1299</v>
      </c>
      <c r="E240" s="471">
        <f>'d3'!E240-'d3-П'!E239</f>
        <v>918571</v>
      </c>
      <c r="F240" s="471">
        <f>'d3'!F240-'d3-П'!F239</f>
        <v>85772.179999999702</v>
      </c>
      <c r="G240" s="471">
        <f>'d3'!G240-'d3-П'!G239</f>
        <v>0</v>
      </c>
      <c r="H240" s="471">
        <f>'d3'!H240-'d3-П'!H239</f>
        <v>0</v>
      </c>
      <c r="I240" s="471">
        <f>'d3'!I240-'d3-П'!I239</f>
        <v>832798.82000000007</v>
      </c>
      <c r="J240" s="471">
        <f>'d3'!J240-'d3-П'!J239</f>
        <v>0</v>
      </c>
      <c r="K240" s="471">
        <f>'d3'!K240-'d3-П'!K239</f>
        <v>0</v>
      </c>
      <c r="L240" s="471">
        <f>'d3'!L240-'d3-П'!L239</f>
        <v>0</v>
      </c>
      <c r="M240" s="471">
        <f>'d3'!M240-'d3-П'!M239</f>
        <v>0</v>
      </c>
      <c r="N240" s="471">
        <f>'d3'!N240-'d3-П'!N239</f>
        <v>0</v>
      </c>
      <c r="O240" s="471">
        <f>'d3'!O240-'d3-П'!O239</f>
        <v>0</v>
      </c>
      <c r="P240" s="471">
        <f>'d3'!P240-'d3-П'!P239</f>
        <v>918571</v>
      </c>
      <c r="Q240" s="49"/>
      <c r="R240" s="49"/>
    </row>
    <row r="241" spans="1:18" ht="124.5" customHeight="1" thickTop="1" thickBot="1" x14ac:dyDescent="0.25">
      <c r="A241" s="94" t="s">
        <v>184</v>
      </c>
      <c r="B241" s="94" t="s">
        <v>185</v>
      </c>
      <c r="C241" s="94" t="s">
        <v>180</v>
      </c>
      <c r="D241" s="94" t="s">
        <v>1390</v>
      </c>
      <c r="E241" s="471">
        <f>'d3'!E241-'d3-П'!E240</f>
        <v>50000</v>
      </c>
      <c r="F241" s="471">
        <f>'d3'!F241-'d3-П'!F240</f>
        <v>0</v>
      </c>
      <c r="G241" s="471">
        <f>'d3'!G241-'d3-П'!G240</f>
        <v>0</v>
      </c>
      <c r="H241" s="471">
        <f>'d3'!H241-'d3-П'!H240</f>
        <v>0</v>
      </c>
      <c r="I241" s="471">
        <f>'d3'!I241-'d3-П'!I240</f>
        <v>50000</v>
      </c>
      <c r="J241" s="471">
        <f>'d3'!J241-'d3-П'!J240</f>
        <v>0</v>
      </c>
      <c r="K241" s="471">
        <f>'d3'!K241-'d3-П'!K240</f>
        <v>0</v>
      </c>
      <c r="L241" s="471">
        <f>'d3'!L241-'d3-П'!L240</f>
        <v>0</v>
      </c>
      <c r="M241" s="471">
        <f>'d3'!M241-'d3-П'!M240</f>
        <v>0</v>
      </c>
      <c r="N241" s="471">
        <f>'d3'!N241-'d3-П'!N240</f>
        <v>0</v>
      </c>
      <c r="O241" s="471">
        <f>'d3'!O241-'d3-П'!O240</f>
        <v>0</v>
      </c>
      <c r="P241" s="471">
        <f>'d3'!P241-'d3-П'!P240</f>
        <v>50000</v>
      </c>
      <c r="Q241" s="18"/>
      <c r="R241" s="44"/>
    </row>
    <row r="242" spans="1:18" ht="111.75" customHeight="1" thickTop="1" thickBot="1" x14ac:dyDescent="0.25">
      <c r="A242" s="94" t="s">
        <v>342</v>
      </c>
      <c r="B242" s="94" t="s">
        <v>343</v>
      </c>
      <c r="C242" s="94" t="s">
        <v>180</v>
      </c>
      <c r="D242" s="94" t="s">
        <v>1391</v>
      </c>
      <c r="E242" s="471">
        <f>'d3'!E242-'d3-П'!E241</f>
        <v>868571</v>
      </c>
      <c r="F242" s="471">
        <f>'d3'!F242-'d3-П'!F241</f>
        <v>85772.179999999702</v>
      </c>
      <c r="G242" s="471">
        <f>'d3'!G242-'d3-П'!G241</f>
        <v>0</v>
      </c>
      <c r="H242" s="471">
        <f>'d3'!H242-'d3-П'!H241</f>
        <v>0</v>
      </c>
      <c r="I242" s="471">
        <f>'d3'!I242-'d3-П'!I241</f>
        <v>782798.82000000007</v>
      </c>
      <c r="J242" s="471">
        <f>'d3'!J242-'d3-П'!J241</f>
        <v>0</v>
      </c>
      <c r="K242" s="471">
        <f>'d3'!K242-'d3-П'!K241</f>
        <v>0</v>
      </c>
      <c r="L242" s="471">
        <f>'d3'!L242-'d3-П'!L241</f>
        <v>0</v>
      </c>
      <c r="M242" s="471">
        <f>'d3'!M242-'d3-П'!M241</f>
        <v>0</v>
      </c>
      <c r="N242" s="471">
        <f>'d3'!N242-'d3-П'!N241</f>
        <v>0</v>
      </c>
      <c r="O242" s="471">
        <f>'d3'!O242-'d3-П'!O241</f>
        <v>0</v>
      </c>
      <c r="P242" s="471">
        <f>'d3'!P242-'d3-П'!P241</f>
        <v>868571</v>
      </c>
      <c r="Q242" s="18"/>
      <c r="R242" s="44"/>
    </row>
    <row r="243" spans="1:18" ht="78.75" customHeight="1" thickTop="1" thickBot="1" x14ac:dyDescent="0.25">
      <c r="A243" s="239" t="s">
        <v>733</v>
      </c>
      <c r="B243" s="239" t="s">
        <v>734</v>
      </c>
      <c r="C243" s="94"/>
      <c r="D243" s="239" t="s">
        <v>735</v>
      </c>
      <c r="E243" s="471">
        <f>'d3'!E243-'d3-П'!E242</f>
        <v>4641976</v>
      </c>
      <c r="F243" s="471">
        <f>'d3'!F243-'d3-П'!F242</f>
        <v>1662826</v>
      </c>
      <c r="G243" s="471">
        <f>'d3'!G243-'d3-П'!G242</f>
        <v>0</v>
      </c>
      <c r="H243" s="471">
        <f>'d3'!H243-'d3-П'!H242</f>
        <v>0</v>
      </c>
      <c r="I243" s="471">
        <f>'d3'!I243-'d3-П'!I242</f>
        <v>2979150</v>
      </c>
      <c r="J243" s="471">
        <f>'d3'!J243-'d3-П'!J242</f>
        <v>0</v>
      </c>
      <c r="K243" s="471">
        <f>'d3'!K243-'d3-П'!K242</f>
        <v>0</v>
      </c>
      <c r="L243" s="471">
        <f>'d3'!L243-'d3-П'!L242</f>
        <v>0</v>
      </c>
      <c r="M243" s="471">
        <f>'d3'!M243-'d3-П'!M242</f>
        <v>0</v>
      </c>
      <c r="N243" s="471">
        <f>'d3'!N243-'d3-П'!N242</f>
        <v>950</v>
      </c>
      <c r="O243" s="471">
        <f>'d3'!O243-'d3-П'!O242</f>
        <v>0</v>
      </c>
      <c r="P243" s="471">
        <f>'d3'!P243-'d3-П'!P242</f>
        <v>4641976</v>
      </c>
      <c r="Q243" s="18"/>
      <c r="R243" s="44"/>
    </row>
    <row r="244" spans="1:18" s="31" customFormat="1" ht="86.25" customHeight="1" thickTop="1" thickBot="1" x14ac:dyDescent="0.25">
      <c r="A244" s="518" t="s">
        <v>736</v>
      </c>
      <c r="B244" s="518" t="s">
        <v>737</v>
      </c>
      <c r="C244" s="518"/>
      <c r="D244" s="518" t="s">
        <v>738</v>
      </c>
      <c r="E244" s="471">
        <f>'d3'!E244-'d3-П'!E243</f>
        <v>0</v>
      </c>
      <c r="F244" s="471">
        <f>'d3'!F244-'d3-П'!F243</f>
        <v>0</v>
      </c>
      <c r="G244" s="471">
        <f>'d3'!G244-'d3-П'!G243</f>
        <v>0</v>
      </c>
      <c r="H244" s="471">
        <f>'d3'!H244-'d3-П'!H243</f>
        <v>0</v>
      </c>
      <c r="I244" s="471">
        <f>'d3'!I244-'d3-П'!I243</f>
        <v>0</v>
      </c>
      <c r="J244" s="471">
        <f>'d3'!J244-'d3-П'!J243</f>
        <v>0</v>
      </c>
      <c r="K244" s="471">
        <f>'d3'!K244-'d3-П'!K243</f>
        <v>0</v>
      </c>
      <c r="L244" s="471">
        <f>'d3'!L244-'d3-П'!L243</f>
        <v>0</v>
      </c>
      <c r="M244" s="471">
        <f>'d3'!M244-'d3-П'!M243</f>
        <v>0</v>
      </c>
      <c r="N244" s="471">
        <f>'d3'!N244-'d3-П'!N243</f>
        <v>0</v>
      </c>
      <c r="O244" s="471">
        <f>'d3'!O244-'d3-П'!O243</f>
        <v>0</v>
      </c>
      <c r="P244" s="471">
        <f>'d3'!P244-'d3-П'!P243</f>
        <v>0</v>
      </c>
      <c r="Q244" s="34"/>
      <c r="R244" s="50"/>
    </row>
    <row r="245" spans="1:18" ht="93" thickTop="1" thickBot="1" x14ac:dyDescent="0.25">
      <c r="A245" s="94" t="s">
        <v>43</v>
      </c>
      <c r="B245" s="94" t="s">
        <v>181</v>
      </c>
      <c r="C245" s="94" t="s">
        <v>190</v>
      </c>
      <c r="D245" s="94" t="s">
        <v>44</v>
      </c>
      <c r="E245" s="471">
        <f>'d3'!E245-'d3-П'!E244</f>
        <v>0</v>
      </c>
      <c r="F245" s="471">
        <f>'d3'!F245-'d3-П'!F244</f>
        <v>0</v>
      </c>
      <c r="G245" s="471">
        <f>'d3'!G245-'d3-П'!G244</f>
        <v>0</v>
      </c>
      <c r="H245" s="471">
        <f>'d3'!H245-'d3-П'!H244</f>
        <v>0</v>
      </c>
      <c r="I245" s="471">
        <f>'d3'!I245-'d3-П'!I244</f>
        <v>0</v>
      </c>
      <c r="J245" s="471">
        <f>'d3'!J245-'d3-П'!J244</f>
        <v>0</v>
      </c>
      <c r="K245" s="471">
        <f>'d3'!K245-'d3-П'!K244</f>
        <v>0</v>
      </c>
      <c r="L245" s="471">
        <f>'d3'!L245-'d3-П'!L244</f>
        <v>0</v>
      </c>
      <c r="M245" s="471">
        <f>'d3'!M245-'d3-П'!M244</f>
        <v>0</v>
      </c>
      <c r="N245" s="471">
        <f>'d3'!N245-'d3-П'!N244</f>
        <v>0</v>
      </c>
      <c r="O245" s="471">
        <f>'d3'!O245-'d3-П'!O244</f>
        <v>0</v>
      </c>
      <c r="P245" s="471">
        <f>'d3'!P245-'d3-П'!P244</f>
        <v>0</v>
      </c>
      <c r="Q245" s="18"/>
      <c r="R245" s="44"/>
    </row>
    <row r="246" spans="1:18" ht="111.75" customHeight="1" thickTop="1" thickBot="1" x14ac:dyDescent="0.25">
      <c r="A246" s="94" t="s">
        <v>45</v>
      </c>
      <c r="B246" s="94" t="s">
        <v>182</v>
      </c>
      <c r="C246" s="94" t="s">
        <v>190</v>
      </c>
      <c r="D246" s="94" t="s">
        <v>4</v>
      </c>
      <c r="E246" s="471">
        <f>'d3'!E246-'d3-П'!E245</f>
        <v>0</v>
      </c>
      <c r="F246" s="471">
        <f>'d3'!F246-'d3-П'!F245</f>
        <v>0</v>
      </c>
      <c r="G246" s="471">
        <f>'d3'!G246-'d3-П'!G245</f>
        <v>0</v>
      </c>
      <c r="H246" s="471">
        <f>'d3'!H246-'d3-П'!H245</f>
        <v>0</v>
      </c>
      <c r="I246" s="471">
        <f>'d3'!I246-'d3-П'!I245</f>
        <v>0</v>
      </c>
      <c r="J246" s="471">
        <f>'d3'!J246-'d3-П'!J245</f>
        <v>0</v>
      </c>
      <c r="K246" s="471">
        <f>'d3'!K246-'d3-П'!K245</f>
        <v>0</v>
      </c>
      <c r="L246" s="471">
        <f>'d3'!L246-'d3-П'!L245</f>
        <v>0</v>
      </c>
      <c r="M246" s="471">
        <f>'d3'!M246-'d3-П'!M245</f>
        <v>0</v>
      </c>
      <c r="N246" s="471">
        <f>'d3'!N246-'d3-П'!N245</f>
        <v>0</v>
      </c>
      <c r="O246" s="471">
        <f>'d3'!O246-'d3-П'!O245</f>
        <v>0</v>
      </c>
      <c r="P246" s="471">
        <f>'d3'!P246-'d3-П'!P245</f>
        <v>0</v>
      </c>
      <c r="Q246" s="18"/>
      <c r="R246" s="44"/>
    </row>
    <row r="247" spans="1:18" s="31" customFormat="1" ht="121.7" customHeight="1" thickTop="1" thickBot="1" x14ac:dyDescent="0.25">
      <c r="A247" s="518" t="s">
        <v>739</v>
      </c>
      <c r="B247" s="518" t="s">
        <v>740</v>
      </c>
      <c r="C247" s="518"/>
      <c r="D247" s="518" t="s">
        <v>741</v>
      </c>
      <c r="E247" s="471">
        <f>'d3'!E247-'d3-П'!E246</f>
        <v>219000</v>
      </c>
      <c r="F247" s="471">
        <f>'d3'!F247-'d3-П'!F246</f>
        <v>219000</v>
      </c>
      <c r="G247" s="471">
        <f>'d3'!G247-'d3-П'!G246</f>
        <v>0</v>
      </c>
      <c r="H247" s="471">
        <f>'d3'!H247-'d3-П'!H246</f>
        <v>0</v>
      </c>
      <c r="I247" s="471">
        <f>'d3'!I247-'d3-П'!I246</f>
        <v>0</v>
      </c>
      <c r="J247" s="471">
        <f>'d3'!J247-'d3-П'!J246</f>
        <v>0</v>
      </c>
      <c r="K247" s="471">
        <f>'d3'!K247-'d3-П'!K246</f>
        <v>0</v>
      </c>
      <c r="L247" s="471">
        <f>'d3'!L247-'d3-П'!L246</f>
        <v>0</v>
      </c>
      <c r="M247" s="471">
        <f>'d3'!M247-'d3-П'!M246</f>
        <v>0</v>
      </c>
      <c r="N247" s="471">
        <f>'d3'!N247-'d3-П'!N246</f>
        <v>0</v>
      </c>
      <c r="O247" s="471">
        <f>'d3'!O247-'d3-П'!O246</f>
        <v>0</v>
      </c>
      <c r="P247" s="471">
        <f>'d3'!P247-'d3-П'!P246</f>
        <v>219000</v>
      </c>
      <c r="Q247" s="34"/>
      <c r="R247" s="51"/>
    </row>
    <row r="248" spans="1:18" ht="114.75" customHeight="1" thickTop="1" thickBot="1" x14ac:dyDescent="0.25">
      <c r="A248" s="94" t="s">
        <v>46</v>
      </c>
      <c r="B248" s="94" t="s">
        <v>183</v>
      </c>
      <c r="C248" s="94" t="s">
        <v>190</v>
      </c>
      <c r="D248" s="94" t="s">
        <v>340</v>
      </c>
      <c r="E248" s="471">
        <f>'d3'!E248-'d3-П'!E247</f>
        <v>219000</v>
      </c>
      <c r="F248" s="471">
        <f>'d3'!F248-'d3-П'!F247</f>
        <v>219000</v>
      </c>
      <c r="G248" s="471">
        <f>'d3'!G248-'d3-П'!G247</f>
        <v>0</v>
      </c>
      <c r="H248" s="471">
        <f>'d3'!H248-'d3-П'!H247</f>
        <v>0</v>
      </c>
      <c r="I248" s="471">
        <f>'d3'!I248-'d3-П'!I247</f>
        <v>0</v>
      </c>
      <c r="J248" s="471">
        <f>'d3'!J248-'d3-П'!J247</f>
        <v>0</v>
      </c>
      <c r="K248" s="471">
        <f>'d3'!K248-'d3-П'!K247</f>
        <v>0</v>
      </c>
      <c r="L248" s="471">
        <f>'d3'!L248-'d3-П'!L247</f>
        <v>0</v>
      </c>
      <c r="M248" s="471">
        <f>'d3'!M248-'d3-П'!M247</f>
        <v>0</v>
      </c>
      <c r="N248" s="471">
        <f>'d3'!N248-'d3-П'!N247</f>
        <v>0</v>
      </c>
      <c r="O248" s="471">
        <f>'d3'!O248-'d3-П'!O247</f>
        <v>0</v>
      </c>
      <c r="P248" s="471">
        <f>'d3'!P248-'d3-П'!P247</f>
        <v>219000</v>
      </c>
      <c r="Q248" s="18"/>
      <c r="R248" s="44"/>
    </row>
    <row r="249" spans="1:18" ht="118.5" customHeight="1" thickTop="1" thickBot="1" x14ac:dyDescent="0.25">
      <c r="A249" s="518" t="s">
        <v>742</v>
      </c>
      <c r="B249" s="518" t="s">
        <v>743</v>
      </c>
      <c r="C249" s="518"/>
      <c r="D249" s="518" t="s">
        <v>744</v>
      </c>
      <c r="E249" s="471">
        <f>'d3'!E249-'d3-П'!E248</f>
        <v>4101222</v>
      </c>
      <c r="F249" s="471">
        <f>'d3'!F249-'d3-П'!F248</f>
        <v>1122072</v>
      </c>
      <c r="G249" s="471">
        <f>'d3'!G249-'d3-П'!G248</f>
        <v>0</v>
      </c>
      <c r="H249" s="471">
        <f>'d3'!H249-'d3-П'!H248</f>
        <v>0</v>
      </c>
      <c r="I249" s="471">
        <f>'d3'!I249-'d3-П'!I248</f>
        <v>2979150</v>
      </c>
      <c r="J249" s="471">
        <f>'d3'!J249-'d3-П'!J248</f>
        <v>0</v>
      </c>
      <c r="K249" s="471">
        <f>'d3'!K249-'d3-П'!K248</f>
        <v>0</v>
      </c>
      <c r="L249" s="471">
        <f>'d3'!L249-'d3-П'!L248</f>
        <v>0</v>
      </c>
      <c r="M249" s="471">
        <f>'d3'!M249-'d3-П'!M248</f>
        <v>0</v>
      </c>
      <c r="N249" s="471">
        <f>'d3'!N249-'d3-П'!N248</f>
        <v>0</v>
      </c>
      <c r="O249" s="471">
        <f>'d3'!O249-'d3-П'!O248</f>
        <v>0</v>
      </c>
      <c r="P249" s="471">
        <f>'d3'!P249-'d3-П'!P248</f>
        <v>4101222</v>
      </c>
      <c r="Q249" s="18"/>
      <c r="R249" s="44"/>
    </row>
    <row r="250" spans="1:18" ht="133.5" customHeight="1" thickTop="1" thickBot="1" x14ac:dyDescent="0.25">
      <c r="A250" s="94" t="s">
        <v>28</v>
      </c>
      <c r="B250" s="94" t="s">
        <v>187</v>
      </c>
      <c r="C250" s="94" t="s">
        <v>190</v>
      </c>
      <c r="D250" s="94" t="s">
        <v>1393</v>
      </c>
      <c r="E250" s="471">
        <f>'d3'!E250-'d3-П'!E249</f>
        <v>4101222</v>
      </c>
      <c r="F250" s="471">
        <f>'d3'!F250-'d3-П'!F249</f>
        <v>1122072</v>
      </c>
      <c r="G250" s="471">
        <f>'d3'!G250-'d3-П'!G249</f>
        <v>0</v>
      </c>
      <c r="H250" s="471">
        <f>'d3'!H250-'d3-П'!H249</f>
        <v>0</v>
      </c>
      <c r="I250" s="471">
        <f>'d3'!I250-'d3-П'!I249</f>
        <v>2979150</v>
      </c>
      <c r="J250" s="471">
        <f>'d3'!J250-'d3-П'!J249</f>
        <v>0</v>
      </c>
      <c r="K250" s="471">
        <f>'d3'!K250-'d3-П'!K249</f>
        <v>0</v>
      </c>
      <c r="L250" s="471">
        <f>'d3'!L250-'d3-П'!L249</f>
        <v>0</v>
      </c>
      <c r="M250" s="471">
        <f>'d3'!M250-'d3-П'!M249</f>
        <v>0</v>
      </c>
      <c r="N250" s="471">
        <f>'d3'!N250-'d3-П'!N249</f>
        <v>0</v>
      </c>
      <c r="O250" s="471">
        <f>'d3'!O250-'d3-П'!O249</f>
        <v>0</v>
      </c>
      <c r="P250" s="471">
        <f>'d3'!P250-'d3-П'!P249</f>
        <v>4101222</v>
      </c>
      <c r="Q250" s="18"/>
      <c r="R250" s="44"/>
    </row>
    <row r="251" spans="1:18" ht="138" customHeight="1" thickTop="1" thickBot="1" x14ac:dyDescent="0.25">
      <c r="A251" s="94" t="s">
        <v>29</v>
      </c>
      <c r="B251" s="94" t="s">
        <v>188</v>
      </c>
      <c r="C251" s="94" t="s">
        <v>190</v>
      </c>
      <c r="D251" s="94" t="s">
        <v>47</v>
      </c>
      <c r="E251" s="471">
        <f>'d3'!E251-'d3-П'!E250</f>
        <v>0</v>
      </c>
      <c r="F251" s="471">
        <f>'d3'!F251-'d3-П'!F250</f>
        <v>0</v>
      </c>
      <c r="G251" s="471">
        <f>'d3'!G251-'d3-П'!G250</f>
        <v>0</v>
      </c>
      <c r="H251" s="471">
        <f>'d3'!H251-'d3-П'!H250</f>
        <v>0</v>
      </c>
      <c r="I251" s="471">
        <f>'d3'!I251-'d3-П'!I250</f>
        <v>0</v>
      </c>
      <c r="J251" s="471">
        <f>'d3'!J251-'d3-П'!J250</f>
        <v>0</v>
      </c>
      <c r="K251" s="471">
        <f>'d3'!K251-'d3-П'!K250</f>
        <v>0</v>
      </c>
      <c r="L251" s="471">
        <f>'d3'!L251-'d3-П'!L250</f>
        <v>0</v>
      </c>
      <c r="M251" s="471">
        <f>'d3'!M251-'d3-П'!M250</f>
        <v>0</v>
      </c>
      <c r="N251" s="471">
        <f>'d3'!N251-'d3-П'!N250</f>
        <v>0</v>
      </c>
      <c r="O251" s="471">
        <f>'d3'!O251-'d3-П'!O250</f>
        <v>0</v>
      </c>
      <c r="P251" s="471">
        <f>'d3'!P251-'d3-П'!P250</f>
        <v>0</v>
      </c>
      <c r="Q251" s="18"/>
      <c r="R251" s="44"/>
    </row>
    <row r="252" spans="1:18" ht="72.75" hidden="1" customHeight="1" thickTop="1" thickBot="1" x14ac:dyDescent="0.25">
      <c r="A252" s="281" t="s">
        <v>1192</v>
      </c>
      <c r="B252" s="131" t="s">
        <v>778</v>
      </c>
      <c r="C252" s="131"/>
      <c r="D252" s="131" t="s">
        <v>779</v>
      </c>
      <c r="E252" s="147"/>
      <c r="F252" s="147"/>
      <c r="G252" s="147"/>
      <c r="H252" s="147"/>
      <c r="I252" s="147"/>
      <c r="J252" s="147"/>
      <c r="K252" s="147"/>
      <c r="L252" s="147"/>
      <c r="M252" s="147"/>
      <c r="N252" s="147"/>
      <c r="O252" s="147"/>
      <c r="P252" s="147"/>
      <c r="Q252" s="18"/>
      <c r="R252" s="44"/>
    </row>
    <row r="253" spans="1:18" ht="130.69999999999999" hidden="1" customHeight="1" thickTop="1" thickBot="1" x14ac:dyDescent="0.25">
      <c r="A253" s="119" t="s">
        <v>1193</v>
      </c>
      <c r="B253" s="119" t="s">
        <v>1194</v>
      </c>
      <c r="C253" s="119" t="s">
        <v>190</v>
      </c>
      <c r="D253" s="119" t="s">
        <v>1195</v>
      </c>
      <c r="E253" s="142"/>
      <c r="F253" s="120"/>
      <c r="G253" s="120"/>
      <c r="H253" s="120"/>
      <c r="I253" s="120"/>
      <c r="J253" s="118"/>
      <c r="K253" s="120"/>
      <c r="L253" s="120"/>
      <c r="M253" s="120"/>
      <c r="N253" s="120"/>
      <c r="O253" s="123"/>
      <c r="P253" s="118"/>
      <c r="Q253" s="18"/>
      <c r="R253" s="44"/>
    </row>
    <row r="254" spans="1:18" ht="82.5" customHeight="1" thickTop="1" thickBot="1" x14ac:dyDescent="0.25">
      <c r="A254" s="611" t="s">
        <v>745</v>
      </c>
      <c r="B254" s="518" t="s">
        <v>746</v>
      </c>
      <c r="C254" s="518"/>
      <c r="D254" s="518" t="s">
        <v>747</v>
      </c>
      <c r="E254" s="471">
        <f>'d3'!E254-'d3-П'!E253</f>
        <v>321754</v>
      </c>
      <c r="F254" s="471">
        <f>'d3'!F254-'d3-П'!F253</f>
        <v>321754</v>
      </c>
      <c r="G254" s="471">
        <f>'d3'!G254-'d3-П'!G253</f>
        <v>0</v>
      </c>
      <c r="H254" s="471">
        <f>'d3'!H254-'d3-П'!H253</f>
        <v>0</v>
      </c>
      <c r="I254" s="471">
        <f>'d3'!I254-'d3-П'!I253</f>
        <v>0</v>
      </c>
      <c r="J254" s="471">
        <f>'d3'!J254-'d3-П'!J253</f>
        <v>0</v>
      </c>
      <c r="K254" s="471">
        <f>'d3'!K254-'d3-П'!K253</f>
        <v>0</v>
      </c>
      <c r="L254" s="471">
        <f>'d3'!L254-'d3-П'!L253</f>
        <v>0</v>
      </c>
      <c r="M254" s="471">
        <f>'d3'!M254-'d3-П'!M253</f>
        <v>0</v>
      </c>
      <c r="N254" s="471">
        <f>'d3'!N254-'d3-П'!N253</f>
        <v>950</v>
      </c>
      <c r="O254" s="471">
        <f>'d3'!O254-'d3-П'!O253</f>
        <v>0</v>
      </c>
      <c r="P254" s="471">
        <f>'d3'!P254-'d3-П'!P253</f>
        <v>321754</v>
      </c>
      <c r="Q254" s="18"/>
      <c r="R254" s="44"/>
    </row>
    <row r="255" spans="1:18" ht="168" customHeight="1" thickTop="1" thickBot="1" x14ac:dyDescent="0.25">
      <c r="A255" s="610" t="s">
        <v>30</v>
      </c>
      <c r="B255" s="610" t="s">
        <v>189</v>
      </c>
      <c r="C255" s="610" t="s">
        <v>190</v>
      </c>
      <c r="D255" s="94" t="s">
        <v>1710</v>
      </c>
      <c r="E255" s="471">
        <f>'d3'!E255-'d3-П'!E254</f>
        <v>300000</v>
      </c>
      <c r="F255" s="471">
        <f>'d3'!F255-'d3-П'!F254</f>
        <v>300000</v>
      </c>
      <c r="G255" s="471">
        <f>'d3'!G255-'d3-П'!G254</f>
        <v>0</v>
      </c>
      <c r="H255" s="471">
        <f>'d3'!H255-'d3-П'!H254</f>
        <v>0</v>
      </c>
      <c r="I255" s="471">
        <f>'d3'!I255-'d3-П'!I254</f>
        <v>0</v>
      </c>
      <c r="J255" s="471">
        <f>'d3'!J255-'d3-П'!J254</f>
        <v>0</v>
      </c>
      <c r="K255" s="471">
        <f>'d3'!K255-'d3-П'!K254</f>
        <v>0</v>
      </c>
      <c r="L255" s="471">
        <f>'d3'!L255-'d3-П'!L254</f>
        <v>0</v>
      </c>
      <c r="M255" s="471">
        <f>'d3'!M255-'d3-П'!M254</f>
        <v>0</v>
      </c>
      <c r="N255" s="471">
        <f>'d3'!N255-'d3-П'!N254</f>
        <v>0</v>
      </c>
      <c r="O255" s="471">
        <f>'d3'!O255-'d3-П'!O254</f>
        <v>0</v>
      </c>
      <c r="P255" s="471">
        <f>'d3'!P255-'d3-П'!P254</f>
        <v>300000</v>
      </c>
      <c r="Q255" s="18"/>
      <c r="R255" s="44"/>
    </row>
    <row r="256" spans="1:18" ht="111.75" customHeight="1" thickTop="1" thickBot="1" x14ac:dyDescent="0.25">
      <c r="A256" s="610" t="s">
        <v>495</v>
      </c>
      <c r="B256" s="610" t="s">
        <v>493</v>
      </c>
      <c r="C256" s="610" t="s">
        <v>190</v>
      </c>
      <c r="D256" s="94" t="s">
        <v>494</v>
      </c>
      <c r="E256" s="471">
        <f>'d3'!E256-'d3-П'!E255</f>
        <v>0</v>
      </c>
      <c r="F256" s="471">
        <f>'d3'!F256-'d3-П'!F255</f>
        <v>0</v>
      </c>
      <c r="G256" s="471">
        <f>'d3'!G256-'d3-П'!G255</f>
        <v>0</v>
      </c>
      <c r="H256" s="471">
        <f>'d3'!H256-'d3-П'!H255</f>
        <v>0</v>
      </c>
      <c r="I256" s="471">
        <f>'d3'!I256-'d3-П'!I255</f>
        <v>0</v>
      </c>
      <c r="J256" s="471">
        <f>'d3'!J256-'d3-П'!J255</f>
        <v>0</v>
      </c>
      <c r="K256" s="471">
        <f>'d3'!K256-'d3-П'!K255</f>
        <v>0</v>
      </c>
      <c r="L256" s="471">
        <f>'d3'!L256-'d3-П'!L255</f>
        <v>0</v>
      </c>
      <c r="M256" s="471">
        <f>'d3'!M256-'d3-П'!M255</f>
        <v>0</v>
      </c>
      <c r="N256" s="471">
        <f>'d3'!N256-'d3-П'!N255</f>
        <v>0</v>
      </c>
      <c r="O256" s="471">
        <f>'d3'!O256-'d3-П'!O255</f>
        <v>0</v>
      </c>
      <c r="P256" s="471">
        <f>'d3'!P256-'d3-П'!P255</f>
        <v>0</v>
      </c>
      <c r="Q256" s="18"/>
      <c r="R256" s="44"/>
    </row>
    <row r="257" spans="1:18" ht="100.5" customHeight="1" thickTop="1" thickBot="1" x14ac:dyDescent="0.25">
      <c r="A257" s="610" t="s">
        <v>31</v>
      </c>
      <c r="B257" s="610" t="s">
        <v>191</v>
      </c>
      <c r="C257" s="610" t="s">
        <v>190</v>
      </c>
      <c r="D257" s="94" t="s">
        <v>32</v>
      </c>
      <c r="E257" s="471">
        <f>'d3'!E257-'d3-П'!E256</f>
        <v>21754</v>
      </c>
      <c r="F257" s="471">
        <f>'d3'!F257-'d3-П'!F256</f>
        <v>21754</v>
      </c>
      <c r="G257" s="471">
        <f>'d3'!G257-'d3-П'!G256</f>
        <v>0</v>
      </c>
      <c r="H257" s="471">
        <f>'d3'!H257-'d3-П'!H256</f>
        <v>0</v>
      </c>
      <c r="I257" s="471">
        <f>'d3'!I257-'d3-П'!I256</f>
        <v>0</v>
      </c>
      <c r="J257" s="471">
        <f>'d3'!J257-'d3-П'!J256</f>
        <v>0</v>
      </c>
      <c r="K257" s="471">
        <f>'d3'!K257-'d3-П'!K256</f>
        <v>0</v>
      </c>
      <c r="L257" s="471">
        <f>'d3'!L257-'d3-П'!L256</f>
        <v>0</v>
      </c>
      <c r="M257" s="471">
        <f>'d3'!M257-'d3-П'!M256</f>
        <v>0</v>
      </c>
      <c r="N257" s="471">
        <f>'d3'!N257-'d3-П'!N256</f>
        <v>950</v>
      </c>
      <c r="O257" s="471">
        <f>'d3'!O257-'d3-П'!O256</f>
        <v>0</v>
      </c>
      <c r="P257" s="471">
        <f>'d3'!P257-'d3-П'!P256</f>
        <v>21754</v>
      </c>
      <c r="Q257" s="18"/>
      <c r="R257" s="44"/>
    </row>
    <row r="258" spans="1:18" ht="54" hidden="1" thickTop="1" thickBot="1" x14ac:dyDescent="0.25">
      <c r="A258" s="282" t="s">
        <v>1454</v>
      </c>
      <c r="B258" s="282" t="s">
        <v>1455</v>
      </c>
      <c r="C258" s="282" t="s">
        <v>190</v>
      </c>
      <c r="D258" s="119" t="s">
        <v>1115</v>
      </c>
      <c r="E258" s="471">
        <f>'d3'!E258-'d3-П'!E257</f>
        <v>0</v>
      </c>
      <c r="F258" s="471">
        <f>'d3'!F258-'d3-П'!F257</f>
        <v>0</v>
      </c>
      <c r="G258" s="471">
        <f>'d3'!G258-'d3-П'!G257</f>
        <v>0</v>
      </c>
      <c r="H258" s="471">
        <f>'d3'!H258-'d3-П'!H257</f>
        <v>0</v>
      </c>
      <c r="I258" s="471">
        <f>'d3'!I258-'d3-П'!I257</f>
        <v>0</v>
      </c>
      <c r="J258" s="471">
        <f>'d3'!J258-'d3-П'!J257</f>
        <v>0</v>
      </c>
      <c r="K258" s="471">
        <f>'d3'!K258-'d3-П'!K257</f>
        <v>0</v>
      </c>
      <c r="L258" s="471">
        <f>'d3'!L258-'d3-П'!L257</f>
        <v>0</v>
      </c>
      <c r="M258" s="471">
        <f>'d3'!M258-'d3-П'!M257</f>
        <v>0</v>
      </c>
      <c r="N258" s="471">
        <f>'d3'!N258-'d3-П'!N257</f>
        <v>0</v>
      </c>
      <c r="O258" s="471">
        <f>'d3'!O258-'d3-П'!O257</f>
        <v>0</v>
      </c>
      <c r="P258" s="471">
        <f>'d3'!P258-'d3-П'!P257</f>
        <v>0</v>
      </c>
      <c r="Q258" s="18"/>
      <c r="R258" s="44"/>
    </row>
    <row r="259" spans="1:18" ht="105.75" customHeight="1" thickTop="1" thickBot="1" x14ac:dyDescent="0.25">
      <c r="A259" s="239" t="s">
        <v>748</v>
      </c>
      <c r="B259" s="239" t="s">
        <v>707</v>
      </c>
      <c r="C259" s="239"/>
      <c r="D259" s="542" t="s">
        <v>708</v>
      </c>
      <c r="E259" s="471">
        <f>'d3'!E259-'d3-П'!E258</f>
        <v>0</v>
      </c>
      <c r="F259" s="471">
        <f>'d3'!F259-'d3-П'!F258</f>
        <v>0</v>
      </c>
      <c r="G259" s="471">
        <f>'d3'!G259-'d3-П'!G258</f>
        <v>0</v>
      </c>
      <c r="H259" s="471">
        <f>'d3'!H259-'d3-П'!H258</f>
        <v>0</v>
      </c>
      <c r="I259" s="471">
        <f>'d3'!I259-'d3-П'!I258</f>
        <v>0</v>
      </c>
      <c r="J259" s="471">
        <f>'d3'!J259-'d3-П'!J258</f>
        <v>0</v>
      </c>
      <c r="K259" s="471">
        <f>'d3'!K259-'d3-П'!K258</f>
        <v>0</v>
      </c>
      <c r="L259" s="471">
        <f>'d3'!L259-'d3-П'!L258</f>
        <v>0</v>
      </c>
      <c r="M259" s="471">
        <f>'d3'!M259-'d3-П'!M258</f>
        <v>0</v>
      </c>
      <c r="N259" s="471">
        <f>'d3'!N259-'d3-П'!N258</f>
        <v>0</v>
      </c>
      <c r="O259" s="471">
        <f>'d3'!O259-'d3-П'!O258</f>
        <v>0</v>
      </c>
      <c r="P259" s="471">
        <f>'d3'!P259-'d3-П'!P258</f>
        <v>0</v>
      </c>
      <c r="Q259" s="18"/>
      <c r="R259" s="44"/>
    </row>
    <row r="260" spans="1:18" ht="129.75" customHeight="1" thickTop="1" thickBot="1" x14ac:dyDescent="0.25">
      <c r="A260" s="611" t="s">
        <v>749</v>
      </c>
      <c r="B260" s="611" t="s">
        <v>710</v>
      </c>
      <c r="C260" s="611"/>
      <c r="D260" s="518" t="s">
        <v>711</v>
      </c>
      <c r="E260" s="471">
        <f>'d3'!E260-'d3-П'!E259</f>
        <v>0</v>
      </c>
      <c r="F260" s="471">
        <f>'d3'!F260-'d3-П'!F259</f>
        <v>0</v>
      </c>
      <c r="G260" s="471">
        <f>'d3'!G260-'d3-П'!G259</f>
        <v>0</v>
      </c>
      <c r="H260" s="471">
        <f>'d3'!H260-'d3-П'!H259</f>
        <v>0</v>
      </c>
      <c r="I260" s="471">
        <f>'d3'!I260-'d3-П'!I259</f>
        <v>0</v>
      </c>
      <c r="J260" s="471">
        <f>'d3'!J260-'d3-П'!J259</f>
        <v>0</v>
      </c>
      <c r="K260" s="471">
        <f>'d3'!K260-'d3-П'!K259</f>
        <v>0</v>
      </c>
      <c r="L260" s="471">
        <f>'d3'!L260-'d3-П'!L259</f>
        <v>0</v>
      </c>
      <c r="M260" s="471">
        <f>'d3'!M260-'d3-П'!M259</f>
        <v>0</v>
      </c>
      <c r="N260" s="471">
        <f>'d3'!N260-'d3-П'!N259</f>
        <v>0</v>
      </c>
      <c r="O260" s="471">
        <f>'d3'!O260-'d3-П'!O259</f>
        <v>0</v>
      </c>
      <c r="P260" s="471">
        <f>'d3'!P260-'d3-П'!P259</f>
        <v>0</v>
      </c>
      <c r="Q260" s="18"/>
      <c r="R260" s="44"/>
    </row>
    <row r="261" spans="1:18" ht="138.75" thickTop="1" thickBot="1" x14ac:dyDescent="0.25">
      <c r="A261" s="610" t="s">
        <v>333</v>
      </c>
      <c r="B261" s="610" t="s">
        <v>332</v>
      </c>
      <c r="C261" s="610" t="s">
        <v>331</v>
      </c>
      <c r="D261" s="94" t="s">
        <v>1586</v>
      </c>
      <c r="E261" s="471">
        <f>'d3'!E261-'d3-П'!E260</f>
        <v>0</v>
      </c>
      <c r="F261" s="471">
        <f>'d3'!F261-'d3-П'!F260</f>
        <v>0</v>
      </c>
      <c r="G261" s="471">
        <f>'d3'!G261-'d3-П'!G260</f>
        <v>0</v>
      </c>
      <c r="H261" s="471">
        <f>'d3'!H261-'d3-П'!H260</f>
        <v>0</v>
      </c>
      <c r="I261" s="471">
        <f>'d3'!I261-'d3-П'!I260</f>
        <v>0</v>
      </c>
      <c r="J261" s="471">
        <f>'d3'!J261-'d3-П'!J260</f>
        <v>0</v>
      </c>
      <c r="K261" s="471">
        <f>'d3'!K261-'d3-П'!K260</f>
        <v>0</v>
      </c>
      <c r="L261" s="471">
        <f>'d3'!L261-'d3-П'!L260</f>
        <v>0</v>
      </c>
      <c r="M261" s="471">
        <f>'d3'!M261-'d3-П'!M260</f>
        <v>0</v>
      </c>
      <c r="N261" s="471">
        <f>'d3'!N261-'d3-П'!N260</f>
        <v>0</v>
      </c>
      <c r="O261" s="471">
        <f>'d3'!O261-'d3-П'!O260</f>
        <v>0</v>
      </c>
      <c r="P261" s="471">
        <f>'d3'!P261-'d3-П'!P260</f>
        <v>0</v>
      </c>
      <c r="Q261" s="18"/>
      <c r="R261" s="48"/>
    </row>
    <row r="262" spans="1:18" ht="47.25" hidden="1" thickTop="1" thickBot="1" x14ac:dyDescent="0.25">
      <c r="A262" s="116" t="s">
        <v>750</v>
      </c>
      <c r="B262" s="116" t="s">
        <v>713</v>
      </c>
      <c r="C262" s="116"/>
      <c r="D262" s="116" t="s">
        <v>714</v>
      </c>
      <c r="E262" s="471">
        <f>'d3'!E262-'d3-П'!E261</f>
        <v>0</v>
      </c>
      <c r="F262" s="471">
        <f>'d3'!F262-'d3-П'!F261</f>
        <v>0</v>
      </c>
      <c r="G262" s="471">
        <f>'d3'!G262-'d3-П'!G261</f>
        <v>0</v>
      </c>
      <c r="H262" s="471">
        <f>'d3'!H262-'d3-П'!H261</f>
        <v>0</v>
      </c>
      <c r="I262" s="471">
        <f>'d3'!I262-'d3-П'!I261</f>
        <v>0</v>
      </c>
      <c r="J262" s="471">
        <f>'d3'!J262-'d3-П'!J261</f>
        <v>0</v>
      </c>
      <c r="K262" s="471">
        <f>'d3'!K262-'d3-П'!K261</f>
        <v>0</v>
      </c>
      <c r="L262" s="471">
        <f>'d3'!L262-'d3-П'!L261</f>
        <v>0</v>
      </c>
      <c r="M262" s="471">
        <f>'d3'!M262-'d3-П'!M261</f>
        <v>0</v>
      </c>
      <c r="N262" s="471">
        <f>'d3'!N262-'d3-П'!N261</f>
        <v>0</v>
      </c>
      <c r="O262" s="471">
        <f>'d3'!O262-'d3-П'!O261</f>
        <v>0</v>
      </c>
      <c r="P262" s="471">
        <f>'d3'!P262-'d3-П'!P261</f>
        <v>0</v>
      </c>
      <c r="Q262" s="18"/>
      <c r="R262" s="48"/>
    </row>
    <row r="263" spans="1:18" ht="47.25" hidden="1" thickTop="1" thickBot="1" x14ac:dyDescent="0.25">
      <c r="A263" s="127" t="s">
        <v>1014</v>
      </c>
      <c r="B263" s="127" t="s">
        <v>765</v>
      </c>
      <c r="C263" s="127"/>
      <c r="D263" s="127" t="s">
        <v>766</v>
      </c>
      <c r="E263" s="471">
        <f>'d3'!E263-'d3-П'!E262</f>
        <v>0</v>
      </c>
      <c r="F263" s="471">
        <f>'d3'!F263-'d3-П'!F262</f>
        <v>0</v>
      </c>
      <c r="G263" s="471">
        <f>'d3'!G263-'d3-П'!G262</f>
        <v>0</v>
      </c>
      <c r="H263" s="471">
        <f>'d3'!H263-'d3-П'!H262</f>
        <v>0</v>
      </c>
      <c r="I263" s="471">
        <f>'d3'!I263-'d3-П'!I262</f>
        <v>0</v>
      </c>
      <c r="J263" s="471">
        <f>'d3'!J263-'d3-П'!J262</f>
        <v>0</v>
      </c>
      <c r="K263" s="471">
        <f>'d3'!K263-'d3-П'!K262</f>
        <v>0</v>
      </c>
      <c r="L263" s="471">
        <f>'d3'!L263-'d3-П'!L262</f>
        <v>0</v>
      </c>
      <c r="M263" s="471">
        <f>'d3'!M263-'d3-П'!M262</f>
        <v>0</v>
      </c>
      <c r="N263" s="471">
        <f>'d3'!N263-'d3-П'!N262</f>
        <v>0</v>
      </c>
      <c r="O263" s="471">
        <f>'d3'!O263-'d3-П'!O262</f>
        <v>0</v>
      </c>
      <c r="P263" s="471">
        <f>'d3'!P263-'d3-П'!P262</f>
        <v>0</v>
      </c>
      <c r="Q263" s="18"/>
      <c r="R263" s="48"/>
    </row>
    <row r="264" spans="1:18" ht="54" hidden="1" thickTop="1" thickBot="1" x14ac:dyDescent="0.25">
      <c r="A264" s="131" t="s">
        <v>1015</v>
      </c>
      <c r="B264" s="131" t="s">
        <v>782</v>
      </c>
      <c r="C264" s="131"/>
      <c r="D264" s="131" t="s">
        <v>1276</v>
      </c>
      <c r="E264" s="471">
        <f>'d3'!E264-'d3-П'!E263</f>
        <v>0</v>
      </c>
      <c r="F264" s="471">
        <f>'d3'!F264-'d3-П'!F263</f>
        <v>0</v>
      </c>
      <c r="G264" s="471">
        <f>'d3'!G264-'d3-П'!G263</f>
        <v>0</v>
      </c>
      <c r="H264" s="471">
        <f>'d3'!H264-'d3-П'!H263</f>
        <v>0</v>
      </c>
      <c r="I264" s="471">
        <f>'d3'!I264-'d3-П'!I263</f>
        <v>0</v>
      </c>
      <c r="J264" s="471">
        <f>'d3'!J264-'d3-П'!J263</f>
        <v>0</v>
      </c>
      <c r="K264" s="471">
        <f>'d3'!K264-'d3-П'!K263</f>
        <v>0</v>
      </c>
      <c r="L264" s="471">
        <f>'d3'!L264-'d3-П'!L263</f>
        <v>0</v>
      </c>
      <c r="M264" s="471">
        <f>'d3'!M264-'d3-П'!M263</f>
        <v>0</v>
      </c>
      <c r="N264" s="471">
        <f>'d3'!N264-'d3-П'!N263</f>
        <v>0</v>
      </c>
      <c r="O264" s="471">
        <f>'d3'!O264-'d3-П'!O263</f>
        <v>0</v>
      </c>
      <c r="P264" s="471">
        <f>'d3'!P264-'d3-П'!P263</f>
        <v>0</v>
      </c>
      <c r="Q264" s="18"/>
      <c r="R264" s="48"/>
    </row>
    <row r="265" spans="1:18" ht="54" hidden="1" thickTop="1" thickBot="1" x14ac:dyDescent="0.25">
      <c r="A265" s="119" t="s">
        <v>1016</v>
      </c>
      <c r="B265" s="119" t="s">
        <v>306</v>
      </c>
      <c r="C265" s="119" t="s">
        <v>298</v>
      </c>
      <c r="D265" s="119" t="s">
        <v>1115</v>
      </c>
      <c r="E265" s="471">
        <f>'d3'!E265-'d3-П'!E264</f>
        <v>0</v>
      </c>
      <c r="F265" s="471">
        <f>'d3'!F265-'d3-П'!F264</f>
        <v>0</v>
      </c>
      <c r="G265" s="471">
        <f>'d3'!G265-'d3-П'!G264</f>
        <v>0</v>
      </c>
      <c r="H265" s="471">
        <f>'d3'!H265-'d3-П'!H264</f>
        <v>0</v>
      </c>
      <c r="I265" s="471">
        <f>'d3'!I265-'d3-П'!I264</f>
        <v>0</v>
      </c>
      <c r="J265" s="471">
        <f>'d3'!J265-'d3-П'!J264</f>
        <v>0</v>
      </c>
      <c r="K265" s="471">
        <f>'d3'!K265-'d3-П'!K264</f>
        <v>0</v>
      </c>
      <c r="L265" s="471">
        <f>'d3'!L265-'d3-П'!L264</f>
        <v>0</v>
      </c>
      <c r="M265" s="471">
        <f>'d3'!M265-'d3-П'!M264</f>
        <v>0</v>
      </c>
      <c r="N265" s="471">
        <f>'d3'!N265-'d3-П'!N264</f>
        <v>0</v>
      </c>
      <c r="O265" s="471">
        <f>'d3'!O265-'d3-П'!O264</f>
        <v>0</v>
      </c>
      <c r="P265" s="471">
        <f>'d3'!P265-'d3-П'!P264</f>
        <v>0</v>
      </c>
      <c r="Q265" s="18"/>
      <c r="R265" s="48"/>
    </row>
    <row r="266" spans="1:18" ht="47.25" hidden="1" thickTop="1" thickBot="1" x14ac:dyDescent="0.25">
      <c r="A266" s="127" t="s">
        <v>751</v>
      </c>
      <c r="B266" s="127" t="s">
        <v>659</v>
      </c>
      <c r="C266" s="127"/>
      <c r="D266" s="127" t="s">
        <v>657</v>
      </c>
      <c r="E266" s="471">
        <f>'d3'!E266-'d3-П'!E265</f>
        <v>0</v>
      </c>
      <c r="F266" s="471">
        <f>'d3'!F266-'d3-П'!F265</f>
        <v>0</v>
      </c>
      <c r="G266" s="471">
        <f>'d3'!G266-'d3-П'!G265</f>
        <v>0</v>
      </c>
      <c r="H266" s="471">
        <f>'d3'!H266-'d3-П'!H265</f>
        <v>0</v>
      </c>
      <c r="I266" s="471">
        <f>'d3'!I266-'d3-П'!I265</f>
        <v>0</v>
      </c>
      <c r="J266" s="471">
        <f>'d3'!J266-'d3-П'!J265</f>
        <v>0</v>
      </c>
      <c r="K266" s="471">
        <f>'d3'!K266-'d3-П'!K265</f>
        <v>0</v>
      </c>
      <c r="L266" s="471">
        <f>'d3'!L266-'d3-П'!L265</f>
        <v>0</v>
      </c>
      <c r="M266" s="471">
        <f>'d3'!M266-'d3-П'!M265</f>
        <v>0</v>
      </c>
      <c r="N266" s="471">
        <f>'d3'!N266-'d3-П'!N265</f>
        <v>0</v>
      </c>
      <c r="O266" s="471">
        <f>'d3'!O266-'d3-П'!O265</f>
        <v>0</v>
      </c>
      <c r="P266" s="471">
        <f>'d3'!P266-'d3-П'!P265</f>
        <v>0</v>
      </c>
      <c r="Q266" s="18"/>
      <c r="R266" s="48"/>
    </row>
    <row r="267" spans="1:18" ht="47.25" hidden="1" thickTop="1" thickBot="1" x14ac:dyDescent="0.25">
      <c r="A267" s="282" t="s">
        <v>1164</v>
      </c>
      <c r="B267" s="282" t="s">
        <v>207</v>
      </c>
      <c r="C267" s="282"/>
      <c r="D267" s="119" t="s">
        <v>40</v>
      </c>
      <c r="E267" s="471">
        <f>'d3'!E267-'d3-П'!E266</f>
        <v>0</v>
      </c>
      <c r="F267" s="471">
        <f>'d3'!F267-'d3-П'!F266</f>
        <v>0</v>
      </c>
      <c r="G267" s="471">
        <f>'d3'!G267-'d3-П'!G266</f>
        <v>0</v>
      </c>
      <c r="H267" s="471">
        <f>'d3'!H267-'d3-П'!H266</f>
        <v>0</v>
      </c>
      <c r="I267" s="471">
        <f>'d3'!I267-'d3-П'!I266</f>
        <v>0</v>
      </c>
      <c r="J267" s="471">
        <f>'d3'!J267-'d3-П'!J266</f>
        <v>0</v>
      </c>
      <c r="K267" s="471">
        <f>'d3'!K267-'d3-П'!K266</f>
        <v>0</v>
      </c>
      <c r="L267" s="471">
        <f>'d3'!L267-'d3-П'!L266</f>
        <v>0</v>
      </c>
      <c r="M267" s="471">
        <f>'d3'!M267-'d3-П'!M266</f>
        <v>0</v>
      </c>
      <c r="N267" s="471">
        <f>'d3'!N267-'d3-П'!N266</f>
        <v>0</v>
      </c>
      <c r="O267" s="471">
        <f>'d3'!O267-'d3-П'!O266</f>
        <v>0</v>
      </c>
      <c r="P267" s="471">
        <f>'d3'!P267-'d3-П'!P266</f>
        <v>0</v>
      </c>
      <c r="Q267" s="18"/>
      <c r="R267" s="48"/>
    </row>
    <row r="268" spans="1:18" ht="47.25" hidden="1" thickTop="1" thickBot="1" x14ac:dyDescent="0.25">
      <c r="A268" s="119" t="s">
        <v>581</v>
      </c>
      <c r="B268" s="119" t="s">
        <v>192</v>
      </c>
      <c r="C268" s="119" t="s">
        <v>165</v>
      </c>
      <c r="D268" s="119" t="s">
        <v>33</v>
      </c>
      <c r="E268" s="471">
        <f>'d3'!E268-'d3-П'!E267</f>
        <v>0</v>
      </c>
      <c r="F268" s="471">
        <f>'d3'!F268-'d3-П'!F267</f>
        <v>0</v>
      </c>
      <c r="G268" s="471">
        <f>'d3'!G268-'d3-П'!G267</f>
        <v>0</v>
      </c>
      <c r="H268" s="471">
        <f>'d3'!H268-'d3-П'!H267</f>
        <v>0</v>
      </c>
      <c r="I268" s="471">
        <f>'d3'!I268-'d3-П'!I267</f>
        <v>0</v>
      </c>
      <c r="J268" s="471">
        <f>'d3'!J268-'d3-П'!J267</f>
        <v>0</v>
      </c>
      <c r="K268" s="471">
        <f>'d3'!K268-'d3-П'!K267</f>
        <v>0</v>
      </c>
      <c r="L268" s="471">
        <f>'d3'!L268-'d3-П'!L267</f>
        <v>0</v>
      </c>
      <c r="M268" s="471">
        <f>'d3'!M268-'d3-П'!M267</f>
        <v>0</v>
      </c>
      <c r="N268" s="471">
        <f>'d3'!N268-'d3-П'!N267</f>
        <v>0</v>
      </c>
      <c r="O268" s="471">
        <f>'d3'!O268-'d3-П'!O267</f>
        <v>0</v>
      </c>
      <c r="P268" s="471">
        <f>'d3'!P268-'d3-П'!P267</f>
        <v>0</v>
      </c>
      <c r="Q268" s="18"/>
      <c r="R268" s="44"/>
    </row>
    <row r="269" spans="1:18" ht="83.25" customHeight="1" thickTop="1" thickBot="1" x14ac:dyDescent="0.25">
      <c r="A269" s="239" t="s">
        <v>1020</v>
      </c>
      <c r="B269" s="239" t="s">
        <v>669</v>
      </c>
      <c r="C269" s="239"/>
      <c r="D269" s="239" t="s">
        <v>670</v>
      </c>
      <c r="E269" s="471">
        <f>'d3'!E269-'d3-П'!E268</f>
        <v>215280</v>
      </c>
      <c r="F269" s="471">
        <f>'d3'!F269-'d3-П'!F268</f>
        <v>0</v>
      </c>
      <c r="G269" s="471">
        <f>'d3'!G269-'d3-П'!G268</f>
        <v>0</v>
      </c>
      <c r="H269" s="471">
        <f>'d3'!H269-'d3-П'!H268</f>
        <v>0</v>
      </c>
      <c r="I269" s="471">
        <f>'d3'!I269-'d3-П'!I268</f>
        <v>215280</v>
      </c>
      <c r="J269" s="471">
        <f>'d3'!J269-'d3-П'!J268</f>
        <v>0</v>
      </c>
      <c r="K269" s="471">
        <f>'d3'!K269-'d3-П'!K268</f>
        <v>0</v>
      </c>
      <c r="L269" s="471">
        <f>'d3'!L269-'d3-П'!L268</f>
        <v>0</v>
      </c>
      <c r="M269" s="471">
        <f>'d3'!M269-'d3-П'!M268</f>
        <v>0</v>
      </c>
      <c r="N269" s="471">
        <f>'d3'!N269-'d3-П'!N268</f>
        <v>0</v>
      </c>
      <c r="O269" s="471">
        <f>'d3'!O269-'d3-П'!O268</f>
        <v>0</v>
      </c>
      <c r="P269" s="471">
        <f>'d3'!P269-'d3-П'!P268</f>
        <v>215280</v>
      </c>
      <c r="Q269" s="18"/>
      <c r="R269" s="44"/>
    </row>
    <row r="270" spans="1:18" ht="130.5" customHeight="1" thickTop="1" thickBot="1" x14ac:dyDescent="0.25">
      <c r="A270" s="508" t="s">
        <v>1021</v>
      </c>
      <c r="B270" s="508" t="s">
        <v>672</v>
      </c>
      <c r="C270" s="508"/>
      <c r="D270" s="508" t="s">
        <v>673</v>
      </c>
      <c r="E270" s="471">
        <f>'d3'!E270-'d3-П'!E269</f>
        <v>215280</v>
      </c>
      <c r="F270" s="471">
        <f>'d3'!F270-'d3-П'!F269</f>
        <v>0</v>
      </c>
      <c r="G270" s="471">
        <f>'d3'!G270-'d3-П'!G269</f>
        <v>0</v>
      </c>
      <c r="H270" s="471">
        <f>'d3'!H270-'d3-П'!H269</f>
        <v>0</v>
      </c>
      <c r="I270" s="471">
        <f>'d3'!I270-'d3-П'!I269</f>
        <v>215280</v>
      </c>
      <c r="J270" s="471">
        <f>'d3'!J270-'d3-П'!J269</f>
        <v>0</v>
      </c>
      <c r="K270" s="471">
        <f>'d3'!K270-'d3-П'!K269</f>
        <v>0</v>
      </c>
      <c r="L270" s="471">
        <f>'d3'!L270-'d3-П'!L269</f>
        <v>0</v>
      </c>
      <c r="M270" s="471">
        <f>'d3'!M270-'d3-П'!M269</f>
        <v>0</v>
      </c>
      <c r="N270" s="471">
        <f>'d3'!N270-'d3-П'!N269</f>
        <v>0</v>
      </c>
      <c r="O270" s="471">
        <f>'d3'!O270-'d3-П'!O269</f>
        <v>0</v>
      </c>
      <c r="P270" s="471">
        <f>'d3'!P270-'d3-П'!P269</f>
        <v>215280</v>
      </c>
      <c r="Q270" s="18"/>
      <c r="R270" s="44"/>
    </row>
    <row r="271" spans="1:18" ht="110.25" customHeight="1" thickTop="1" thickBot="1" x14ac:dyDescent="0.25">
      <c r="A271" s="713" t="s">
        <v>1022</v>
      </c>
      <c r="B271" s="713" t="s">
        <v>353</v>
      </c>
      <c r="C271" s="713" t="s">
        <v>42</v>
      </c>
      <c r="D271" s="713" t="s">
        <v>354</v>
      </c>
      <c r="E271" s="471">
        <f>'d3'!E271-'d3-П'!E270</f>
        <v>215280</v>
      </c>
      <c r="F271" s="471">
        <f>'d3'!F271-'d3-П'!F270</f>
        <v>0</v>
      </c>
      <c r="G271" s="471">
        <f>'d3'!G271-'d3-П'!G270</f>
        <v>0</v>
      </c>
      <c r="H271" s="471">
        <f>'d3'!H271-'d3-П'!H270</f>
        <v>0</v>
      </c>
      <c r="I271" s="471">
        <f>'d3'!I271-'d3-П'!I270</f>
        <v>215280</v>
      </c>
      <c r="J271" s="471">
        <f>'d3'!J271-'d3-П'!J270</f>
        <v>0</v>
      </c>
      <c r="K271" s="471">
        <f>'d3'!K271-'d3-П'!K270</f>
        <v>0</v>
      </c>
      <c r="L271" s="471">
        <f>'d3'!L271-'d3-П'!L270</f>
        <v>0</v>
      </c>
      <c r="M271" s="471">
        <f>'d3'!M271-'d3-П'!M270</f>
        <v>0</v>
      </c>
      <c r="N271" s="471">
        <f>'d3'!N271-'d3-П'!N270</f>
        <v>0</v>
      </c>
      <c r="O271" s="471">
        <f>'d3'!O271-'d3-П'!O270</f>
        <v>0</v>
      </c>
      <c r="P271" s="471">
        <f>'d3'!P271-'d3-П'!P270</f>
        <v>215280</v>
      </c>
      <c r="Q271" s="18"/>
      <c r="R271" s="44"/>
    </row>
    <row r="272" spans="1:18" ht="91.5" thickTop="1" thickBot="1" x14ac:dyDescent="0.25">
      <c r="A272" s="514" t="s">
        <v>153</v>
      </c>
      <c r="B272" s="514"/>
      <c r="C272" s="514"/>
      <c r="D272" s="515" t="s">
        <v>537</v>
      </c>
      <c r="E272" s="516">
        <f>E273</f>
        <v>9141639.1199999992</v>
      </c>
      <c r="F272" s="517">
        <f t="shared" ref="F272:G272" si="41">F273</f>
        <v>4706547.92</v>
      </c>
      <c r="G272" s="517">
        <f t="shared" si="41"/>
        <v>0</v>
      </c>
      <c r="H272" s="517">
        <f>H273</f>
        <v>0</v>
      </c>
      <c r="I272" s="517">
        <f t="shared" ref="I272" si="42">I273</f>
        <v>4435091.1999999993</v>
      </c>
      <c r="J272" s="516">
        <f>J273</f>
        <v>0</v>
      </c>
      <c r="K272" s="517">
        <f>K273</f>
        <v>0</v>
      </c>
      <c r="L272" s="517">
        <f>L273</f>
        <v>0</v>
      </c>
      <c r="M272" s="517">
        <f t="shared" ref="M272" si="43">M273</f>
        <v>0</v>
      </c>
      <c r="N272" s="517">
        <f>N273</f>
        <v>0</v>
      </c>
      <c r="O272" s="516">
        <f>O273</f>
        <v>0</v>
      </c>
      <c r="P272" s="517">
        <f>P273</f>
        <v>9141639.1199999992</v>
      </c>
      <c r="Q272" s="18"/>
      <c r="R272" s="48"/>
    </row>
    <row r="273" spans="1:18" ht="144.75" customHeight="1" thickTop="1" thickBot="1" x14ac:dyDescent="0.25">
      <c r="A273" s="511" t="s">
        <v>154</v>
      </c>
      <c r="B273" s="511"/>
      <c r="C273" s="511"/>
      <c r="D273" s="512" t="s">
        <v>538</v>
      </c>
      <c r="E273" s="513">
        <f>E274+E281+E291+E299+E278</f>
        <v>9141639.1199999992</v>
      </c>
      <c r="F273" s="513">
        <f>F274+F281+F291+F299+F278</f>
        <v>4706547.92</v>
      </c>
      <c r="G273" s="513">
        <f>G274+G281+G291+G299+G278</f>
        <v>0</v>
      </c>
      <c r="H273" s="513">
        <f>H274+H281+H291+H299+H278</f>
        <v>0</v>
      </c>
      <c r="I273" s="513">
        <f>I274+I281+I291+I299+I278</f>
        <v>4435091.1999999993</v>
      </c>
      <c r="J273" s="513">
        <f>L273+O273</f>
        <v>0</v>
      </c>
      <c r="K273" s="513">
        <f>K274+K281+K291+K299+K278</f>
        <v>0</v>
      </c>
      <c r="L273" s="513">
        <f>L274+L281+L291+L299+L278</f>
        <v>0</v>
      </c>
      <c r="M273" s="513">
        <f>M274+M281+M291+M299+M278</f>
        <v>0</v>
      </c>
      <c r="N273" s="513">
        <f>N274+N281+N291+N299+N278</f>
        <v>0</v>
      </c>
      <c r="O273" s="513">
        <f>O274+O281+O291+O299+O278</f>
        <v>0</v>
      </c>
      <c r="P273" s="513">
        <f>E273+J273</f>
        <v>9141639.1199999992</v>
      </c>
      <c r="Q273" s="546" t="b">
        <f>P273=P275+P280+P283+P285+P286+P287+P288+P289+P301+P298+P295</f>
        <v>1</v>
      </c>
      <c r="R273" s="52"/>
    </row>
    <row r="274" spans="1:18" ht="93.75" customHeight="1" thickTop="1" thickBot="1" x14ac:dyDescent="0.25">
      <c r="A274" s="239" t="s">
        <v>752</v>
      </c>
      <c r="B274" s="239" t="s">
        <v>652</v>
      </c>
      <c r="C274" s="239"/>
      <c r="D274" s="483" t="s">
        <v>653</v>
      </c>
      <c r="E274" s="471">
        <f>'d3'!E274-'d3-П'!E273</f>
        <v>120000</v>
      </c>
      <c r="F274" s="471">
        <f>'d3'!F274-'d3-П'!F273</f>
        <v>0</v>
      </c>
      <c r="G274" s="471">
        <f>'d3'!G274-'d3-П'!G273</f>
        <v>0</v>
      </c>
      <c r="H274" s="471">
        <f>'d3'!H274-'d3-П'!H273</f>
        <v>0</v>
      </c>
      <c r="I274" s="471">
        <f>'d3'!I274-'d3-П'!I273</f>
        <v>120000</v>
      </c>
      <c r="J274" s="471">
        <f>'d3'!J274-'d3-П'!J273</f>
        <v>0</v>
      </c>
      <c r="K274" s="471">
        <f>'d3'!K274-'d3-П'!K273</f>
        <v>0</v>
      </c>
      <c r="L274" s="471">
        <f>'d3'!L274-'d3-П'!L273</f>
        <v>0</v>
      </c>
      <c r="M274" s="471">
        <f>'d3'!M274-'d3-П'!M273</f>
        <v>0</v>
      </c>
      <c r="N274" s="471">
        <f>'d3'!N274-'d3-П'!N273</f>
        <v>0</v>
      </c>
      <c r="O274" s="471">
        <f>'d3'!O274-'d3-П'!O273</f>
        <v>0</v>
      </c>
      <c r="P274" s="471">
        <f>'d3'!P274-'d3-П'!P273</f>
        <v>120000</v>
      </c>
      <c r="Q274" s="45"/>
      <c r="R274" s="52"/>
    </row>
    <row r="275" spans="1:18" ht="144.75" customHeight="1" thickTop="1" thickBot="1" x14ac:dyDescent="0.25">
      <c r="A275" s="94" t="s">
        <v>410</v>
      </c>
      <c r="B275" s="94" t="s">
        <v>231</v>
      </c>
      <c r="C275" s="94" t="s">
        <v>229</v>
      </c>
      <c r="D275" s="469" t="s">
        <v>1515</v>
      </c>
      <c r="E275" s="471">
        <f>'d3'!E275-'d3-П'!E274</f>
        <v>120000</v>
      </c>
      <c r="F275" s="471">
        <f>'d3'!F275-'d3-П'!F274</f>
        <v>0</v>
      </c>
      <c r="G275" s="471">
        <f>'d3'!G275-'d3-П'!G274</f>
        <v>0</v>
      </c>
      <c r="H275" s="471">
        <f>'d3'!H275-'d3-П'!H274</f>
        <v>0</v>
      </c>
      <c r="I275" s="471">
        <f>'d3'!I275-'d3-П'!I274</f>
        <v>120000</v>
      </c>
      <c r="J275" s="471">
        <f>'d3'!J275-'d3-П'!J274</f>
        <v>0</v>
      </c>
      <c r="K275" s="471">
        <f>'d3'!K275-'d3-П'!K274</f>
        <v>0</v>
      </c>
      <c r="L275" s="471">
        <f>'d3'!L275-'d3-П'!L274</f>
        <v>0</v>
      </c>
      <c r="M275" s="471">
        <f>'d3'!M275-'d3-П'!M274</f>
        <v>0</v>
      </c>
      <c r="N275" s="471">
        <f>'d3'!N275-'d3-П'!N274</f>
        <v>0</v>
      </c>
      <c r="O275" s="471">
        <f>'d3'!O275-'d3-П'!O274</f>
        <v>0</v>
      </c>
      <c r="P275" s="471">
        <f>'d3'!P275-'d3-П'!P274</f>
        <v>120000</v>
      </c>
      <c r="Q275" s="18"/>
      <c r="R275" s="52"/>
    </row>
    <row r="276" spans="1:18" ht="93" hidden="1" thickTop="1" thickBot="1" x14ac:dyDescent="0.25">
      <c r="A276" s="119" t="s">
        <v>600</v>
      </c>
      <c r="B276" s="119" t="s">
        <v>352</v>
      </c>
      <c r="C276" s="119" t="s">
        <v>598</v>
      </c>
      <c r="D276" s="119" t="s">
        <v>599</v>
      </c>
      <c r="E276" s="471">
        <f>'d3'!E276-'d3-П'!E275</f>
        <v>0</v>
      </c>
      <c r="F276" s="471">
        <f>'d3'!F276-'d3-П'!F275</f>
        <v>0</v>
      </c>
      <c r="G276" s="471">
        <f>'d3'!G276-'d3-П'!G275</f>
        <v>0</v>
      </c>
      <c r="H276" s="471">
        <f>'d3'!H276-'d3-П'!H275</f>
        <v>0</v>
      </c>
      <c r="I276" s="471">
        <f>'d3'!I276-'d3-П'!I275</f>
        <v>0</v>
      </c>
      <c r="J276" s="471">
        <f>'d3'!J276-'d3-П'!J275</f>
        <v>0</v>
      </c>
      <c r="K276" s="471">
        <f>'d3'!K276-'d3-П'!K275</f>
        <v>0</v>
      </c>
      <c r="L276" s="471">
        <f>'d3'!L276-'d3-П'!L275</f>
        <v>0</v>
      </c>
      <c r="M276" s="471">
        <f>'d3'!M276-'d3-П'!M275</f>
        <v>0</v>
      </c>
      <c r="N276" s="471">
        <f>'d3'!N276-'d3-П'!N275</f>
        <v>0</v>
      </c>
      <c r="O276" s="471">
        <f>'d3'!O276-'d3-П'!O275</f>
        <v>0</v>
      </c>
      <c r="P276" s="471">
        <f>'d3'!P276-'d3-П'!P275</f>
        <v>0</v>
      </c>
      <c r="Q276" s="18"/>
      <c r="R276" s="52"/>
    </row>
    <row r="277" spans="1:18" ht="47.25" hidden="1" thickTop="1" thickBot="1" x14ac:dyDescent="0.25">
      <c r="A277" s="119" t="s">
        <v>1033</v>
      </c>
      <c r="B277" s="119" t="s">
        <v>42</v>
      </c>
      <c r="C277" s="119" t="s">
        <v>41</v>
      </c>
      <c r="D277" s="119" t="s">
        <v>242</v>
      </c>
      <c r="E277" s="471">
        <f>'d3'!E277-'d3-П'!E276</f>
        <v>0</v>
      </c>
      <c r="F277" s="471">
        <f>'d3'!F277-'d3-П'!F276</f>
        <v>0</v>
      </c>
      <c r="G277" s="471">
        <f>'d3'!G277-'d3-П'!G276</f>
        <v>0</v>
      </c>
      <c r="H277" s="471">
        <f>'d3'!H277-'d3-П'!H276</f>
        <v>0</v>
      </c>
      <c r="I277" s="471">
        <f>'d3'!I277-'d3-П'!I276</f>
        <v>0</v>
      </c>
      <c r="J277" s="471">
        <f>'d3'!J277-'d3-П'!J276</f>
        <v>0</v>
      </c>
      <c r="K277" s="471">
        <f>'d3'!K277-'d3-П'!K276</f>
        <v>0</v>
      </c>
      <c r="L277" s="471">
        <f>'d3'!L277-'d3-П'!L276</f>
        <v>0</v>
      </c>
      <c r="M277" s="471">
        <f>'d3'!M277-'d3-П'!M276</f>
        <v>0</v>
      </c>
      <c r="N277" s="471">
        <f>'d3'!N277-'d3-П'!N276</f>
        <v>0</v>
      </c>
      <c r="O277" s="471">
        <f>'d3'!O277-'d3-П'!O276</f>
        <v>0</v>
      </c>
      <c r="P277" s="471">
        <f>'d3'!P277-'d3-П'!P276</f>
        <v>0</v>
      </c>
      <c r="Q277" s="18"/>
      <c r="R277" s="52"/>
    </row>
    <row r="278" spans="1:18" ht="123" customHeight="1" thickTop="1" thickBot="1" x14ac:dyDescent="0.25">
      <c r="A278" s="483" t="s">
        <v>1452</v>
      </c>
      <c r="B278" s="483" t="s">
        <v>678</v>
      </c>
      <c r="C278" s="483"/>
      <c r="D278" s="483" t="s">
        <v>679</v>
      </c>
      <c r="E278" s="471">
        <f>'d3'!E278-'d3-П'!E277</f>
        <v>0</v>
      </c>
      <c r="F278" s="471">
        <f>'d3'!F278-'d3-П'!F277</f>
        <v>0</v>
      </c>
      <c r="G278" s="471">
        <f>'d3'!G278-'d3-П'!G277</f>
        <v>0</v>
      </c>
      <c r="H278" s="471">
        <f>'d3'!H278-'d3-П'!H277</f>
        <v>0</v>
      </c>
      <c r="I278" s="471">
        <f>'d3'!I278-'d3-П'!I277</f>
        <v>0</v>
      </c>
      <c r="J278" s="471">
        <f>'d3'!J278-'d3-П'!J277</f>
        <v>0</v>
      </c>
      <c r="K278" s="471">
        <f>'d3'!K278-'d3-П'!K277</f>
        <v>0</v>
      </c>
      <c r="L278" s="471">
        <f>'d3'!L278-'d3-П'!L277</f>
        <v>0</v>
      </c>
      <c r="M278" s="471">
        <f>'d3'!M278-'d3-П'!M277</f>
        <v>0</v>
      </c>
      <c r="N278" s="471">
        <f>'d3'!N278-'d3-П'!N277</f>
        <v>0</v>
      </c>
      <c r="O278" s="471">
        <f>'d3'!O278-'d3-П'!O277</f>
        <v>0</v>
      </c>
      <c r="P278" s="471">
        <f>'d3'!P278-'d3-П'!P277</f>
        <v>0</v>
      </c>
      <c r="Q278" s="18"/>
      <c r="R278" s="52"/>
    </row>
    <row r="279" spans="1:18" ht="45" hidden="1" customHeight="1" thickTop="1" thickBot="1" x14ac:dyDescent="0.25">
      <c r="A279" s="119" t="s">
        <v>1453</v>
      </c>
      <c r="B279" s="119" t="s">
        <v>1080</v>
      </c>
      <c r="C279" s="119" t="s">
        <v>201</v>
      </c>
      <c r="D279" s="277" t="s">
        <v>1081</v>
      </c>
      <c r="E279" s="471">
        <f>'d3'!E279-'d3-П'!E278</f>
        <v>0</v>
      </c>
      <c r="F279" s="471">
        <f>'d3'!F279-'d3-П'!F278</f>
        <v>0</v>
      </c>
      <c r="G279" s="471">
        <f>'d3'!G279-'d3-П'!G278</f>
        <v>0</v>
      </c>
      <c r="H279" s="471">
        <f>'d3'!H279-'d3-П'!H278</f>
        <v>0</v>
      </c>
      <c r="I279" s="471">
        <f>'d3'!I279-'d3-П'!I278</f>
        <v>0</v>
      </c>
      <c r="J279" s="471">
        <f>'d3'!J279-'d3-П'!J278</f>
        <v>0</v>
      </c>
      <c r="K279" s="471">
        <f>'d3'!K279-'d3-П'!K278</f>
        <v>0</v>
      </c>
      <c r="L279" s="471">
        <f>'d3'!L279-'d3-П'!L278</f>
        <v>0</v>
      </c>
      <c r="M279" s="471">
        <f>'d3'!M279-'d3-П'!M278</f>
        <v>0</v>
      </c>
      <c r="N279" s="471">
        <f>'d3'!N279-'d3-П'!N278</f>
        <v>0</v>
      </c>
      <c r="O279" s="471">
        <f>'d3'!O279-'d3-П'!O278</f>
        <v>0</v>
      </c>
      <c r="P279" s="471">
        <f>'d3'!P279-'d3-П'!P278</f>
        <v>0</v>
      </c>
      <c r="Q279" s="18"/>
      <c r="R279" s="52"/>
    </row>
    <row r="280" spans="1:18" ht="194.25" customHeight="1" thickTop="1" thickBot="1" x14ac:dyDescent="0.25">
      <c r="A280" s="469" t="s">
        <v>1506</v>
      </c>
      <c r="B280" s="469" t="s">
        <v>1377</v>
      </c>
      <c r="C280" s="469" t="s">
        <v>186</v>
      </c>
      <c r="D280" s="486" t="s">
        <v>1505</v>
      </c>
      <c r="E280" s="471">
        <f>'d3'!E280-'d3-П'!E279</f>
        <v>0</v>
      </c>
      <c r="F280" s="471">
        <f>'d3'!F280-'d3-П'!F279</f>
        <v>0</v>
      </c>
      <c r="G280" s="471">
        <f>'d3'!G280-'d3-П'!G279</f>
        <v>0</v>
      </c>
      <c r="H280" s="471">
        <f>'d3'!H280-'d3-П'!H279</f>
        <v>0</v>
      </c>
      <c r="I280" s="471">
        <f>'d3'!I280-'d3-П'!I279</f>
        <v>0</v>
      </c>
      <c r="J280" s="471">
        <f>'d3'!J280-'d3-П'!J279</f>
        <v>0</v>
      </c>
      <c r="K280" s="471">
        <f>'d3'!K280-'d3-П'!K279</f>
        <v>0</v>
      </c>
      <c r="L280" s="471">
        <f>'d3'!L280-'d3-П'!L279</f>
        <v>0</v>
      </c>
      <c r="M280" s="471">
        <f>'d3'!M280-'d3-П'!M279</f>
        <v>0</v>
      </c>
      <c r="N280" s="471">
        <f>'d3'!N280-'d3-П'!N279</f>
        <v>0</v>
      </c>
      <c r="O280" s="471">
        <f>'d3'!O280-'d3-П'!O279</f>
        <v>0</v>
      </c>
      <c r="P280" s="471">
        <f>'d3'!P280-'d3-П'!P279</f>
        <v>0</v>
      </c>
      <c r="Q280" s="18"/>
      <c r="R280" s="52"/>
    </row>
    <row r="281" spans="1:18" ht="104.25" customHeight="1" thickTop="1" thickBot="1" x14ac:dyDescent="0.25">
      <c r="A281" s="483" t="s">
        <v>753</v>
      </c>
      <c r="B281" s="483" t="s">
        <v>707</v>
      </c>
      <c r="C281" s="116"/>
      <c r="D281" s="484" t="s">
        <v>708</v>
      </c>
      <c r="E281" s="471">
        <f>'d3'!E281-'d3-П'!E280</f>
        <v>3526391.1999999993</v>
      </c>
      <c r="F281" s="471">
        <f>'d3'!F281-'d3-П'!F280</f>
        <v>4211300</v>
      </c>
      <c r="G281" s="471">
        <f>'d3'!G281-'d3-П'!G280</f>
        <v>0</v>
      </c>
      <c r="H281" s="471">
        <f>'d3'!H281-'d3-П'!H280</f>
        <v>0</v>
      </c>
      <c r="I281" s="471">
        <f>'d3'!I281-'d3-П'!I280</f>
        <v>-684908.80000000075</v>
      </c>
      <c r="J281" s="471">
        <f>'d3'!J281-'d3-П'!J280</f>
        <v>0</v>
      </c>
      <c r="K281" s="471">
        <f>'d3'!K281-'d3-П'!K280</f>
        <v>0</v>
      </c>
      <c r="L281" s="471">
        <f>'d3'!L281-'d3-П'!L280</f>
        <v>0</v>
      </c>
      <c r="M281" s="471">
        <f>'d3'!M281-'d3-П'!M280</f>
        <v>0</v>
      </c>
      <c r="N281" s="471">
        <f>'d3'!N281-'d3-П'!N280</f>
        <v>0</v>
      </c>
      <c r="O281" s="471">
        <f>'d3'!O281-'d3-П'!O280</f>
        <v>0</v>
      </c>
      <c r="P281" s="471">
        <f>'d3'!P281-'d3-П'!P280</f>
        <v>3526391.1999999993</v>
      </c>
      <c r="Q281" s="18"/>
      <c r="R281" s="52"/>
    </row>
    <row r="282" spans="1:18" s="31" customFormat="1" ht="129" customHeight="1" thickTop="1" thickBot="1" x14ac:dyDescent="0.25">
      <c r="A282" s="481" t="s">
        <v>754</v>
      </c>
      <c r="B282" s="481" t="s">
        <v>755</v>
      </c>
      <c r="C282" s="131"/>
      <c r="D282" s="481" t="s">
        <v>1504</v>
      </c>
      <c r="E282" s="471">
        <f>'d3'!E282-'d3-П'!E281</f>
        <v>1526391.1999999993</v>
      </c>
      <c r="F282" s="471">
        <f>'d3'!F282-'d3-П'!F281</f>
        <v>2211300</v>
      </c>
      <c r="G282" s="471">
        <f>'d3'!G282-'d3-П'!G281</f>
        <v>0</v>
      </c>
      <c r="H282" s="471">
        <f>'d3'!H282-'d3-П'!H281</f>
        <v>0</v>
      </c>
      <c r="I282" s="471">
        <f>'d3'!I282-'d3-П'!I281</f>
        <v>-684908.80000000075</v>
      </c>
      <c r="J282" s="471">
        <f>'d3'!J282-'d3-П'!J281</f>
        <v>0</v>
      </c>
      <c r="K282" s="471">
        <f>'d3'!K282-'d3-П'!K281</f>
        <v>0</v>
      </c>
      <c r="L282" s="471">
        <f>'d3'!L282-'d3-П'!L281</f>
        <v>0</v>
      </c>
      <c r="M282" s="471">
        <f>'d3'!M282-'d3-П'!M281</f>
        <v>0</v>
      </c>
      <c r="N282" s="471">
        <f>'d3'!N282-'d3-П'!N281</f>
        <v>0</v>
      </c>
      <c r="O282" s="471">
        <f>'d3'!O282-'d3-П'!O281</f>
        <v>0</v>
      </c>
      <c r="P282" s="471">
        <f>'d3'!P282-'d3-П'!P281</f>
        <v>1526391.1999999993</v>
      </c>
      <c r="Q282" s="34"/>
      <c r="R282" s="52"/>
    </row>
    <row r="283" spans="1:18" ht="88.5" customHeight="1" thickTop="1" thickBot="1" x14ac:dyDescent="0.25">
      <c r="A283" s="469" t="s">
        <v>274</v>
      </c>
      <c r="B283" s="469" t="s">
        <v>275</v>
      </c>
      <c r="C283" s="469" t="s">
        <v>331</v>
      </c>
      <c r="D283" s="469" t="s">
        <v>276</v>
      </c>
      <c r="E283" s="471">
        <f>'d3'!E283-'d3-П'!E282</f>
        <v>1526391.2000000002</v>
      </c>
      <c r="F283" s="471">
        <f>'d3'!F283-'d3-П'!F282</f>
        <v>2211300</v>
      </c>
      <c r="G283" s="471">
        <f>'d3'!G283-'d3-П'!G282</f>
        <v>0</v>
      </c>
      <c r="H283" s="471">
        <f>'d3'!H283-'d3-П'!H282</f>
        <v>0</v>
      </c>
      <c r="I283" s="471">
        <f>'d3'!I283-'d3-П'!I282</f>
        <v>-684908.79999999981</v>
      </c>
      <c r="J283" s="471">
        <f>'d3'!J283-'d3-П'!J282</f>
        <v>0</v>
      </c>
      <c r="K283" s="471">
        <f>'d3'!K283-'d3-П'!K282</f>
        <v>0</v>
      </c>
      <c r="L283" s="471">
        <f>'d3'!L283-'d3-П'!L282</f>
        <v>0</v>
      </c>
      <c r="M283" s="471">
        <f>'d3'!M283-'d3-П'!M282</f>
        <v>0</v>
      </c>
      <c r="N283" s="471">
        <f>'d3'!N283-'d3-П'!N282</f>
        <v>0</v>
      </c>
      <c r="O283" s="471">
        <f>'d3'!O283-'d3-П'!O282</f>
        <v>0</v>
      </c>
      <c r="P283" s="471">
        <f>'d3'!P283-'d3-П'!P282</f>
        <v>1526391.2000000002</v>
      </c>
      <c r="Q283" s="18"/>
      <c r="R283" s="52"/>
    </row>
    <row r="284" spans="1:18" ht="47.25" hidden="1" thickTop="1" thickBot="1" x14ac:dyDescent="0.25">
      <c r="A284" s="119" t="s">
        <v>1340</v>
      </c>
      <c r="B284" s="119" t="s">
        <v>280</v>
      </c>
      <c r="C284" s="119" t="s">
        <v>277</v>
      </c>
      <c r="D284" s="119" t="s">
        <v>281</v>
      </c>
      <c r="E284" s="471">
        <f>'d3'!E284-'d3-П'!E283</f>
        <v>0</v>
      </c>
      <c r="F284" s="471">
        <f>'d3'!F284-'d3-П'!F283</f>
        <v>0</v>
      </c>
      <c r="G284" s="471">
        <f>'d3'!G284-'d3-П'!G283</f>
        <v>0</v>
      </c>
      <c r="H284" s="471">
        <f>'d3'!H284-'d3-П'!H283</f>
        <v>0</v>
      </c>
      <c r="I284" s="471">
        <f>'d3'!I284-'d3-П'!I283</f>
        <v>0</v>
      </c>
      <c r="J284" s="471">
        <f>'d3'!J284-'d3-П'!J283</f>
        <v>0</v>
      </c>
      <c r="K284" s="471">
        <f>'d3'!K284-'d3-П'!K283</f>
        <v>0</v>
      </c>
      <c r="L284" s="471">
        <f>'d3'!L284-'d3-П'!L283</f>
        <v>0</v>
      </c>
      <c r="M284" s="471">
        <f>'d3'!M284-'d3-П'!M283</f>
        <v>0</v>
      </c>
      <c r="N284" s="471">
        <f>'d3'!N284-'d3-П'!N283</f>
        <v>0</v>
      </c>
      <c r="O284" s="471">
        <f>'d3'!O284-'d3-П'!O283</f>
        <v>0</v>
      </c>
      <c r="P284" s="471">
        <f>'d3'!P284-'d3-П'!P283</f>
        <v>0</v>
      </c>
      <c r="Q284" s="18"/>
      <c r="R284" s="52"/>
    </row>
    <row r="285" spans="1:18" ht="82.5" customHeight="1" thickTop="1" thickBot="1" x14ac:dyDescent="0.25">
      <c r="A285" s="469" t="s">
        <v>295</v>
      </c>
      <c r="B285" s="469" t="s">
        <v>296</v>
      </c>
      <c r="C285" s="469" t="s">
        <v>277</v>
      </c>
      <c r="D285" s="469" t="s">
        <v>297</v>
      </c>
      <c r="E285" s="471">
        <f>'d3'!E285-'d3-П'!E284</f>
        <v>0</v>
      </c>
      <c r="F285" s="471">
        <f>'d3'!F285-'d3-П'!F284</f>
        <v>0</v>
      </c>
      <c r="G285" s="471">
        <f>'d3'!G285-'d3-П'!G284</f>
        <v>0</v>
      </c>
      <c r="H285" s="471">
        <f>'d3'!H285-'d3-П'!H284</f>
        <v>0</v>
      </c>
      <c r="I285" s="471">
        <f>'d3'!I285-'d3-П'!I284</f>
        <v>0</v>
      </c>
      <c r="J285" s="471">
        <f>'d3'!J285-'d3-П'!J284</f>
        <v>0</v>
      </c>
      <c r="K285" s="471">
        <f>'d3'!K285-'d3-П'!K284</f>
        <v>0</v>
      </c>
      <c r="L285" s="471">
        <f>'d3'!L285-'d3-П'!L284</f>
        <v>0</v>
      </c>
      <c r="M285" s="471">
        <f>'d3'!M285-'d3-П'!M284</f>
        <v>0</v>
      </c>
      <c r="N285" s="471">
        <f>'d3'!N285-'d3-П'!N284</f>
        <v>0</v>
      </c>
      <c r="O285" s="471">
        <f>'d3'!O285-'d3-П'!O284</f>
        <v>0</v>
      </c>
      <c r="P285" s="471">
        <f>'d3'!P285-'d3-П'!P284</f>
        <v>0</v>
      </c>
      <c r="Q285" s="18"/>
      <c r="R285" s="52"/>
    </row>
    <row r="286" spans="1:18" ht="150" customHeight="1" thickTop="1" thickBot="1" x14ac:dyDescent="0.25">
      <c r="A286" s="469" t="s">
        <v>278</v>
      </c>
      <c r="B286" s="469" t="s">
        <v>279</v>
      </c>
      <c r="C286" s="469" t="s">
        <v>277</v>
      </c>
      <c r="D286" s="469" t="s">
        <v>1502</v>
      </c>
      <c r="E286" s="471">
        <f>'d3'!E286-'d3-П'!E285</f>
        <v>0</v>
      </c>
      <c r="F286" s="471">
        <f>'d3'!F286-'d3-П'!F285</f>
        <v>0</v>
      </c>
      <c r="G286" s="471">
        <f>'d3'!G286-'d3-П'!G285</f>
        <v>0</v>
      </c>
      <c r="H286" s="471">
        <f>'d3'!H286-'d3-П'!H285</f>
        <v>0</v>
      </c>
      <c r="I286" s="471">
        <f>'d3'!I286-'d3-П'!I285</f>
        <v>0</v>
      </c>
      <c r="J286" s="471">
        <f>'d3'!J286-'d3-П'!J285</f>
        <v>0</v>
      </c>
      <c r="K286" s="471">
        <f>'d3'!K286-'d3-П'!K285</f>
        <v>0</v>
      </c>
      <c r="L286" s="471">
        <f>'d3'!L286-'d3-П'!L285</f>
        <v>0</v>
      </c>
      <c r="M286" s="471">
        <f>'d3'!M286-'d3-П'!M285</f>
        <v>0</v>
      </c>
      <c r="N286" s="471">
        <f>'d3'!N286-'d3-П'!N285</f>
        <v>0</v>
      </c>
      <c r="O286" s="471">
        <f>'d3'!O286-'d3-П'!O285</f>
        <v>0</v>
      </c>
      <c r="P286" s="471">
        <f>'d3'!P286-'d3-П'!P285</f>
        <v>0</v>
      </c>
      <c r="Q286" s="18"/>
      <c r="R286" s="52"/>
    </row>
    <row r="287" spans="1:18" ht="150.75" customHeight="1" thickTop="1" thickBot="1" x14ac:dyDescent="0.25">
      <c r="A287" s="469" t="s">
        <v>880</v>
      </c>
      <c r="B287" s="469" t="s">
        <v>291</v>
      </c>
      <c r="C287" s="469" t="s">
        <v>277</v>
      </c>
      <c r="D287" s="469" t="s">
        <v>292</v>
      </c>
      <c r="E287" s="471">
        <f>'d3'!E287-'d3-П'!E286</f>
        <v>0</v>
      </c>
      <c r="F287" s="471">
        <f>'d3'!F287-'d3-П'!F286</f>
        <v>0</v>
      </c>
      <c r="G287" s="471">
        <f>'d3'!G287-'d3-П'!G286</f>
        <v>0</v>
      </c>
      <c r="H287" s="471">
        <f>'d3'!H287-'d3-П'!H286</f>
        <v>0</v>
      </c>
      <c r="I287" s="471">
        <f>'d3'!I287-'d3-П'!I286</f>
        <v>0</v>
      </c>
      <c r="J287" s="471">
        <f>'d3'!J287-'d3-П'!J286</f>
        <v>0</v>
      </c>
      <c r="K287" s="471">
        <f>'d3'!K287-'d3-П'!K286</f>
        <v>0</v>
      </c>
      <c r="L287" s="471">
        <f>'d3'!L287-'d3-П'!L286</f>
        <v>0</v>
      </c>
      <c r="M287" s="471">
        <f>'d3'!M287-'d3-П'!M286</f>
        <v>0</v>
      </c>
      <c r="N287" s="471">
        <f>'d3'!N287-'d3-П'!N286</f>
        <v>0</v>
      </c>
      <c r="O287" s="471">
        <f>'d3'!O287-'d3-П'!O286</f>
        <v>0</v>
      </c>
      <c r="P287" s="471">
        <f>'d3'!P287-'d3-П'!P286</f>
        <v>0</v>
      </c>
      <c r="Q287" s="18"/>
      <c r="R287" s="52"/>
    </row>
    <row r="288" spans="1:18" ht="72.75" customHeight="1" thickTop="1" thickBot="1" x14ac:dyDescent="0.25">
      <c r="A288" s="469" t="s">
        <v>282</v>
      </c>
      <c r="B288" s="469" t="s">
        <v>283</v>
      </c>
      <c r="C288" s="469" t="s">
        <v>277</v>
      </c>
      <c r="D288" s="469" t="s">
        <v>284</v>
      </c>
      <c r="E288" s="471">
        <f>'d3'!E288-'d3-П'!E287</f>
        <v>2000000</v>
      </c>
      <c r="F288" s="471">
        <f>'d3'!F288-'d3-П'!F287</f>
        <v>2000000</v>
      </c>
      <c r="G288" s="471">
        <f>'d3'!G288-'d3-П'!G287</f>
        <v>0</v>
      </c>
      <c r="H288" s="471">
        <f>'d3'!H288-'d3-П'!H287</f>
        <v>0</v>
      </c>
      <c r="I288" s="471">
        <f>'d3'!I288-'d3-П'!I287</f>
        <v>0</v>
      </c>
      <c r="J288" s="471">
        <f>'d3'!J288-'d3-П'!J287</f>
        <v>0</v>
      </c>
      <c r="K288" s="471">
        <f>'d3'!K288-'d3-П'!K287</f>
        <v>0</v>
      </c>
      <c r="L288" s="471">
        <f>'d3'!L288-'d3-П'!L287</f>
        <v>0</v>
      </c>
      <c r="M288" s="471">
        <f>'d3'!M288-'d3-П'!M287</f>
        <v>0</v>
      </c>
      <c r="N288" s="471">
        <f>'d3'!N288-'d3-П'!N287</f>
        <v>0</v>
      </c>
      <c r="O288" s="471">
        <f>'d3'!O288-'d3-П'!O287</f>
        <v>0</v>
      </c>
      <c r="P288" s="471">
        <f>'d3'!P288-'d3-П'!P287</f>
        <v>2000000</v>
      </c>
      <c r="Q288" s="18"/>
      <c r="R288" s="48"/>
    </row>
    <row r="289" spans="1:18" ht="85.5" customHeight="1" thickTop="1" thickBot="1" x14ac:dyDescent="0.25">
      <c r="A289" s="469" t="s">
        <v>1130</v>
      </c>
      <c r="B289" s="469" t="s">
        <v>1038</v>
      </c>
      <c r="C289" s="469" t="s">
        <v>1039</v>
      </c>
      <c r="D289" s="469" t="s">
        <v>1036</v>
      </c>
      <c r="E289" s="471">
        <f>'d3'!E289-'d3-П'!E288</f>
        <v>0</v>
      </c>
      <c r="F289" s="471">
        <f>'d3'!F289-'d3-П'!F288</f>
        <v>0</v>
      </c>
      <c r="G289" s="471">
        <f>'d3'!G289-'d3-П'!G288</f>
        <v>0</v>
      </c>
      <c r="H289" s="471">
        <f>'d3'!H289-'d3-П'!H288</f>
        <v>0</v>
      </c>
      <c r="I289" s="471">
        <f>'d3'!I289-'d3-П'!I288</f>
        <v>0</v>
      </c>
      <c r="J289" s="471">
        <f>'d3'!J289-'d3-П'!J288</f>
        <v>0</v>
      </c>
      <c r="K289" s="471">
        <f>'d3'!K289-'d3-П'!K288</f>
        <v>0</v>
      </c>
      <c r="L289" s="471">
        <f>'d3'!L289-'d3-П'!L288</f>
        <v>0</v>
      </c>
      <c r="M289" s="471">
        <f>'d3'!M289-'d3-П'!M288</f>
        <v>0</v>
      </c>
      <c r="N289" s="471">
        <f>'d3'!N289-'d3-П'!N288</f>
        <v>0</v>
      </c>
      <c r="O289" s="471">
        <f>'d3'!O289-'d3-П'!O288</f>
        <v>0</v>
      </c>
      <c r="P289" s="471">
        <f>'d3'!P289-'d3-П'!P288</f>
        <v>0</v>
      </c>
      <c r="Q289" s="18"/>
      <c r="R289" s="48"/>
    </row>
    <row r="290" spans="1:18" ht="54" hidden="1" thickTop="1" thickBot="1" x14ac:dyDescent="0.25">
      <c r="A290" s="119" t="s">
        <v>1353</v>
      </c>
      <c r="B290" s="119" t="s">
        <v>1354</v>
      </c>
      <c r="C290" s="119" t="s">
        <v>1039</v>
      </c>
      <c r="D290" s="119" t="s">
        <v>1278</v>
      </c>
      <c r="E290" s="471">
        <f>'d3'!E290-'d3-П'!E289</f>
        <v>0</v>
      </c>
      <c r="F290" s="471">
        <f>'d3'!F290-'d3-П'!F289</f>
        <v>0</v>
      </c>
      <c r="G290" s="471">
        <f>'d3'!G290-'d3-П'!G289</f>
        <v>0</v>
      </c>
      <c r="H290" s="471">
        <f>'d3'!H290-'d3-П'!H289</f>
        <v>0</v>
      </c>
      <c r="I290" s="471">
        <f>'d3'!I290-'d3-П'!I289</f>
        <v>0</v>
      </c>
      <c r="J290" s="471">
        <f>'d3'!J290-'d3-П'!J289</f>
        <v>0</v>
      </c>
      <c r="K290" s="471">
        <f>'d3'!K290-'d3-П'!K289</f>
        <v>0</v>
      </c>
      <c r="L290" s="471">
        <f>'d3'!L290-'d3-П'!L289</f>
        <v>0</v>
      </c>
      <c r="M290" s="471">
        <f>'d3'!M290-'d3-П'!M289</f>
        <v>0</v>
      </c>
      <c r="N290" s="471">
        <f>'d3'!N290-'d3-П'!N289</f>
        <v>0</v>
      </c>
      <c r="O290" s="471">
        <f>'d3'!O290-'d3-П'!O289</f>
        <v>0</v>
      </c>
      <c r="P290" s="471">
        <f>'d3'!P290-'d3-П'!P289</f>
        <v>0</v>
      </c>
      <c r="Q290" s="18"/>
      <c r="R290" s="48"/>
    </row>
    <row r="291" spans="1:18" ht="122.25" customHeight="1" thickTop="1" thickBot="1" x14ac:dyDescent="0.25">
      <c r="A291" s="483" t="s">
        <v>756</v>
      </c>
      <c r="B291" s="483" t="s">
        <v>713</v>
      </c>
      <c r="C291" s="483"/>
      <c r="D291" s="483" t="s">
        <v>757</v>
      </c>
      <c r="E291" s="471">
        <f>'d3'!E291-'d3-П'!E290</f>
        <v>495247.91999999993</v>
      </c>
      <c r="F291" s="471">
        <f>'d3'!F291-'d3-П'!F290</f>
        <v>495247.91999999993</v>
      </c>
      <c r="G291" s="471">
        <f>'d3'!G291-'d3-П'!G290</f>
        <v>0</v>
      </c>
      <c r="H291" s="471">
        <f>'d3'!H291-'d3-П'!H290</f>
        <v>0</v>
      </c>
      <c r="I291" s="471">
        <f>'d3'!I291-'d3-П'!I290</f>
        <v>0</v>
      </c>
      <c r="J291" s="471">
        <f>'d3'!J291-'d3-П'!J290</f>
        <v>0</v>
      </c>
      <c r="K291" s="471">
        <f>'d3'!K291-'d3-П'!K290</f>
        <v>0</v>
      </c>
      <c r="L291" s="471">
        <f>'d3'!L291-'d3-П'!L290</f>
        <v>0</v>
      </c>
      <c r="M291" s="471">
        <f>'d3'!M291-'d3-П'!M290</f>
        <v>0</v>
      </c>
      <c r="N291" s="471">
        <f>'d3'!N291-'d3-П'!N290</f>
        <v>0</v>
      </c>
      <c r="O291" s="471">
        <f>'d3'!O291-'d3-П'!O290</f>
        <v>0</v>
      </c>
      <c r="P291" s="471">
        <f>'d3'!P291-'d3-П'!P290</f>
        <v>495247.91999999993</v>
      </c>
      <c r="Q291" s="18"/>
      <c r="R291" s="48"/>
    </row>
    <row r="292" spans="1:18" ht="102.75" hidden="1" customHeight="1" thickTop="1" thickBot="1" x14ac:dyDescent="0.25">
      <c r="A292" s="127" t="s">
        <v>1432</v>
      </c>
      <c r="B292" s="127" t="s">
        <v>800</v>
      </c>
      <c r="C292" s="127"/>
      <c r="D292" s="127" t="s">
        <v>801</v>
      </c>
      <c r="E292" s="471">
        <f>'d3'!E292-'d3-П'!E291</f>
        <v>0</v>
      </c>
      <c r="F292" s="471">
        <f>'d3'!F292-'d3-П'!F291</f>
        <v>0</v>
      </c>
      <c r="G292" s="471">
        <f>'d3'!G292-'d3-П'!G291</f>
        <v>0</v>
      </c>
      <c r="H292" s="471">
        <f>'d3'!H292-'d3-П'!H291</f>
        <v>0</v>
      </c>
      <c r="I292" s="471">
        <f>'d3'!I292-'d3-П'!I291</f>
        <v>0</v>
      </c>
      <c r="J292" s="471">
        <f>'d3'!J292-'d3-П'!J291</f>
        <v>0</v>
      </c>
      <c r="K292" s="471">
        <f>'d3'!K292-'d3-П'!K291</f>
        <v>0</v>
      </c>
      <c r="L292" s="471">
        <f>'d3'!L292-'d3-П'!L291</f>
        <v>0</v>
      </c>
      <c r="M292" s="471">
        <f>'d3'!M292-'d3-П'!M291</f>
        <v>0</v>
      </c>
      <c r="N292" s="471">
        <f>'d3'!N292-'d3-П'!N291</f>
        <v>0</v>
      </c>
      <c r="O292" s="471">
        <f>'d3'!O292-'d3-П'!O291</f>
        <v>0</v>
      </c>
      <c r="P292" s="471">
        <f>'d3'!P292-'d3-П'!P291</f>
        <v>0</v>
      </c>
      <c r="Q292" s="18"/>
      <c r="R292" s="48"/>
    </row>
    <row r="293" spans="1:18" ht="47.25" hidden="1" thickTop="1" thickBot="1" x14ac:dyDescent="0.25">
      <c r="A293" s="119" t="s">
        <v>1433</v>
      </c>
      <c r="B293" s="119" t="s">
        <v>301</v>
      </c>
      <c r="C293" s="119" t="s">
        <v>302</v>
      </c>
      <c r="D293" s="119" t="s">
        <v>448</v>
      </c>
      <c r="E293" s="471">
        <f>'d3'!E293-'d3-П'!E292</f>
        <v>0</v>
      </c>
      <c r="F293" s="471">
        <f>'d3'!F293-'d3-П'!F292</f>
        <v>0</v>
      </c>
      <c r="G293" s="471">
        <f>'d3'!G293-'d3-П'!G292</f>
        <v>0</v>
      </c>
      <c r="H293" s="471">
        <f>'d3'!H293-'d3-П'!H292</f>
        <v>0</v>
      </c>
      <c r="I293" s="471">
        <f>'d3'!I293-'d3-П'!I292</f>
        <v>0</v>
      </c>
      <c r="J293" s="471">
        <f>'d3'!J293-'d3-П'!J292</f>
        <v>0</v>
      </c>
      <c r="K293" s="471">
        <f>'d3'!K293-'d3-П'!K292</f>
        <v>0</v>
      </c>
      <c r="L293" s="471">
        <f>'d3'!L293-'d3-П'!L292</f>
        <v>0</v>
      </c>
      <c r="M293" s="471">
        <f>'d3'!M293-'d3-П'!M292</f>
        <v>0</v>
      </c>
      <c r="N293" s="471">
        <f>'d3'!N293-'d3-П'!N292</f>
        <v>0</v>
      </c>
      <c r="O293" s="471">
        <f>'d3'!O293-'d3-П'!O292</f>
        <v>0</v>
      </c>
      <c r="P293" s="471">
        <f>'d3'!P293-'d3-П'!P292</f>
        <v>0</v>
      </c>
      <c r="Q293" s="18"/>
      <c r="R293" s="48"/>
    </row>
    <row r="294" spans="1:18" ht="96" customHeight="1" thickTop="1" thickBot="1" x14ac:dyDescent="0.25">
      <c r="A294" s="496" t="s">
        <v>758</v>
      </c>
      <c r="B294" s="496" t="s">
        <v>659</v>
      </c>
      <c r="C294" s="496"/>
      <c r="D294" s="496" t="s">
        <v>657</v>
      </c>
      <c r="E294" s="471">
        <f>'d3'!E294-'d3-П'!E293</f>
        <v>495247.91999999993</v>
      </c>
      <c r="F294" s="471">
        <f>'d3'!F294-'d3-П'!F293</f>
        <v>495247.91999999993</v>
      </c>
      <c r="G294" s="471">
        <f>'d3'!G294-'d3-П'!G293</f>
        <v>0</v>
      </c>
      <c r="H294" s="471">
        <f>'d3'!H294-'d3-П'!H293</f>
        <v>0</v>
      </c>
      <c r="I294" s="471">
        <f>'d3'!I294-'d3-П'!I293</f>
        <v>0</v>
      </c>
      <c r="J294" s="471">
        <f>'d3'!J294-'d3-П'!J293</f>
        <v>0</v>
      </c>
      <c r="K294" s="471">
        <f>'d3'!K294-'d3-П'!K293</f>
        <v>0</v>
      </c>
      <c r="L294" s="471">
        <f>'d3'!L294-'d3-П'!L293</f>
        <v>0</v>
      </c>
      <c r="M294" s="471">
        <f>'d3'!M294-'d3-П'!M293</f>
        <v>0</v>
      </c>
      <c r="N294" s="471">
        <f>'d3'!N294-'d3-П'!N293</f>
        <v>0</v>
      </c>
      <c r="O294" s="471">
        <f>'d3'!O294-'d3-П'!O293</f>
        <v>0</v>
      </c>
      <c r="P294" s="471">
        <f>'d3'!P294-'d3-П'!P293</f>
        <v>495247.91999999993</v>
      </c>
      <c r="Q294" s="18"/>
      <c r="R294" s="48"/>
    </row>
    <row r="295" spans="1:18" ht="116.25" customHeight="1" thickTop="1" thickBot="1" x14ac:dyDescent="0.25">
      <c r="A295" s="469" t="s">
        <v>290</v>
      </c>
      <c r="B295" s="469" t="s">
        <v>207</v>
      </c>
      <c r="C295" s="469" t="s">
        <v>208</v>
      </c>
      <c r="D295" s="469" t="s">
        <v>40</v>
      </c>
      <c r="E295" s="471">
        <f>'d3'!E295-'d3-П'!E294</f>
        <v>495247.91999999993</v>
      </c>
      <c r="F295" s="471">
        <f>'d3'!F295-'d3-П'!F294</f>
        <v>495247.91999999993</v>
      </c>
      <c r="G295" s="471">
        <f>'d3'!G295-'d3-П'!G294</f>
        <v>0</v>
      </c>
      <c r="H295" s="471">
        <f>'d3'!H295-'d3-П'!H294</f>
        <v>0</v>
      </c>
      <c r="I295" s="471">
        <f>'d3'!I295-'d3-П'!I294</f>
        <v>0</v>
      </c>
      <c r="J295" s="471">
        <f>'d3'!J295-'d3-П'!J294</f>
        <v>0</v>
      </c>
      <c r="K295" s="471">
        <f>'d3'!K295-'d3-П'!K294</f>
        <v>0</v>
      </c>
      <c r="L295" s="471">
        <f>'d3'!L295-'d3-П'!L294</f>
        <v>0</v>
      </c>
      <c r="M295" s="471">
        <f>'d3'!M295-'d3-П'!M294</f>
        <v>0</v>
      </c>
      <c r="N295" s="471">
        <f>'d3'!N295-'d3-П'!N294</f>
        <v>0</v>
      </c>
      <c r="O295" s="471">
        <f>'d3'!O295-'d3-П'!O294</f>
        <v>0</v>
      </c>
      <c r="P295" s="471">
        <f>'d3'!P295-'d3-П'!P294</f>
        <v>495247.91999999993</v>
      </c>
      <c r="Q295" s="18"/>
      <c r="R295" s="52"/>
    </row>
    <row r="296" spans="1:18" ht="48" hidden="1" thickTop="1" thickBot="1" x14ac:dyDescent="0.25">
      <c r="A296" s="119" t="s">
        <v>874</v>
      </c>
      <c r="B296" s="119" t="s">
        <v>192</v>
      </c>
      <c r="C296" s="119" t="s">
        <v>165</v>
      </c>
      <c r="D296" s="119" t="s">
        <v>33</v>
      </c>
      <c r="E296" s="351"/>
      <c r="F296" s="352"/>
      <c r="G296" s="352"/>
      <c r="H296" s="352"/>
      <c r="I296" s="352"/>
      <c r="J296" s="335"/>
      <c r="K296" s="336"/>
      <c r="L296" s="352"/>
      <c r="M296" s="352"/>
      <c r="N296" s="352"/>
      <c r="O296" s="337"/>
      <c r="P296" s="335"/>
      <c r="Q296" s="18"/>
      <c r="R296" s="52"/>
    </row>
    <row r="297" spans="1:18" ht="93.75" customHeight="1" thickTop="1" thickBot="1" x14ac:dyDescent="0.25">
      <c r="A297" s="481" t="s">
        <v>759</v>
      </c>
      <c r="B297" s="481" t="s">
        <v>662</v>
      </c>
      <c r="C297" s="481"/>
      <c r="D297" s="481" t="s">
        <v>660</v>
      </c>
      <c r="E297" s="471">
        <f>'d3'!E297-'d3-П'!E296</f>
        <v>0</v>
      </c>
      <c r="F297" s="471">
        <f>'d3'!F297-'d3-П'!F296</f>
        <v>0</v>
      </c>
      <c r="G297" s="471">
        <f>'d3'!G297-'d3-П'!G296</f>
        <v>0</v>
      </c>
      <c r="H297" s="471">
        <f>'d3'!H297-'d3-П'!H296</f>
        <v>0</v>
      </c>
      <c r="I297" s="471">
        <f>'d3'!I297-'d3-П'!I296</f>
        <v>0</v>
      </c>
      <c r="J297" s="471">
        <f>'d3'!J297-'d3-П'!J296</f>
        <v>0</v>
      </c>
      <c r="K297" s="471">
        <f>'d3'!K297-'d3-П'!K296</f>
        <v>0</v>
      </c>
      <c r="L297" s="471">
        <f>'d3'!L297-'d3-П'!L296</f>
        <v>0</v>
      </c>
      <c r="M297" s="471">
        <f>'d3'!M297-'d3-П'!M296</f>
        <v>0</v>
      </c>
      <c r="N297" s="471">
        <f>'d3'!N297-'d3-П'!N296</f>
        <v>0</v>
      </c>
      <c r="O297" s="471">
        <f>'d3'!O297-'d3-П'!O296</f>
        <v>0</v>
      </c>
      <c r="P297" s="471">
        <f>'d3'!P297-'d3-П'!P296</f>
        <v>0</v>
      </c>
      <c r="Q297" s="18"/>
      <c r="R297" s="48"/>
    </row>
    <row r="298" spans="1:18" ht="321.75" customHeight="1" thickTop="1" thickBot="1" x14ac:dyDescent="0.25">
      <c r="A298" s="469" t="s">
        <v>413</v>
      </c>
      <c r="B298" s="469" t="s">
        <v>329</v>
      </c>
      <c r="C298" s="469" t="s">
        <v>165</v>
      </c>
      <c r="D298" s="698" t="s">
        <v>1456</v>
      </c>
      <c r="E298" s="471">
        <f>'d3'!E298-'d3-П'!E297</f>
        <v>0</v>
      </c>
      <c r="F298" s="471">
        <f>'d3'!F298-'d3-П'!F297</f>
        <v>0</v>
      </c>
      <c r="G298" s="471">
        <f>'d3'!G298-'d3-П'!G297</f>
        <v>0</v>
      </c>
      <c r="H298" s="471">
        <f>'d3'!H298-'d3-П'!H297</f>
        <v>0</v>
      </c>
      <c r="I298" s="471">
        <f>'d3'!I298-'d3-П'!I297</f>
        <v>0</v>
      </c>
      <c r="J298" s="471">
        <f>'d3'!J298-'d3-П'!J297</f>
        <v>0</v>
      </c>
      <c r="K298" s="471">
        <f>'d3'!K298-'d3-П'!K297</f>
        <v>0</v>
      </c>
      <c r="L298" s="471">
        <f>'d3'!L298-'d3-П'!L297</f>
        <v>0</v>
      </c>
      <c r="M298" s="471">
        <f>'d3'!M298-'d3-П'!M297</f>
        <v>0</v>
      </c>
      <c r="N298" s="471">
        <f>'d3'!N298-'d3-П'!N297</f>
        <v>0</v>
      </c>
      <c r="O298" s="471">
        <f>'d3'!O298-'d3-П'!O297</f>
        <v>0</v>
      </c>
      <c r="P298" s="471">
        <f>'d3'!P298-'d3-П'!P297</f>
        <v>0</v>
      </c>
      <c r="Q298" s="18"/>
      <c r="R298" s="48"/>
    </row>
    <row r="299" spans="1:18" ht="104.25" customHeight="1" thickTop="1" thickBot="1" x14ac:dyDescent="0.25">
      <c r="A299" s="483" t="s">
        <v>1108</v>
      </c>
      <c r="B299" s="483" t="s">
        <v>664</v>
      </c>
      <c r="C299" s="483"/>
      <c r="D299" s="483" t="s">
        <v>665</v>
      </c>
      <c r="E299" s="471">
        <f>'d3'!E299-'d3-П'!E298</f>
        <v>5000000</v>
      </c>
      <c r="F299" s="471">
        <f>'d3'!F299-'d3-П'!F298</f>
        <v>0</v>
      </c>
      <c r="G299" s="471">
        <f>'d3'!G299-'d3-П'!G298</f>
        <v>0</v>
      </c>
      <c r="H299" s="471">
        <f>'d3'!H299-'d3-П'!H298</f>
        <v>0</v>
      </c>
      <c r="I299" s="471">
        <f>'d3'!I299-'d3-П'!I298</f>
        <v>5000000</v>
      </c>
      <c r="J299" s="471">
        <f>'d3'!J299-'d3-П'!J298</f>
        <v>0</v>
      </c>
      <c r="K299" s="471">
        <f>'d3'!K299-'d3-П'!K298</f>
        <v>0</v>
      </c>
      <c r="L299" s="471">
        <f>'d3'!L299-'d3-П'!L298</f>
        <v>0</v>
      </c>
      <c r="M299" s="471">
        <f>'d3'!M299-'d3-П'!M298</f>
        <v>0</v>
      </c>
      <c r="N299" s="471">
        <f>'d3'!N299-'d3-П'!N298</f>
        <v>0</v>
      </c>
      <c r="O299" s="471">
        <f>'d3'!O299-'d3-П'!O298</f>
        <v>0</v>
      </c>
      <c r="P299" s="471">
        <f>'d3'!P299-'d3-П'!P298</f>
        <v>5000000</v>
      </c>
      <c r="Q299" s="18"/>
      <c r="R299" s="48"/>
    </row>
    <row r="300" spans="1:18" ht="101.25" customHeight="1" thickTop="1" thickBot="1" x14ac:dyDescent="0.25">
      <c r="A300" s="496" t="s">
        <v>1280</v>
      </c>
      <c r="B300" s="496" t="s">
        <v>774</v>
      </c>
      <c r="C300" s="496"/>
      <c r="D300" s="497" t="s">
        <v>1140</v>
      </c>
      <c r="E300" s="471">
        <f>'d3'!E300-'d3-П'!E299</f>
        <v>5000000</v>
      </c>
      <c r="F300" s="471">
        <f>'d3'!F300-'d3-П'!F299</f>
        <v>0</v>
      </c>
      <c r="G300" s="471">
        <f>'d3'!G300-'d3-П'!G299</f>
        <v>0</v>
      </c>
      <c r="H300" s="471">
        <f>'d3'!H300-'d3-П'!H299</f>
        <v>0</v>
      </c>
      <c r="I300" s="471">
        <f>'d3'!I300-'d3-П'!I299</f>
        <v>5000000</v>
      </c>
      <c r="J300" s="471">
        <f>'d3'!J300-'d3-П'!J299</f>
        <v>0</v>
      </c>
      <c r="K300" s="471">
        <f>'d3'!K300-'d3-П'!K299</f>
        <v>0</v>
      </c>
      <c r="L300" s="471">
        <f>'d3'!L300-'d3-П'!L299</f>
        <v>0</v>
      </c>
      <c r="M300" s="471">
        <f>'d3'!M300-'d3-П'!M299</f>
        <v>0</v>
      </c>
      <c r="N300" s="471">
        <f>'d3'!N300-'d3-П'!N299</f>
        <v>0</v>
      </c>
      <c r="O300" s="471">
        <f>'d3'!O300-'d3-П'!O299</f>
        <v>0</v>
      </c>
      <c r="P300" s="471">
        <f>'d3'!P300-'d3-П'!P299</f>
        <v>5000000</v>
      </c>
      <c r="Q300" s="18"/>
      <c r="R300" s="48"/>
    </row>
    <row r="301" spans="1:18" ht="125.25" customHeight="1" thickTop="1" thickBot="1" x14ac:dyDescent="0.25">
      <c r="A301" s="469" t="s">
        <v>1281</v>
      </c>
      <c r="B301" s="469" t="s">
        <v>499</v>
      </c>
      <c r="C301" s="469" t="s">
        <v>245</v>
      </c>
      <c r="D301" s="469" t="s">
        <v>500</v>
      </c>
      <c r="E301" s="471">
        <f>'d3'!E301-'d3-П'!E300</f>
        <v>5000000</v>
      </c>
      <c r="F301" s="471">
        <f>'d3'!F301-'d3-П'!F300</f>
        <v>0</v>
      </c>
      <c r="G301" s="471">
        <f>'d3'!G301-'d3-П'!G300</f>
        <v>0</v>
      </c>
      <c r="H301" s="471">
        <f>'d3'!H301-'d3-П'!H300</f>
        <v>0</v>
      </c>
      <c r="I301" s="471">
        <f>'d3'!I301-'d3-П'!I300</f>
        <v>5000000</v>
      </c>
      <c r="J301" s="471">
        <f>'d3'!J301-'d3-П'!J300</f>
        <v>0</v>
      </c>
      <c r="K301" s="471">
        <f>'d3'!K301-'d3-П'!K300</f>
        <v>0</v>
      </c>
      <c r="L301" s="471">
        <f>'d3'!L301-'d3-П'!L300</f>
        <v>0</v>
      </c>
      <c r="M301" s="471">
        <f>'d3'!M301-'d3-П'!M300</f>
        <v>0</v>
      </c>
      <c r="N301" s="471">
        <f>'d3'!N301-'d3-П'!N300</f>
        <v>0</v>
      </c>
      <c r="O301" s="471">
        <f>'d3'!O301-'d3-П'!O300</f>
        <v>0</v>
      </c>
      <c r="P301" s="471">
        <f>'d3'!P301-'d3-П'!P300</f>
        <v>5000000</v>
      </c>
      <c r="Q301" s="18"/>
      <c r="R301" s="48"/>
    </row>
    <row r="302" spans="1:18" ht="47.25" hidden="1" thickTop="1" thickBot="1" x14ac:dyDescent="0.25">
      <c r="A302" s="127" t="s">
        <v>1109</v>
      </c>
      <c r="B302" s="127" t="s">
        <v>1066</v>
      </c>
      <c r="C302" s="127"/>
      <c r="D302" s="127" t="s">
        <v>1064</v>
      </c>
      <c r="E302" s="128">
        <f t="shared" ref="E302:P302" si="44">SUM(E303:E303)</f>
        <v>0</v>
      </c>
      <c r="F302" s="128">
        <f t="shared" si="44"/>
        <v>0</v>
      </c>
      <c r="G302" s="128">
        <f t="shared" si="44"/>
        <v>0</v>
      </c>
      <c r="H302" s="128">
        <f t="shared" si="44"/>
        <v>0</v>
      </c>
      <c r="I302" s="128">
        <f t="shared" si="44"/>
        <v>0</v>
      </c>
      <c r="J302" s="128">
        <f t="shared" si="44"/>
        <v>0</v>
      </c>
      <c r="K302" s="128">
        <f t="shared" si="44"/>
        <v>0</v>
      </c>
      <c r="L302" s="128">
        <f t="shared" si="44"/>
        <v>0</v>
      </c>
      <c r="M302" s="128">
        <f t="shared" si="44"/>
        <v>0</v>
      </c>
      <c r="N302" s="128">
        <f t="shared" si="44"/>
        <v>0</v>
      </c>
      <c r="O302" s="128">
        <f t="shared" si="44"/>
        <v>0</v>
      </c>
      <c r="P302" s="128">
        <f t="shared" si="44"/>
        <v>0</v>
      </c>
      <c r="Q302" s="18"/>
      <c r="R302" s="48"/>
    </row>
    <row r="303" spans="1:18" ht="48" hidden="1" thickTop="1" thickBot="1" x14ac:dyDescent="0.25">
      <c r="A303" s="119" t="s">
        <v>1110</v>
      </c>
      <c r="B303" s="119" t="s">
        <v>1093</v>
      </c>
      <c r="C303" s="119" t="s">
        <v>1068</v>
      </c>
      <c r="D303" s="119" t="s">
        <v>1094</v>
      </c>
      <c r="E303" s="118">
        <f>F303</f>
        <v>0</v>
      </c>
      <c r="F303" s="125"/>
      <c r="G303" s="125"/>
      <c r="H303" s="125"/>
      <c r="I303" s="125"/>
      <c r="J303" s="118">
        <f>L303+O303</f>
        <v>0</v>
      </c>
      <c r="K303" s="125"/>
      <c r="L303" s="125"/>
      <c r="M303" s="125"/>
      <c r="N303" s="125"/>
      <c r="O303" s="123">
        <f>K303</f>
        <v>0</v>
      </c>
      <c r="P303" s="118">
        <f>E303+J303</f>
        <v>0</v>
      </c>
      <c r="Q303" s="18"/>
      <c r="R303" s="48"/>
    </row>
    <row r="304" spans="1:18" ht="120" customHeight="1" thickTop="1" thickBot="1" x14ac:dyDescent="0.25">
      <c r="A304" s="514" t="s">
        <v>518</v>
      </c>
      <c r="B304" s="514"/>
      <c r="C304" s="514"/>
      <c r="D304" s="515" t="s">
        <v>535</v>
      </c>
      <c r="E304" s="516">
        <f>E305</f>
        <v>17338443.620000005</v>
      </c>
      <c r="F304" s="517">
        <f t="shared" ref="F304:G304" si="45">F305</f>
        <v>15716305.620000005</v>
      </c>
      <c r="G304" s="517">
        <f t="shared" si="45"/>
        <v>0</v>
      </c>
      <c r="H304" s="517">
        <f>H305</f>
        <v>2491</v>
      </c>
      <c r="I304" s="517">
        <f t="shared" ref="I304" si="46">I305</f>
        <v>1622138</v>
      </c>
      <c r="J304" s="516">
        <f>J305</f>
        <v>17223971.710000001</v>
      </c>
      <c r="K304" s="517">
        <f>K305</f>
        <v>13526728</v>
      </c>
      <c r="L304" s="517">
        <f>L305</f>
        <v>1939728.71</v>
      </c>
      <c r="M304" s="517">
        <f t="shared" ref="M304" si="47">M305</f>
        <v>0</v>
      </c>
      <c r="N304" s="517">
        <f>N305</f>
        <v>0</v>
      </c>
      <c r="O304" s="516">
        <f>O305</f>
        <v>15284243</v>
      </c>
      <c r="P304" s="517">
        <f>P305</f>
        <v>34562415.330000006</v>
      </c>
      <c r="Q304" s="18"/>
      <c r="R304" s="48"/>
    </row>
    <row r="305" spans="1:18" ht="120" customHeight="1" thickTop="1" thickBot="1" x14ac:dyDescent="0.25">
      <c r="A305" s="511" t="s">
        <v>519</v>
      </c>
      <c r="B305" s="511"/>
      <c r="C305" s="511"/>
      <c r="D305" s="512" t="s">
        <v>536</v>
      </c>
      <c r="E305" s="513">
        <f>E306+E310+E319+E330+E335</f>
        <v>17338443.620000005</v>
      </c>
      <c r="F305" s="513">
        <f>F306+F310+F319+F330+F335</f>
        <v>15716305.620000005</v>
      </c>
      <c r="G305" s="513">
        <f>G306+G310+G319+G330+G335</f>
        <v>0</v>
      </c>
      <c r="H305" s="513">
        <f>H306+H310+H319+H330+H335</f>
        <v>2491</v>
      </c>
      <c r="I305" s="513">
        <f>I306+I310+I319+I330+I335</f>
        <v>1622138</v>
      </c>
      <c r="J305" s="513">
        <f t="shared" ref="J305" si="48">L305+O305</f>
        <v>17223971.710000001</v>
      </c>
      <c r="K305" s="513">
        <f>K306+K310+K319+K330+K335</f>
        <v>13526728</v>
      </c>
      <c r="L305" s="513">
        <f>L306+L310+L319+L330+L335</f>
        <v>1939728.71</v>
      </c>
      <c r="M305" s="513">
        <f>M306+M310+M319+M330+M335</f>
        <v>0</v>
      </c>
      <c r="N305" s="513">
        <f>N306+N310+N319+N330+N335</f>
        <v>0</v>
      </c>
      <c r="O305" s="513">
        <f>O306+O310+O319+O330+O335</f>
        <v>15284243</v>
      </c>
      <c r="P305" s="513">
        <f>E305+J305</f>
        <v>34562415.330000006</v>
      </c>
      <c r="Q305" s="546" t="b">
        <f>P305=P307+P309+P312+P313+P315+P316+P317+P318+P323+P326+P332+P333+P337+P308+P328</f>
        <v>0</v>
      </c>
      <c r="R305" s="43"/>
    </row>
    <row r="306" spans="1:18" ht="113.25" customHeight="1" thickTop="1" thickBot="1" x14ac:dyDescent="0.25">
      <c r="A306" s="239" t="s">
        <v>761</v>
      </c>
      <c r="B306" s="239" t="s">
        <v>652</v>
      </c>
      <c r="C306" s="239"/>
      <c r="D306" s="239" t="s">
        <v>653</v>
      </c>
      <c r="E306" s="471">
        <f>'d3'!E306-'d3-П'!E305</f>
        <v>185891</v>
      </c>
      <c r="F306" s="471">
        <f>'d3'!F306-'d3-П'!F305</f>
        <v>95891</v>
      </c>
      <c r="G306" s="471">
        <f>'d3'!G306-'d3-П'!G305</f>
        <v>0</v>
      </c>
      <c r="H306" s="471">
        <f>'d3'!H306-'d3-П'!H305</f>
        <v>2491</v>
      </c>
      <c r="I306" s="471">
        <f>'d3'!I306-'d3-П'!I305</f>
        <v>90000</v>
      </c>
      <c r="J306" s="471">
        <f>'d3'!J306-'d3-П'!J305</f>
        <v>0</v>
      </c>
      <c r="K306" s="471">
        <f>'d3'!K306-'d3-П'!K305</f>
        <v>0</v>
      </c>
      <c r="L306" s="471">
        <f>'d3'!L306-'d3-П'!L305</f>
        <v>0</v>
      </c>
      <c r="M306" s="471">
        <f>'d3'!M306-'d3-П'!M305</f>
        <v>0</v>
      </c>
      <c r="N306" s="471">
        <f>'d3'!N306-'d3-П'!N305</f>
        <v>0</v>
      </c>
      <c r="O306" s="471">
        <f>'d3'!O306-'d3-П'!O305</f>
        <v>0</v>
      </c>
      <c r="P306" s="471">
        <f>'d3'!P306-'d3-П'!P305</f>
        <v>185891</v>
      </c>
      <c r="Q306" s="45"/>
      <c r="R306" s="43"/>
    </row>
    <row r="307" spans="1:18" ht="168" customHeight="1" thickTop="1" thickBot="1" x14ac:dyDescent="0.25">
      <c r="A307" s="94" t="s">
        <v>520</v>
      </c>
      <c r="B307" s="94" t="s">
        <v>231</v>
      </c>
      <c r="C307" s="94" t="s">
        <v>229</v>
      </c>
      <c r="D307" s="94" t="s">
        <v>1515</v>
      </c>
      <c r="E307" s="471">
        <f>'d3'!E307-'d3-П'!E306</f>
        <v>175891</v>
      </c>
      <c r="F307" s="471">
        <f>'d3'!F307-'d3-П'!F306</f>
        <v>85891</v>
      </c>
      <c r="G307" s="471">
        <f>'d3'!G307-'d3-П'!G306</f>
        <v>0</v>
      </c>
      <c r="H307" s="471">
        <f>'d3'!H307-'d3-П'!H306</f>
        <v>2491</v>
      </c>
      <c r="I307" s="471">
        <f>'d3'!I307-'d3-П'!I306</f>
        <v>90000</v>
      </c>
      <c r="J307" s="471">
        <f>'d3'!J307-'d3-П'!J306</f>
        <v>0</v>
      </c>
      <c r="K307" s="471">
        <f>'d3'!K307-'d3-П'!K306</f>
        <v>0</v>
      </c>
      <c r="L307" s="471">
        <f>'d3'!L307-'d3-П'!L306</f>
        <v>0</v>
      </c>
      <c r="M307" s="471">
        <f>'d3'!M307-'d3-П'!M306</f>
        <v>0</v>
      </c>
      <c r="N307" s="471">
        <f>'d3'!N307-'d3-П'!N306</f>
        <v>0</v>
      </c>
      <c r="O307" s="471">
        <f>'d3'!O307-'d3-П'!O306</f>
        <v>0</v>
      </c>
      <c r="P307" s="471">
        <f>'d3'!P307-'d3-П'!P306</f>
        <v>175891</v>
      </c>
      <c r="Q307" s="18"/>
      <c r="R307" s="43"/>
    </row>
    <row r="308" spans="1:18" ht="165" customHeight="1" thickTop="1" thickBot="1" x14ac:dyDescent="0.25">
      <c r="A308" s="713" t="s">
        <v>602</v>
      </c>
      <c r="B308" s="713" t="s">
        <v>352</v>
      </c>
      <c r="C308" s="713" t="s">
        <v>598</v>
      </c>
      <c r="D308" s="713" t="s">
        <v>599</v>
      </c>
      <c r="E308" s="471">
        <f>'d3'!E308-0</f>
        <v>10000</v>
      </c>
      <c r="F308" s="471">
        <f>'d3'!F308-0</f>
        <v>10000</v>
      </c>
      <c r="G308" s="471">
        <f>'d3'!G308-0</f>
        <v>0</v>
      </c>
      <c r="H308" s="471">
        <f>'d3'!H308-0</f>
        <v>0</v>
      </c>
      <c r="I308" s="471">
        <f>'d3'!I308-0</f>
        <v>0</v>
      </c>
      <c r="J308" s="471">
        <f>'d3'!J308-0</f>
        <v>0</v>
      </c>
      <c r="K308" s="471">
        <f>'d3'!K308-0</f>
        <v>0</v>
      </c>
      <c r="L308" s="471">
        <f>'d3'!L308-0</f>
        <v>0</v>
      </c>
      <c r="M308" s="471">
        <f>'d3'!M308-0</f>
        <v>0</v>
      </c>
      <c r="N308" s="471">
        <f>'d3'!N308-0</f>
        <v>0</v>
      </c>
      <c r="O308" s="471">
        <f>'d3'!O308-0</f>
        <v>0</v>
      </c>
      <c r="P308" s="471">
        <f>'d3'!P308-0</f>
        <v>10000</v>
      </c>
      <c r="Q308" s="18"/>
      <c r="R308" s="43"/>
    </row>
    <row r="309" spans="1:18" ht="108" customHeight="1" thickTop="1" thickBot="1" x14ac:dyDescent="0.25">
      <c r="A309" s="94" t="s">
        <v>521</v>
      </c>
      <c r="B309" s="94" t="s">
        <v>42</v>
      </c>
      <c r="C309" s="94" t="s">
        <v>41</v>
      </c>
      <c r="D309" s="94" t="s">
        <v>242</v>
      </c>
      <c r="E309" s="471">
        <f>'d3'!E309-'d3-П'!E308</f>
        <v>0</v>
      </c>
      <c r="F309" s="471">
        <f>'d3'!F309-'d3-П'!F308</f>
        <v>0</v>
      </c>
      <c r="G309" s="471">
        <f>'d3'!G309-'d3-П'!G308</f>
        <v>0</v>
      </c>
      <c r="H309" s="471">
        <f>'d3'!H309-'d3-П'!H308</f>
        <v>0</v>
      </c>
      <c r="I309" s="471">
        <f>'d3'!I309-'d3-П'!I308</f>
        <v>0</v>
      </c>
      <c r="J309" s="471">
        <f>'d3'!J309-'d3-П'!J308</f>
        <v>0</v>
      </c>
      <c r="K309" s="471">
        <f>'d3'!K309-'d3-П'!K308</f>
        <v>0</v>
      </c>
      <c r="L309" s="471">
        <f>'d3'!L309-'d3-П'!L308</f>
        <v>0</v>
      </c>
      <c r="M309" s="471">
        <f>'d3'!M309-'d3-П'!M308</f>
        <v>0</v>
      </c>
      <c r="N309" s="471">
        <f>'d3'!N309-'d3-П'!N308</f>
        <v>0</v>
      </c>
      <c r="O309" s="471">
        <f>'d3'!O309-'d3-П'!O308</f>
        <v>0</v>
      </c>
      <c r="P309" s="471">
        <f>'d3'!P309-'d3-П'!P308</f>
        <v>0</v>
      </c>
      <c r="Q309" s="18"/>
      <c r="R309" s="48"/>
    </row>
    <row r="310" spans="1:18" ht="113.25" customHeight="1" thickTop="1" thickBot="1" x14ac:dyDescent="0.25">
      <c r="A310" s="239" t="s">
        <v>762</v>
      </c>
      <c r="B310" s="239" t="s">
        <v>707</v>
      </c>
      <c r="C310" s="239"/>
      <c r="D310" s="542" t="s">
        <v>708</v>
      </c>
      <c r="E310" s="471">
        <f>'d3'!E310-'d3-П'!E309</f>
        <v>14028552.620000005</v>
      </c>
      <c r="F310" s="471">
        <f>'d3'!F310-'d3-П'!F309</f>
        <v>12620414.620000005</v>
      </c>
      <c r="G310" s="471">
        <f>'d3'!G310-'d3-П'!G309</f>
        <v>0</v>
      </c>
      <c r="H310" s="471">
        <f>'d3'!H310-'d3-П'!H309</f>
        <v>0</v>
      </c>
      <c r="I310" s="471">
        <f>'d3'!I310-'d3-П'!I309</f>
        <v>1408138</v>
      </c>
      <c r="J310" s="471">
        <f>'d3'!J310-'d3-П'!J309</f>
        <v>0</v>
      </c>
      <c r="K310" s="471">
        <f>'d3'!K310-'d3-П'!K309</f>
        <v>0</v>
      </c>
      <c r="L310" s="471">
        <f>'d3'!L310-'d3-П'!L309</f>
        <v>0</v>
      </c>
      <c r="M310" s="471">
        <f>'d3'!M310-'d3-П'!M309</f>
        <v>0</v>
      </c>
      <c r="N310" s="471">
        <f>'d3'!N310-'d3-П'!N309</f>
        <v>0</v>
      </c>
      <c r="O310" s="471">
        <f>'d3'!O310-'d3-П'!O309</f>
        <v>0</v>
      </c>
      <c r="P310" s="471">
        <f>'d3'!P310-'d3-П'!P309</f>
        <v>14028552.620000005</v>
      </c>
      <c r="Q310" s="18"/>
      <c r="R310" s="48"/>
    </row>
    <row r="311" spans="1:18" ht="171" customHeight="1" thickTop="1" thickBot="1" x14ac:dyDescent="0.25">
      <c r="A311" s="518" t="s">
        <v>763</v>
      </c>
      <c r="B311" s="518" t="s">
        <v>755</v>
      </c>
      <c r="C311" s="518"/>
      <c r="D311" s="518" t="s">
        <v>1504</v>
      </c>
      <c r="E311" s="471">
        <f>'d3'!E311-'d3-П'!E310</f>
        <v>15208138</v>
      </c>
      <c r="F311" s="471">
        <f>'d3'!F311-'d3-П'!F310</f>
        <v>15000000</v>
      </c>
      <c r="G311" s="471">
        <f>'d3'!G311-'d3-П'!G310</f>
        <v>0</v>
      </c>
      <c r="H311" s="471">
        <f>'d3'!H311-'d3-П'!H310</f>
        <v>0</v>
      </c>
      <c r="I311" s="471">
        <f>'d3'!I311-'d3-П'!I310</f>
        <v>208138</v>
      </c>
      <c r="J311" s="471">
        <f>'d3'!J311-'d3-П'!J310</f>
        <v>0</v>
      </c>
      <c r="K311" s="471">
        <f>'d3'!K311-'d3-П'!K310</f>
        <v>0</v>
      </c>
      <c r="L311" s="471">
        <f>'d3'!L311-'d3-П'!L310</f>
        <v>0</v>
      </c>
      <c r="M311" s="471">
        <f>'d3'!M311-'d3-П'!M310</f>
        <v>0</v>
      </c>
      <c r="N311" s="471">
        <f>'d3'!N311-'d3-П'!N310</f>
        <v>0</v>
      </c>
      <c r="O311" s="471">
        <f>'d3'!O311-'d3-П'!O310</f>
        <v>0</v>
      </c>
      <c r="P311" s="471">
        <f>'d3'!P311-'d3-П'!P310</f>
        <v>15208138</v>
      </c>
      <c r="Q311" s="18"/>
      <c r="R311" s="48"/>
    </row>
    <row r="312" spans="1:18" ht="162" customHeight="1" thickTop="1" thickBot="1" x14ac:dyDescent="0.25">
      <c r="A312" s="94" t="s">
        <v>522</v>
      </c>
      <c r="B312" s="94" t="s">
        <v>366</v>
      </c>
      <c r="C312" s="94" t="s">
        <v>277</v>
      </c>
      <c r="D312" s="94" t="s">
        <v>367</v>
      </c>
      <c r="E312" s="471">
        <f>'d3'!E312-'d3-П'!E311</f>
        <v>15000000</v>
      </c>
      <c r="F312" s="471">
        <f>'d3'!F312-'d3-П'!F311</f>
        <v>15000000</v>
      </c>
      <c r="G312" s="471">
        <f>'d3'!G312-'d3-П'!G311</f>
        <v>0</v>
      </c>
      <c r="H312" s="471">
        <f>'d3'!H312-'d3-П'!H311</f>
        <v>0</v>
      </c>
      <c r="I312" s="471">
        <f>'d3'!I312-'d3-П'!I311</f>
        <v>0</v>
      </c>
      <c r="J312" s="471">
        <f>'d3'!J312-'d3-П'!J311</f>
        <v>0</v>
      </c>
      <c r="K312" s="471">
        <f>'d3'!K312-'d3-П'!K311</f>
        <v>0</v>
      </c>
      <c r="L312" s="471">
        <f>'d3'!L312-'d3-П'!L311</f>
        <v>0</v>
      </c>
      <c r="M312" s="471">
        <f>'d3'!M312-'d3-П'!M311</f>
        <v>0</v>
      </c>
      <c r="N312" s="471">
        <f>'d3'!N312-'d3-П'!N311</f>
        <v>0</v>
      </c>
      <c r="O312" s="471">
        <f>'d3'!O312-'d3-П'!O311</f>
        <v>0</v>
      </c>
      <c r="P312" s="471">
        <f>'d3'!P312-'d3-П'!P311</f>
        <v>15000000</v>
      </c>
      <c r="Q312" s="18"/>
      <c r="R312" s="48"/>
    </row>
    <row r="313" spans="1:18" ht="123" customHeight="1" thickTop="1" thickBot="1" x14ac:dyDescent="0.25">
      <c r="A313" s="94" t="s">
        <v>523</v>
      </c>
      <c r="B313" s="94" t="s">
        <v>280</v>
      </c>
      <c r="C313" s="94" t="s">
        <v>277</v>
      </c>
      <c r="D313" s="94" t="s">
        <v>281</v>
      </c>
      <c r="E313" s="471">
        <f>'d3'!E313-'d3-П'!E312</f>
        <v>208138</v>
      </c>
      <c r="F313" s="471">
        <f>'d3'!F313-'d3-П'!F312</f>
        <v>0</v>
      </c>
      <c r="G313" s="471">
        <f>'d3'!G313-'d3-П'!G312</f>
        <v>0</v>
      </c>
      <c r="H313" s="471">
        <f>'d3'!H313-'d3-П'!H312</f>
        <v>0</v>
      </c>
      <c r="I313" s="471">
        <f>'d3'!I313-'d3-П'!I312</f>
        <v>208138</v>
      </c>
      <c r="J313" s="471">
        <f>'d3'!J313-'d3-П'!J312</f>
        <v>0</v>
      </c>
      <c r="K313" s="471">
        <f>'d3'!K313-'d3-П'!K312</f>
        <v>0</v>
      </c>
      <c r="L313" s="471">
        <f>'d3'!L313-'d3-П'!L312</f>
        <v>0</v>
      </c>
      <c r="M313" s="471">
        <f>'d3'!M313-'d3-П'!M312</f>
        <v>0</v>
      </c>
      <c r="N313" s="471">
        <f>'d3'!N313-'d3-П'!N312</f>
        <v>0</v>
      </c>
      <c r="O313" s="471">
        <f>'d3'!O313-'d3-П'!O312</f>
        <v>0</v>
      </c>
      <c r="P313" s="471">
        <f>'d3'!P313-'d3-П'!P312</f>
        <v>208138</v>
      </c>
      <c r="Q313" s="18"/>
      <c r="R313" s="48"/>
    </row>
    <row r="314" spans="1:18" ht="93" hidden="1" thickTop="1" thickBot="1" x14ac:dyDescent="0.25">
      <c r="A314" s="119" t="s">
        <v>1220</v>
      </c>
      <c r="B314" s="119" t="s">
        <v>1221</v>
      </c>
      <c r="C314" s="119" t="s">
        <v>277</v>
      </c>
      <c r="D314" s="119" t="s">
        <v>1222</v>
      </c>
      <c r="E314" s="142"/>
      <c r="F314" s="120"/>
      <c r="G314" s="120"/>
      <c r="H314" s="120"/>
      <c r="I314" s="120"/>
      <c r="J314" s="118"/>
      <c r="K314" s="120"/>
      <c r="L314" s="121"/>
      <c r="M314" s="121"/>
      <c r="N314" s="121"/>
      <c r="O314" s="123"/>
      <c r="P314" s="118"/>
      <c r="Q314" s="18"/>
      <c r="R314" s="48"/>
    </row>
    <row r="315" spans="1:18" ht="171" customHeight="1" thickTop="1" thickBot="1" x14ac:dyDescent="0.25">
      <c r="A315" s="94" t="s">
        <v>524</v>
      </c>
      <c r="B315" s="94" t="s">
        <v>291</v>
      </c>
      <c r="C315" s="94" t="s">
        <v>277</v>
      </c>
      <c r="D315" s="94" t="s">
        <v>292</v>
      </c>
      <c r="E315" s="471">
        <f>'d3'!E315-'d3-П'!E314</f>
        <v>-26239042</v>
      </c>
      <c r="F315" s="471">
        <f>'d3'!F315-'d3-П'!F314</f>
        <v>-26239042</v>
      </c>
      <c r="G315" s="471">
        <f>'d3'!G315-'d3-П'!G314</f>
        <v>0</v>
      </c>
      <c r="H315" s="471">
        <f>'d3'!H315-'d3-П'!H314</f>
        <v>0</v>
      </c>
      <c r="I315" s="471">
        <f>'d3'!I315-'d3-П'!I314</f>
        <v>0</v>
      </c>
      <c r="J315" s="471">
        <f>'d3'!J315-'d3-П'!J314</f>
        <v>0</v>
      </c>
      <c r="K315" s="471">
        <f>'d3'!K315-'d3-П'!K314</f>
        <v>0</v>
      </c>
      <c r="L315" s="471">
        <f>'d3'!L315-'d3-П'!L314</f>
        <v>0</v>
      </c>
      <c r="M315" s="471">
        <f>'d3'!M315-'d3-П'!M314</f>
        <v>0</v>
      </c>
      <c r="N315" s="471">
        <f>'d3'!N315-'d3-П'!N314</f>
        <v>0</v>
      </c>
      <c r="O315" s="471">
        <f>'d3'!O315-'d3-П'!O314</f>
        <v>0</v>
      </c>
      <c r="P315" s="471">
        <f>'d3'!P315-'d3-П'!P314</f>
        <v>-26239042</v>
      </c>
      <c r="Q315" s="18"/>
      <c r="R315" s="48"/>
    </row>
    <row r="316" spans="1:18" ht="104.25" customHeight="1" thickTop="1" thickBot="1" x14ac:dyDescent="0.25">
      <c r="A316" s="94" t="s">
        <v>525</v>
      </c>
      <c r="B316" s="94" t="s">
        <v>283</v>
      </c>
      <c r="C316" s="94" t="s">
        <v>277</v>
      </c>
      <c r="D316" s="94" t="s">
        <v>1522</v>
      </c>
      <c r="E316" s="471">
        <f>'d3'!E316-'d3-П'!E315</f>
        <v>25059456.620000005</v>
      </c>
      <c r="F316" s="471">
        <f>'d3'!F316-'d3-П'!F315</f>
        <v>23859456.620000005</v>
      </c>
      <c r="G316" s="471">
        <f>'d3'!G316-'d3-П'!G315</f>
        <v>0</v>
      </c>
      <c r="H316" s="471">
        <f>'d3'!H316-'d3-П'!H315</f>
        <v>0</v>
      </c>
      <c r="I316" s="471">
        <f>'d3'!I316-'d3-П'!I315</f>
        <v>1200000</v>
      </c>
      <c r="J316" s="471">
        <f>'d3'!J316-'d3-П'!J315</f>
        <v>0</v>
      </c>
      <c r="K316" s="471">
        <f>'d3'!K316-'d3-П'!K315</f>
        <v>0</v>
      </c>
      <c r="L316" s="471">
        <f>'d3'!L316-'d3-П'!L315</f>
        <v>0</v>
      </c>
      <c r="M316" s="471">
        <f>'d3'!M316-'d3-П'!M315</f>
        <v>0</v>
      </c>
      <c r="N316" s="471">
        <f>'d3'!N316-'d3-П'!N315</f>
        <v>0</v>
      </c>
      <c r="O316" s="471">
        <f>'d3'!O316-'d3-П'!O315</f>
        <v>0</v>
      </c>
      <c r="P316" s="471">
        <f>'d3'!P316-'d3-П'!P315</f>
        <v>25059456.620000005</v>
      </c>
      <c r="Q316" s="18"/>
      <c r="R316" s="43"/>
    </row>
    <row r="317" spans="1:18" ht="98.25" customHeight="1" thickTop="1" thickBot="1" x14ac:dyDescent="0.25">
      <c r="A317" s="94" t="s">
        <v>1037</v>
      </c>
      <c r="B317" s="94" t="s">
        <v>1038</v>
      </c>
      <c r="C317" s="94" t="s">
        <v>1039</v>
      </c>
      <c r="D317" s="94" t="s">
        <v>1036</v>
      </c>
      <c r="E317" s="471">
        <f>'d3'!E317-'d3-П'!E316</f>
        <v>0</v>
      </c>
      <c r="F317" s="471">
        <f>'d3'!F317-'d3-П'!F316</f>
        <v>0</v>
      </c>
      <c r="G317" s="471">
        <f>'d3'!G317-'d3-П'!G316</f>
        <v>0</v>
      </c>
      <c r="H317" s="471">
        <f>'d3'!H317-'d3-П'!H316</f>
        <v>0</v>
      </c>
      <c r="I317" s="471">
        <f>'d3'!I317-'d3-П'!I316</f>
        <v>0</v>
      </c>
      <c r="J317" s="471">
        <f>'d3'!J317-'d3-П'!J316</f>
        <v>0</v>
      </c>
      <c r="K317" s="471">
        <f>'d3'!K317-'d3-П'!K316</f>
        <v>0</v>
      </c>
      <c r="L317" s="471">
        <f>'d3'!L317-'d3-П'!L316</f>
        <v>0</v>
      </c>
      <c r="M317" s="471">
        <f>'d3'!M317-'d3-П'!M316</f>
        <v>0</v>
      </c>
      <c r="N317" s="471">
        <f>'d3'!N317-'d3-П'!N316</f>
        <v>0</v>
      </c>
      <c r="O317" s="471">
        <f>'d3'!O317-'d3-П'!O316</f>
        <v>0</v>
      </c>
      <c r="P317" s="471">
        <f>'d3'!P317-'d3-П'!P316</f>
        <v>0</v>
      </c>
      <c r="Q317" s="18"/>
      <c r="R317" s="43"/>
    </row>
    <row r="318" spans="1:18" ht="186" customHeight="1" thickTop="1" thickBot="1" x14ac:dyDescent="0.25">
      <c r="A318" s="94" t="s">
        <v>1355</v>
      </c>
      <c r="B318" s="94" t="s">
        <v>1354</v>
      </c>
      <c r="C318" s="94" t="s">
        <v>1039</v>
      </c>
      <c r="D318" s="94" t="s">
        <v>1742</v>
      </c>
      <c r="E318" s="471">
        <f>'d3'!E318-'d3-П'!E317</f>
        <v>0</v>
      </c>
      <c r="F318" s="471">
        <f>'d3'!F318-'d3-П'!F317</f>
        <v>0</v>
      </c>
      <c r="G318" s="471">
        <f>'d3'!G318-'d3-П'!G317</f>
        <v>0</v>
      </c>
      <c r="H318" s="471">
        <f>'d3'!H318-'d3-П'!H317</f>
        <v>0</v>
      </c>
      <c r="I318" s="471">
        <f>'d3'!I318-'d3-П'!I317</f>
        <v>0</v>
      </c>
      <c r="J318" s="471">
        <f>'d3'!J318-'d3-П'!J317</f>
        <v>0</v>
      </c>
      <c r="K318" s="471">
        <f>'d3'!K318-'d3-П'!K317</f>
        <v>0</v>
      </c>
      <c r="L318" s="471">
        <f>'d3'!L318-'d3-П'!L317</f>
        <v>0</v>
      </c>
      <c r="M318" s="471">
        <f>'d3'!M318-'d3-П'!M317</f>
        <v>0</v>
      </c>
      <c r="N318" s="471">
        <f>'d3'!N318-'d3-П'!N317</f>
        <v>0</v>
      </c>
      <c r="O318" s="471">
        <f>'d3'!O318-'d3-П'!O317</f>
        <v>0</v>
      </c>
      <c r="P318" s="471">
        <f>'d3'!P318-'d3-П'!P317</f>
        <v>0</v>
      </c>
      <c r="Q318" s="18"/>
      <c r="R318" s="43"/>
    </row>
    <row r="319" spans="1:18" ht="103.5" customHeight="1" thickTop="1" thickBot="1" x14ac:dyDescent="0.25">
      <c r="A319" s="483" t="s">
        <v>764</v>
      </c>
      <c r="B319" s="483" t="s">
        <v>713</v>
      </c>
      <c r="C319" s="483"/>
      <c r="D319" s="483" t="s">
        <v>757</v>
      </c>
      <c r="E319" s="471">
        <f>'d3'!E319-'d3-П'!E318</f>
        <v>0</v>
      </c>
      <c r="F319" s="471">
        <f>'d3'!F319-'d3-П'!F318</f>
        <v>0</v>
      </c>
      <c r="G319" s="471">
        <f>'d3'!G319-'d3-П'!G318</f>
        <v>0</v>
      </c>
      <c r="H319" s="471">
        <f>'d3'!H319-'d3-П'!H318</f>
        <v>0</v>
      </c>
      <c r="I319" s="471">
        <f>'d3'!I319-'d3-П'!I318</f>
        <v>0</v>
      </c>
      <c r="J319" s="471">
        <f>'d3'!J319-'d3-П'!J318</f>
        <v>17223971.710000001</v>
      </c>
      <c r="K319" s="471">
        <f>'d3'!K319-'d3-П'!K318</f>
        <v>13526728</v>
      </c>
      <c r="L319" s="471">
        <f>'d3'!L319-'d3-П'!L318</f>
        <v>1939728.71</v>
      </c>
      <c r="M319" s="471">
        <f>'d3'!M319-'d3-П'!M318</f>
        <v>0</v>
      </c>
      <c r="N319" s="471">
        <f>'d3'!N319-'d3-П'!N318</f>
        <v>0</v>
      </c>
      <c r="O319" s="471">
        <f>'d3'!O319-'d3-П'!O318</f>
        <v>15284243</v>
      </c>
      <c r="P319" s="471">
        <f>'d3'!P319-'d3-П'!P318</f>
        <v>17223971.710000001</v>
      </c>
      <c r="Q319" s="18"/>
      <c r="R319" s="48"/>
    </row>
    <row r="320" spans="1:18" ht="106.5" customHeight="1" thickTop="1" thickBot="1" x14ac:dyDescent="0.25">
      <c r="A320" s="496" t="s">
        <v>767</v>
      </c>
      <c r="B320" s="496" t="s">
        <v>768</v>
      </c>
      <c r="C320" s="496"/>
      <c r="D320" s="496" t="s">
        <v>769</v>
      </c>
      <c r="E320" s="471">
        <f>'d3'!E320-'d3-П'!E319</f>
        <v>0</v>
      </c>
      <c r="F320" s="471">
        <f>'d3'!F320-'d3-П'!F319</f>
        <v>0</v>
      </c>
      <c r="G320" s="471">
        <f>'d3'!G320-'d3-П'!G319</f>
        <v>0</v>
      </c>
      <c r="H320" s="471">
        <f>'d3'!H320-'d3-П'!H319</f>
        <v>0</v>
      </c>
      <c r="I320" s="471">
        <f>'d3'!I320-'d3-П'!I319</f>
        <v>0</v>
      </c>
      <c r="J320" s="471">
        <f>'d3'!J320-'d3-П'!J319</f>
        <v>0</v>
      </c>
      <c r="K320" s="471">
        <f>'d3'!K320-'d3-П'!K319</f>
        <v>0</v>
      </c>
      <c r="L320" s="471">
        <f>'d3'!L320-'d3-П'!L319</f>
        <v>0</v>
      </c>
      <c r="M320" s="471">
        <f>'d3'!M320-'d3-П'!M319</f>
        <v>0</v>
      </c>
      <c r="N320" s="471">
        <f>'d3'!N320-'d3-П'!N319</f>
        <v>0</v>
      </c>
      <c r="O320" s="471">
        <f>'d3'!O320-'d3-П'!O319</f>
        <v>0</v>
      </c>
      <c r="P320" s="471">
        <f>'d3'!P320-'d3-П'!P319</f>
        <v>0</v>
      </c>
      <c r="Q320" s="18"/>
      <c r="R320" s="48"/>
    </row>
    <row r="321" spans="1:18" ht="93" hidden="1" thickTop="1" thickBot="1" x14ac:dyDescent="0.25">
      <c r="A321" s="119" t="s">
        <v>897</v>
      </c>
      <c r="B321" s="131" t="s">
        <v>898</v>
      </c>
      <c r="C321" s="127"/>
      <c r="D321" s="131" t="s">
        <v>899</v>
      </c>
      <c r="E321" s="471">
        <f>'d3'!E321-'d3-П'!E320</f>
        <v>0</v>
      </c>
      <c r="F321" s="471">
        <f>'d3'!F321-'d3-П'!F320</f>
        <v>0</v>
      </c>
      <c r="G321" s="471">
        <f>'d3'!G321-'d3-П'!G320</f>
        <v>0</v>
      </c>
      <c r="H321" s="471">
        <f>'d3'!H321-'d3-П'!H320</f>
        <v>0</v>
      </c>
      <c r="I321" s="471">
        <f>'d3'!I321-'d3-П'!I320</f>
        <v>0</v>
      </c>
      <c r="J321" s="471">
        <f>'d3'!J321-'d3-П'!J320</f>
        <v>0</v>
      </c>
      <c r="K321" s="471">
        <f>'d3'!K321-'d3-П'!K320</f>
        <v>0</v>
      </c>
      <c r="L321" s="471">
        <f>'d3'!L321-'d3-П'!L320</f>
        <v>0</v>
      </c>
      <c r="M321" s="471">
        <f>'d3'!M321-'d3-П'!M320</f>
        <v>0</v>
      </c>
      <c r="N321" s="471">
        <f>'d3'!N321-'d3-П'!N320</f>
        <v>0</v>
      </c>
      <c r="O321" s="471">
        <f>'d3'!O321-'d3-П'!O320</f>
        <v>0</v>
      </c>
      <c r="P321" s="471">
        <f>'d3'!P321-'d3-П'!P320</f>
        <v>0</v>
      </c>
      <c r="Q321" s="18"/>
      <c r="R321" s="48"/>
    </row>
    <row r="322" spans="1:18" ht="93" hidden="1" thickTop="1" thickBot="1" x14ac:dyDescent="0.25">
      <c r="A322" s="119" t="s">
        <v>526</v>
      </c>
      <c r="B322" s="119" t="s">
        <v>287</v>
      </c>
      <c r="C322" s="119" t="s">
        <v>289</v>
      </c>
      <c r="D322" s="119" t="s">
        <v>288</v>
      </c>
      <c r="E322" s="471">
        <f>'d3'!E322-'d3-П'!E321</f>
        <v>0</v>
      </c>
      <c r="F322" s="471">
        <f>'d3'!F322-'d3-П'!F321</f>
        <v>0</v>
      </c>
      <c r="G322" s="471">
        <f>'d3'!G322-'d3-П'!G321</f>
        <v>0</v>
      </c>
      <c r="H322" s="471">
        <f>'d3'!H322-'d3-П'!H321</f>
        <v>0</v>
      </c>
      <c r="I322" s="471">
        <f>'d3'!I322-'d3-П'!I321</f>
        <v>0</v>
      </c>
      <c r="J322" s="471">
        <f>'d3'!J322-'d3-П'!J321</f>
        <v>0</v>
      </c>
      <c r="K322" s="471">
        <f>'d3'!K322-'d3-П'!K321</f>
        <v>0</v>
      </c>
      <c r="L322" s="471">
        <f>'d3'!L322-'d3-П'!L321</f>
        <v>0</v>
      </c>
      <c r="M322" s="471">
        <f>'d3'!M322-'d3-П'!M321</f>
        <v>0</v>
      </c>
      <c r="N322" s="471">
        <f>'d3'!N322-'d3-П'!N321</f>
        <v>0</v>
      </c>
      <c r="O322" s="471">
        <f>'d3'!O322-'d3-П'!O321</f>
        <v>0</v>
      </c>
      <c r="P322" s="471">
        <f>'d3'!P322-'d3-П'!P321</f>
        <v>0</v>
      </c>
      <c r="Q322" s="18"/>
      <c r="R322" s="43"/>
    </row>
    <row r="323" spans="1:18" ht="179.25" customHeight="1" thickTop="1" thickBot="1" x14ac:dyDescent="0.25">
      <c r="A323" s="469" t="s">
        <v>1533</v>
      </c>
      <c r="B323" s="469" t="s">
        <v>1534</v>
      </c>
      <c r="C323" s="469" t="s">
        <v>289</v>
      </c>
      <c r="D323" s="469" t="s">
        <v>1532</v>
      </c>
      <c r="E323" s="471">
        <f>'d3'!E323-'d3-П'!E322</f>
        <v>0</v>
      </c>
      <c r="F323" s="471">
        <f>'d3'!F323-'d3-П'!F322</f>
        <v>0</v>
      </c>
      <c r="G323" s="471">
        <f>'d3'!G323-'d3-П'!G322</f>
        <v>0</v>
      </c>
      <c r="H323" s="471">
        <f>'d3'!H323-'d3-П'!H322</f>
        <v>0</v>
      </c>
      <c r="I323" s="471">
        <f>'d3'!I323-'d3-П'!I322</f>
        <v>0</v>
      </c>
      <c r="J323" s="471">
        <f>'d3'!J323-'d3-П'!J322</f>
        <v>0</v>
      </c>
      <c r="K323" s="471">
        <f>'d3'!K323-'d3-П'!K322</f>
        <v>0</v>
      </c>
      <c r="L323" s="471">
        <f>'d3'!L323-'d3-П'!L322</f>
        <v>0</v>
      </c>
      <c r="M323" s="471">
        <f>'d3'!M323-'d3-П'!M322</f>
        <v>0</v>
      </c>
      <c r="N323" s="471">
        <f>'d3'!N323-'d3-П'!N322</f>
        <v>0</v>
      </c>
      <c r="O323" s="471">
        <f>'d3'!O323-'d3-П'!O322</f>
        <v>0</v>
      </c>
      <c r="P323" s="471">
        <f>'d3'!P323-'d3-П'!P322</f>
        <v>0</v>
      </c>
      <c r="Q323" s="18"/>
      <c r="R323" s="43"/>
    </row>
    <row r="324" spans="1:18" ht="84.75" customHeight="1" thickTop="1" thickBot="1" x14ac:dyDescent="0.25">
      <c r="A324" s="496" t="s">
        <v>770</v>
      </c>
      <c r="B324" s="496" t="s">
        <v>659</v>
      </c>
      <c r="C324" s="496"/>
      <c r="D324" s="496" t="s">
        <v>657</v>
      </c>
      <c r="E324" s="471">
        <f>'d3'!E324-'d3-П'!E323</f>
        <v>0</v>
      </c>
      <c r="F324" s="471">
        <f>'d3'!F324-'d3-П'!F323</f>
        <v>0</v>
      </c>
      <c r="G324" s="471">
        <f>'d3'!G324-'d3-П'!G323</f>
        <v>0</v>
      </c>
      <c r="H324" s="471">
        <f>'d3'!H324-'d3-П'!H323</f>
        <v>0</v>
      </c>
      <c r="I324" s="471">
        <f>'d3'!I324-'d3-П'!I323</f>
        <v>0</v>
      </c>
      <c r="J324" s="471">
        <f>'d3'!J324-'d3-П'!J323</f>
        <v>17223971.710000001</v>
      </c>
      <c r="K324" s="471">
        <f>'d3'!K324-'d3-П'!K323</f>
        <v>13526728</v>
      </c>
      <c r="L324" s="471">
        <f>'d3'!L324-'d3-П'!L323</f>
        <v>1939728.71</v>
      </c>
      <c r="M324" s="471">
        <f>'d3'!M324-'d3-П'!M323</f>
        <v>0</v>
      </c>
      <c r="N324" s="471">
        <f>'d3'!N324-'d3-П'!N323</f>
        <v>0</v>
      </c>
      <c r="O324" s="471">
        <f>'d3'!O324-'d3-П'!O323</f>
        <v>15284243</v>
      </c>
      <c r="P324" s="471">
        <f>'d3'!P324-'d3-П'!P323</f>
        <v>17223971.710000001</v>
      </c>
      <c r="Q324" s="18"/>
      <c r="R324" s="43"/>
    </row>
    <row r="325" spans="1:18" ht="47.25" hidden="1" thickTop="1" thickBot="1" x14ac:dyDescent="0.25">
      <c r="A325" s="119" t="s">
        <v>527</v>
      </c>
      <c r="B325" s="119" t="s">
        <v>207</v>
      </c>
      <c r="C325" s="119" t="s">
        <v>208</v>
      </c>
      <c r="D325" s="119" t="s">
        <v>40</v>
      </c>
      <c r="E325" s="471">
        <f>'d3'!E325-'d3-П'!E324</f>
        <v>0</v>
      </c>
      <c r="F325" s="471">
        <f>'d3'!F325-'d3-П'!F324</f>
        <v>0</v>
      </c>
      <c r="G325" s="471">
        <f>'d3'!G325-'d3-П'!G324</f>
        <v>0</v>
      </c>
      <c r="H325" s="471">
        <f>'d3'!H325-'d3-П'!H324</f>
        <v>0</v>
      </c>
      <c r="I325" s="471">
        <f>'d3'!I325-'d3-П'!I324</f>
        <v>0</v>
      </c>
      <c r="J325" s="471">
        <f>'d3'!J325-'d3-П'!J324</f>
        <v>0</v>
      </c>
      <c r="K325" s="471">
        <f>'d3'!K325-'d3-П'!K324</f>
        <v>0</v>
      </c>
      <c r="L325" s="471">
        <f>'d3'!L325-'d3-П'!L324</f>
        <v>0</v>
      </c>
      <c r="M325" s="471">
        <f>'d3'!M325-'d3-П'!M324</f>
        <v>0</v>
      </c>
      <c r="N325" s="471">
        <f>'d3'!N325-'d3-П'!N324</f>
        <v>0</v>
      </c>
      <c r="O325" s="471">
        <f>'d3'!O325-'d3-П'!O324</f>
        <v>0</v>
      </c>
      <c r="P325" s="471">
        <f>'d3'!P325-'d3-П'!P324</f>
        <v>0</v>
      </c>
      <c r="Q325" s="18"/>
      <c r="R325" s="43"/>
    </row>
    <row r="326" spans="1:18" ht="47.25" thickTop="1" thickBot="1" x14ac:dyDescent="0.25">
      <c r="A326" s="469" t="s">
        <v>528</v>
      </c>
      <c r="B326" s="469" t="s">
        <v>192</v>
      </c>
      <c r="C326" s="469" t="s">
        <v>165</v>
      </c>
      <c r="D326" s="469" t="s">
        <v>1059</v>
      </c>
      <c r="E326" s="471">
        <f>'d3'!E326-'d3-П'!E325</f>
        <v>0</v>
      </c>
      <c r="F326" s="471">
        <f>'d3'!F326-'d3-П'!F325</f>
        <v>0</v>
      </c>
      <c r="G326" s="471">
        <f>'d3'!G326-'d3-П'!G325</f>
        <v>0</v>
      </c>
      <c r="H326" s="471">
        <f>'d3'!H326-'d3-П'!H325</f>
        <v>0</v>
      </c>
      <c r="I326" s="471">
        <f>'d3'!I326-'d3-П'!I325</f>
        <v>0</v>
      </c>
      <c r="J326" s="471">
        <f>'d3'!J326-'d3-П'!J325</f>
        <v>13526728</v>
      </c>
      <c r="K326" s="471">
        <f>'d3'!K326-'d3-П'!K325</f>
        <v>13526728</v>
      </c>
      <c r="L326" s="471">
        <f>'d3'!L326-'d3-П'!L325</f>
        <v>0</v>
      </c>
      <c r="M326" s="471">
        <f>'d3'!M326-'d3-П'!M325</f>
        <v>0</v>
      </c>
      <c r="N326" s="471">
        <f>'d3'!N326-'d3-П'!N325</f>
        <v>0</v>
      </c>
      <c r="O326" s="471">
        <f>'d3'!O326-'d3-П'!O325</f>
        <v>13526728</v>
      </c>
      <c r="P326" s="471">
        <f>'d3'!P326-'d3-П'!P325</f>
        <v>13526728</v>
      </c>
      <c r="Q326" s="18"/>
      <c r="R326" s="43"/>
    </row>
    <row r="327" spans="1:18" ht="93.75" customHeight="1" thickTop="1" thickBot="1" x14ac:dyDescent="0.25">
      <c r="A327" s="518" t="s">
        <v>771</v>
      </c>
      <c r="B327" s="481" t="s">
        <v>662</v>
      </c>
      <c r="C327" s="481"/>
      <c r="D327" s="481" t="s">
        <v>660</v>
      </c>
      <c r="E327" s="471">
        <f>'d3'!E327-'d3-П'!E326</f>
        <v>0</v>
      </c>
      <c r="F327" s="471">
        <f>'d3'!F327-'d3-П'!F326</f>
        <v>0</v>
      </c>
      <c r="G327" s="471">
        <f>'d3'!G327-'d3-П'!G326</f>
        <v>0</v>
      </c>
      <c r="H327" s="471">
        <f>'d3'!H327-'d3-П'!H326</f>
        <v>0</v>
      </c>
      <c r="I327" s="471">
        <f>'d3'!I327-'d3-П'!I326</f>
        <v>0</v>
      </c>
      <c r="J327" s="471">
        <f>'d3'!J327-'d3-П'!J326</f>
        <v>3697243.71</v>
      </c>
      <c r="K327" s="471">
        <f>'d3'!K327-'d3-П'!K326</f>
        <v>0</v>
      </c>
      <c r="L327" s="471">
        <f>'d3'!L327-'d3-П'!L326</f>
        <v>1939728.71</v>
      </c>
      <c r="M327" s="471">
        <f>'d3'!M327-'d3-П'!M326</f>
        <v>0</v>
      </c>
      <c r="N327" s="471">
        <f>'d3'!N327-'d3-П'!N326</f>
        <v>0</v>
      </c>
      <c r="O327" s="471">
        <f>'d3'!O327-'d3-П'!O326</f>
        <v>1757515</v>
      </c>
      <c r="P327" s="471">
        <f>'d3'!P327-'d3-П'!P326</f>
        <v>3697243.71</v>
      </c>
      <c r="Q327" s="18"/>
      <c r="R327" s="48"/>
    </row>
    <row r="328" spans="1:18" ht="246.75" customHeight="1" thickTop="1" thickBot="1" x14ac:dyDescent="0.25">
      <c r="A328" s="713" t="s">
        <v>529</v>
      </c>
      <c r="B328" s="713" t="s">
        <v>329</v>
      </c>
      <c r="C328" s="713" t="s">
        <v>165</v>
      </c>
      <c r="D328" s="718" t="s">
        <v>1456</v>
      </c>
      <c r="E328" s="471">
        <f>'d3'!E328-0</f>
        <v>0</v>
      </c>
      <c r="F328" s="471">
        <f>'d3'!F328-0</f>
        <v>0</v>
      </c>
      <c r="G328" s="471">
        <f>'d3'!G328-0</f>
        <v>0</v>
      </c>
      <c r="H328" s="471">
        <f>'d3'!H328-0</f>
        <v>0</v>
      </c>
      <c r="I328" s="471">
        <f>'d3'!I328-0</f>
        <v>0</v>
      </c>
      <c r="J328" s="471">
        <f>'d3'!J328-0</f>
        <v>3697243.71</v>
      </c>
      <c r="K328" s="471">
        <f>'d3'!K328-0</f>
        <v>0</v>
      </c>
      <c r="L328" s="471">
        <f>'d3'!L328-0</f>
        <v>1939728.71</v>
      </c>
      <c r="M328" s="471">
        <f>'d3'!M328-0</f>
        <v>0</v>
      </c>
      <c r="N328" s="471">
        <f>'d3'!N328-0</f>
        <v>0</v>
      </c>
      <c r="O328" s="471">
        <f>'d3'!O328-0</f>
        <v>1757515</v>
      </c>
      <c r="P328" s="471">
        <f>'d3'!P328-0</f>
        <v>3697243.71</v>
      </c>
      <c r="Q328" s="18"/>
      <c r="R328" s="48"/>
    </row>
    <row r="329" spans="1:18" ht="93.75" hidden="1" customHeight="1" thickTop="1" thickBot="1" x14ac:dyDescent="0.25">
      <c r="A329" s="119" t="s">
        <v>1063</v>
      </c>
      <c r="B329" s="119" t="s">
        <v>251</v>
      </c>
      <c r="C329" s="119" t="s">
        <v>165</v>
      </c>
      <c r="D329" s="119" t="s">
        <v>249</v>
      </c>
      <c r="E329" s="142"/>
      <c r="F329" s="120"/>
      <c r="G329" s="120"/>
      <c r="H329" s="120"/>
      <c r="I329" s="120"/>
      <c r="J329" s="118"/>
      <c r="K329" s="125"/>
      <c r="L329" s="120"/>
      <c r="M329" s="120"/>
      <c r="N329" s="120"/>
      <c r="O329" s="123"/>
      <c r="P329" s="118"/>
      <c r="Q329" s="18"/>
      <c r="R329" s="48"/>
    </row>
    <row r="330" spans="1:18" ht="47.25" thickTop="1" thickBot="1" x14ac:dyDescent="0.25">
      <c r="A330" s="239" t="s">
        <v>772</v>
      </c>
      <c r="B330" s="239" t="s">
        <v>664</v>
      </c>
      <c r="C330" s="239"/>
      <c r="D330" s="483" t="s">
        <v>665</v>
      </c>
      <c r="E330" s="471">
        <f>'d3'!E330-'d3-П'!E330</f>
        <v>24000</v>
      </c>
      <c r="F330" s="471">
        <f>'d3'!F330-'d3-П'!F330</f>
        <v>0</v>
      </c>
      <c r="G330" s="471">
        <f>'d3'!G330-'d3-П'!G330</f>
        <v>0</v>
      </c>
      <c r="H330" s="471">
        <f>'d3'!H330-'d3-П'!H330</f>
        <v>0</v>
      </c>
      <c r="I330" s="471">
        <f>'d3'!I330-'d3-П'!I330</f>
        <v>24000</v>
      </c>
      <c r="J330" s="471">
        <f>'d3'!J330-'d3-П'!J330</f>
        <v>0</v>
      </c>
      <c r="K330" s="471">
        <f>'d3'!K330-'d3-П'!K330</f>
        <v>0</v>
      </c>
      <c r="L330" s="471">
        <f>'d3'!L330-'d3-П'!L330</f>
        <v>0</v>
      </c>
      <c r="M330" s="471">
        <f>'d3'!M330-'d3-П'!M330</f>
        <v>0</v>
      </c>
      <c r="N330" s="471">
        <f>'d3'!N330-'d3-П'!N330</f>
        <v>0</v>
      </c>
      <c r="O330" s="471">
        <f>'d3'!O330-'d3-П'!O330</f>
        <v>0</v>
      </c>
      <c r="P330" s="471">
        <f>'d3'!P330-'d3-П'!P330</f>
        <v>24000</v>
      </c>
      <c r="Q330" s="18"/>
      <c r="R330" s="48"/>
    </row>
    <row r="331" spans="1:18" ht="100.5" customHeight="1" thickTop="1" thickBot="1" x14ac:dyDescent="0.25">
      <c r="A331" s="508" t="s">
        <v>773</v>
      </c>
      <c r="B331" s="508" t="s">
        <v>774</v>
      </c>
      <c r="C331" s="508"/>
      <c r="D331" s="545" t="s">
        <v>1140</v>
      </c>
      <c r="E331" s="471">
        <f>'d3'!E331-'d3-П'!E331</f>
        <v>24000</v>
      </c>
      <c r="F331" s="471">
        <f>'d3'!F331-'d3-П'!F331</f>
        <v>0</v>
      </c>
      <c r="G331" s="471">
        <f>'d3'!G331-'d3-П'!G331</f>
        <v>0</v>
      </c>
      <c r="H331" s="471">
        <f>'d3'!H331-'d3-П'!H331</f>
        <v>0</v>
      </c>
      <c r="I331" s="471">
        <f>'d3'!I331-'d3-П'!I331</f>
        <v>24000</v>
      </c>
      <c r="J331" s="471">
        <f>'d3'!J331-'d3-П'!J331</f>
        <v>0</v>
      </c>
      <c r="K331" s="471">
        <f>'d3'!K331-'d3-П'!K331</f>
        <v>0</v>
      </c>
      <c r="L331" s="471">
        <f>'d3'!L331-'d3-П'!L331</f>
        <v>0</v>
      </c>
      <c r="M331" s="471">
        <f>'d3'!M331-'d3-П'!M331</f>
        <v>0</v>
      </c>
      <c r="N331" s="471">
        <f>'d3'!N331-'d3-П'!N331</f>
        <v>0</v>
      </c>
      <c r="O331" s="471">
        <f>'d3'!O331-'d3-П'!O331</f>
        <v>0</v>
      </c>
      <c r="P331" s="471">
        <f>'d3'!P331-'d3-П'!P331</f>
        <v>24000</v>
      </c>
      <c r="Q331" s="18"/>
      <c r="R331" s="48"/>
    </row>
    <row r="332" spans="1:18" ht="140.25" customHeight="1" thickTop="1" thickBot="1" x14ac:dyDescent="0.25">
      <c r="A332" s="94" t="s">
        <v>530</v>
      </c>
      <c r="B332" s="94" t="s">
        <v>499</v>
      </c>
      <c r="C332" s="94" t="s">
        <v>245</v>
      </c>
      <c r="D332" s="94" t="s">
        <v>500</v>
      </c>
      <c r="E332" s="471">
        <f>'d3'!E332-'d3-П'!E332</f>
        <v>0</v>
      </c>
      <c r="F332" s="471">
        <f>'d3'!F332-'d3-П'!F332</f>
        <v>0</v>
      </c>
      <c r="G332" s="471">
        <f>'d3'!G332-'d3-П'!G332</f>
        <v>0</v>
      </c>
      <c r="H332" s="471">
        <f>'d3'!H332-'d3-П'!H332</f>
        <v>0</v>
      </c>
      <c r="I332" s="471">
        <f>'d3'!I332-'d3-П'!I332</f>
        <v>0</v>
      </c>
      <c r="J332" s="471">
        <f>'d3'!J332-'d3-П'!J332</f>
        <v>0</v>
      </c>
      <c r="K332" s="471">
        <f>'d3'!K332-'d3-П'!K332</f>
        <v>0</v>
      </c>
      <c r="L332" s="471">
        <f>'d3'!L332-'d3-П'!L332</f>
        <v>0</v>
      </c>
      <c r="M332" s="471">
        <f>'d3'!M332-'d3-П'!M332</f>
        <v>0</v>
      </c>
      <c r="N332" s="471">
        <f>'d3'!N332-'d3-П'!N332</f>
        <v>0</v>
      </c>
      <c r="O332" s="471">
        <f>'d3'!O332-'d3-П'!O332</f>
        <v>0</v>
      </c>
      <c r="P332" s="471">
        <f>'d3'!P332-'d3-П'!P332</f>
        <v>0</v>
      </c>
      <c r="Q332" s="18"/>
      <c r="R332" s="48"/>
    </row>
    <row r="333" spans="1:18" ht="100.5" customHeight="1" thickTop="1" thickBot="1" x14ac:dyDescent="0.25">
      <c r="A333" s="469" t="s">
        <v>531</v>
      </c>
      <c r="B333" s="469" t="s">
        <v>244</v>
      </c>
      <c r="C333" s="469" t="s">
        <v>245</v>
      </c>
      <c r="D333" s="469" t="s">
        <v>243</v>
      </c>
      <c r="E333" s="471">
        <f>'d3'!E333-'d3-П'!E333</f>
        <v>24000</v>
      </c>
      <c r="F333" s="471">
        <f>'d3'!F333-'d3-П'!F333</f>
        <v>0</v>
      </c>
      <c r="G333" s="471">
        <f>'d3'!G333-'d3-П'!G333</f>
        <v>0</v>
      </c>
      <c r="H333" s="471">
        <f>'d3'!H333-'d3-П'!H333</f>
        <v>0</v>
      </c>
      <c r="I333" s="471">
        <f>'d3'!I333-'d3-П'!I333</f>
        <v>24000</v>
      </c>
      <c r="J333" s="471">
        <f>'d3'!J333-'d3-П'!J333</f>
        <v>0</v>
      </c>
      <c r="K333" s="471">
        <f>'d3'!K333-'d3-П'!K333</f>
        <v>0</v>
      </c>
      <c r="L333" s="471">
        <f>'d3'!L333-'d3-П'!L333</f>
        <v>0</v>
      </c>
      <c r="M333" s="471">
        <f>'d3'!M333-'d3-П'!M333</f>
        <v>0</v>
      </c>
      <c r="N333" s="471">
        <f>'d3'!N333-'d3-П'!N333</f>
        <v>0</v>
      </c>
      <c r="O333" s="471">
        <f>'d3'!O333-'d3-П'!O333</f>
        <v>0</v>
      </c>
      <c r="P333" s="471">
        <f>'d3'!P333-'d3-П'!P333</f>
        <v>24000</v>
      </c>
      <c r="Q333" s="18"/>
      <c r="R333" s="44"/>
    </row>
    <row r="334" spans="1:18" ht="47.25" hidden="1" thickTop="1" thickBot="1" x14ac:dyDescent="0.25">
      <c r="A334" s="39" t="s">
        <v>532</v>
      </c>
      <c r="B334" s="39" t="s">
        <v>533</v>
      </c>
      <c r="C334" s="39" t="s">
        <v>245</v>
      </c>
      <c r="D334" s="39" t="s">
        <v>534</v>
      </c>
      <c r="E334" s="471">
        <f>'d3'!E334-'d3-П'!E334</f>
        <v>0</v>
      </c>
      <c r="F334" s="471">
        <f>'d3'!F334-'d3-П'!F334</f>
        <v>0</v>
      </c>
      <c r="G334" s="471">
        <f>'d3'!G334-'d3-П'!G334</f>
        <v>0</v>
      </c>
      <c r="H334" s="471">
        <f>'d3'!H334-'d3-П'!H334</f>
        <v>0</v>
      </c>
      <c r="I334" s="471">
        <f>'d3'!I334-'d3-П'!I334</f>
        <v>0</v>
      </c>
      <c r="J334" s="471">
        <f>'d3'!J334-'d3-П'!J334</f>
        <v>0</v>
      </c>
      <c r="K334" s="471">
        <f>'d3'!K334-'d3-П'!K334</f>
        <v>0</v>
      </c>
      <c r="L334" s="471">
        <f>'d3'!L334-'d3-П'!L334</f>
        <v>0</v>
      </c>
      <c r="M334" s="471">
        <f>'d3'!M334-'d3-П'!M334</f>
        <v>0</v>
      </c>
      <c r="N334" s="471">
        <f>'d3'!N334-'d3-П'!N334</f>
        <v>0</v>
      </c>
      <c r="O334" s="471">
        <f>'d3'!O334-'d3-П'!O334</f>
        <v>0</v>
      </c>
      <c r="P334" s="471">
        <f>'d3'!P334-'d3-П'!P334</f>
        <v>0</v>
      </c>
      <c r="Q334" s="18"/>
      <c r="R334" s="48"/>
    </row>
    <row r="335" spans="1:18" ht="66" customHeight="1" thickTop="1" thickBot="1" x14ac:dyDescent="0.25">
      <c r="A335" s="239" t="s">
        <v>1271</v>
      </c>
      <c r="B335" s="239" t="s">
        <v>669</v>
      </c>
      <c r="C335" s="239"/>
      <c r="D335" s="239" t="s">
        <v>670</v>
      </c>
      <c r="E335" s="471">
        <f>'d3'!E335-'d3-П'!E335</f>
        <v>3100000</v>
      </c>
      <c r="F335" s="471">
        <f>'d3'!F335-'d3-П'!F335</f>
        <v>3000000</v>
      </c>
      <c r="G335" s="471">
        <f>'d3'!G335-'d3-П'!G335</f>
        <v>0</v>
      </c>
      <c r="H335" s="471">
        <f>'d3'!H335-'d3-П'!H335</f>
        <v>0</v>
      </c>
      <c r="I335" s="471">
        <f>'d3'!I335-'d3-П'!I335</f>
        <v>100000</v>
      </c>
      <c r="J335" s="471">
        <f>'d3'!J335-'d3-П'!J335</f>
        <v>0</v>
      </c>
      <c r="K335" s="471">
        <f>'d3'!K335-'d3-П'!K335</f>
        <v>0</v>
      </c>
      <c r="L335" s="471">
        <f>'d3'!L335-'d3-П'!L335</f>
        <v>0</v>
      </c>
      <c r="M335" s="471">
        <f>'d3'!M335-'d3-П'!M335</f>
        <v>0</v>
      </c>
      <c r="N335" s="471">
        <f>'d3'!N335-'d3-П'!N335</f>
        <v>0</v>
      </c>
      <c r="O335" s="471">
        <f>'d3'!O335-'d3-П'!O335</f>
        <v>0</v>
      </c>
      <c r="P335" s="471">
        <f>'d3'!P335-'d3-П'!P335</f>
        <v>3100000</v>
      </c>
      <c r="Q335" s="18"/>
      <c r="R335" s="48"/>
    </row>
    <row r="336" spans="1:18" ht="113.25" customHeight="1" thickTop="1" thickBot="1" x14ac:dyDescent="0.25">
      <c r="A336" s="508" t="s">
        <v>1272</v>
      </c>
      <c r="B336" s="508" t="s">
        <v>672</v>
      </c>
      <c r="C336" s="508"/>
      <c r="D336" s="508" t="s">
        <v>673</v>
      </c>
      <c r="E336" s="471">
        <f>'d3'!E336-'d3-П'!E336</f>
        <v>3100000</v>
      </c>
      <c r="F336" s="471">
        <f>'d3'!F336-'d3-П'!F336</f>
        <v>3000000</v>
      </c>
      <c r="G336" s="471">
        <f>'d3'!G336-'d3-П'!G336</f>
        <v>0</v>
      </c>
      <c r="H336" s="471">
        <f>'d3'!H336-'d3-П'!H336</f>
        <v>0</v>
      </c>
      <c r="I336" s="471">
        <f>'d3'!I336-'d3-П'!I336</f>
        <v>100000</v>
      </c>
      <c r="J336" s="471">
        <f>'d3'!J336-'d3-П'!J336</f>
        <v>0</v>
      </c>
      <c r="K336" s="471">
        <f>'d3'!K336-'d3-П'!K336</f>
        <v>0</v>
      </c>
      <c r="L336" s="471">
        <f>'d3'!L336-'d3-П'!L336</f>
        <v>0</v>
      </c>
      <c r="M336" s="471">
        <f>'d3'!M336-'d3-П'!M336</f>
        <v>0</v>
      </c>
      <c r="N336" s="471">
        <f>'d3'!N336-'d3-П'!N336</f>
        <v>0</v>
      </c>
      <c r="O336" s="471">
        <f>'d3'!O336-'d3-П'!O336</f>
        <v>0</v>
      </c>
      <c r="P336" s="471">
        <f>'d3'!P336-'d3-П'!P336</f>
        <v>3100000</v>
      </c>
      <c r="Q336" s="18"/>
      <c r="R336" s="48"/>
    </row>
    <row r="337" spans="1:18" ht="108.75" customHeight="1" thickTop="1" thickBot="1" x14ac:dyDescent="0.25">
      <c r="A337" s="94" t="s">
        <v>1273</v>
      </c>
      <c r="B337" s="94" t="s">
        <v>353</v>
      </c>
      <c r="C337" s="94" t="s">
        <v>42</v>
      </c>
      <c r="D337" s="94" t="s">
        <v>354</v>
      </c>
      <c r="E337" s="471">
        <f>'d3'!E337-'d3-П'!E337</f>
        <v>3000000</v>
      </c>
      <c r="F337" s="471">
        <f>'d3'!F337-'d3-П'!F337</f>
        <v>3000000</v>
      </c>
      <c r="G337" s="471">
        <f>'d3'!G337-'d3-П'!G337</f>
        <v>0</v>
      </c>
      <c r="H337" s="471">
        <f>'d3'!H337-'d3-П'!H337</f>
        <v>0</v>
      </c>
      <c r="I337" s="471">
        <f>'d3'!I337-'d3-П'!I337</f>
        <v>0</v>
      </c>
      <c r="J337" s="471">
        <f>'d3'!J337-'d3-П'!J337</f>
        <v>0</v>
      </c>
      <c r="K337" s="471">
        <f>'d3'!K337-'d3-П'!K337</f>
        <v>0</v>
      </c>
      <c r="L337" s="471">
        <f>'d3'!L337-'d3-П'!L337</f>
        <v>0</v>
      </c>
      <c r="M337" s="471">
        <f>'d3'!M337-'d3-П'!M337</f>
        <v>0</v>
      </c>
      <c r="N337" s="471">
        <f>'d3'!N337-'d3-П'!N337</f>
        <v>0</v>
      </c>
      <c r="O337" s="471">
        <f>'d3'!O337-'d3-П'!O337</f>
        <v>0</v>
      </c>
      <c r="P337" s="471">
        <f>'d3'!P337-'d3-П'!P337</f>
        <v>3000000</v>
      </c>
      <c r="Q337" s="18"/>
      <c r="R337" s="48"/>
    </row>
    <row r="338" spans="1:18" ht="189" customHeight="1" thickTop="1" thickBot="1" x14ac:dyDescent="0.25">
      <c r="A338" s="514" t="s">
        <v>25</v>
      </c>
      <c r="B338" s="514"/>
      <c r="C338" s="514"/>
      <c r="D338" s="515" t="s">
        <v>1169</v>
      </c>
      <c r="E338" s="516">
        <f>E339</f>
        <v>200000</v>
      </c>
      <c r="F338" s="517">
        <f t="shared" ref="F338:G338" si="49">F339</f>
        <v>200000</v>
      </c>
      <c r="G338" s="517">
        <f t="shared" si="49"/>
        <v>0</v>
      </c>
      <c r="H338" s="517">
        <f>H339</f>
        <v>0</v>
      </c>
      <c r="I338" s="517">
        <f t="shared" ref="I338" si="50">I339</f>
        <v>0</v>
      </c>
      <c r="J338" s="516">
        <f>J339</f>
        <v>7115201</v>
      </c>
      <c r="K338" s="517">
        <f>K339</f>
        <v>7115201</v>
      </c>
      <c r="L338" s="517">
        <f>L339</f>
        <v>0</v>
      </c>
      <c r="M338" s="517">
        <f t="shared" ref="M338" si="51">M339</f>
        <v>0</v>
      </c>
      <c r="N338" s="517">
        <f>N339</f>
        <v>0</v>
      </c>
      <c r="O338" s="516">
        <f>O339</f>
        <v>7115201</v>
      </c>
      <c r="P338" s="517">
        <f t="shared" ref="P338" si="52">P339</f>
        <v>7315201</v>
      </c>
      <c r="Q338" s="18"/>
    </row>
    <row r="339" spans="1:18" ht="167.25" customHeight="1" thickTop="1" thickBot="1" x14ac:dyDescent="0.25">
      <c r="A339" s="511" t="s">
        <v>26</v>
      </c>
      <c r="B339" s="511"/>
      <c r="C339" s="511"/>
      <c r="D339" s="512" t="s">
        <v>849</v>
      </c>
      <c r="E339" s="513">
        <f>E340+E355+E363+E346+E350+E344+E359</f>
        <v>200000</v>
      </c>
      <c r="F339" s="513">
        <f t="shared" ref="F339:P339" si="53">F340+F355+F363+F346+F350+F344+F359</f>
        <v>200000</v>
      </c>
      <c r="G339" s="513">
        <f t="shared" si="53"/>
        <v>0</v>
      </c>
      <c r="H339" s="513">
        <f t="shared" si="53"/>
        <v>0</v>
      </c>
      <c r="I339" s="513">
        <f t="shared" si="53"/>
        <v>0</v>
      </c>
      <c r="J339" s="513">
        <f t="shared" si="53"/>
        <v>7115201</v>
      </c>
      <c r="K339" s="513">
        <f t="shared" si="53"/>
        <v>7115201</v>
      </c>
      <c r="L339" s="513">
        <f t="shared" si="53"/>
        <v>0</v>
      </c>
      <c r="M339" s="513">
        <f t="shared" si="53"/>
        <v>0</v>
      </c>
      <c r="N339" s="513">
        <f t="shared" si="53"/>
        <v>0</v>
      </c>
      <c r="O339" s="513">
        <f t="shared" si="53"/>
        <v>7115201</v>
      </c>
      <c r="P339" s="513">
        <f t="shared" si="53"/>
        <v>7315201</v>
      </c>
      <c r="Q339" s="546" t="b">
        <f>P339=P341+P345+P348+P352+P358+P365+P343+P375+P369+P370</f>
        <v>1</v>
      </c>
      <c r="R339" s="44"/>
    </row>
    <row r="340" spans="1:18" ht="103.5" customHeight="1" thickTop="1" thickBot="1" x14ac:dyDescent="0.25">
      <c r="A340" s="483" t="s">
        <v>775</v>
      </c>
      <c r="B340" s="483" t="s">
        <v>652</v>
      </c>
      <c r="C340" s="483"/>
      <c r="D340" s="483" t="s">
        <v>653</v>
      </c>
      <c r="E340" s="471">
        <f>'d3'!E341-'d3-П'!E340</f>
        <v>0</v>
      </c>
      <c r="F340" s="471">
        <f>'d3'!F341-'d3-П'!F340</f>
        <v>0</v>
      </c>
      <c r="G340" s="471">
        <f>'d3'!G341-'d3-П'!G340</f>
        <v>0</v>
      </c>
      <c r="H340" s="471">
        <f>'d3'!H341-'d3-П'!H340</f>
        <v>0</v>
      </c>
      <c r="I340" s="471">
        <f>'d3'!I341-'d3-П'!I340</f>
        <v>0</v>
      </c>
      <c r="J340" s="471">
        <f>'d3'!J341-'d3-П'!J340</f>
        <v>0</v>
      </c>
      <c r="K340" s="471">
        <f>'d3'!K341-'d3-П'!K340</f>
        <v>0</v>
      </c>
      <c r="L340" s="471">
        <f>'d3'!L341-'d3-П'!L340</f>
        <v>0</v>
      </c>
      <c r="M340" s="471">
        <f>'d3'!M341-'d3-П'!M340</f>
        <v>0</v>
      </c>
      <c r="N340" s="471">
        <f>'d3'!N341-'d3-П'!N340</f>
        <v>0</v>
      </c>
      <c r="O340" s="471">
        <f>'d3'!O341-'d3-П'!O340</f>
        <v>0</v>
      </c>
      <c r="P340" s="471">
        <f>'d3'!P341-'d3-П'!P340</f>
        <v>0</v>
      </c>
      <c r="Q340" s="45"/>
      <c r="R340" s="44"/>
    </row>
    <row r="341" spans="1:18" ht="146.25" customHeight="1" thickTop="1" thickBot="1" x14ac:dyDescent="0.25">
      <c r="A341" s="469" t="s">
        <v>406</v>
      </c>
      <c r="B341" s="469" t="s">
        <v>231</v>
      </c>
      <c r="C341" s="469" t="s">
        <v>229</v>
      </c>
      <c r="D341" s="469" t="s">
        <v>1515</v>
      </c>
      <c r="E341" s="471">
        <f>'d3'!E342-'d3-П'!E341</f>
        <v>0</v>
      </c>
      <c r="F341" s="471">
        <f>'d3'!F342-'d3-П'!F341</f>
        <v>0</v>
      </c>
      <c r="G341" s="471">
        <f>'d3'!G342-'d3-П'!G341</f>
        <v>0</v>
      </c>
      <c r="H341" s="471">
        <f>'d3'!H342-'d3-П'!H341</f>
        <v>0</v>
      </c>
      <c r="I341" s="471">
        <f>'d3'!I342-'d3-П'!I341</f>
        <v>0</v>
      </c>
      <c r="J341" s="471">
        <f>'d3'!J342-'d3-П'!J341</f>
        <v>0</v>
      </c>
      <c r="K341" s="471">
        <f>'d3'!K342-'d3-П'!K341</f>
        <v>0</v>
      </c>
      <c r="L341" s="471">
        <f>'d3'!L342-'d3-П'!L341</f>
        <v>0</v>
      </c>
      <c r="M341" s="471">
        <f>'d3'!M342-'d3-П'!M341</f>
        <v>0</v>
      </c>
      <c r="N341" s="471">
        <f>'d3'!N342-'d3-П'!N341</f>
        <v>0</v>
      </c>
      <c r="O341" s="471">
        <f>'d3'!O342-'d3-П'!O341</f>
        <v>0</v>
      </c>
      <c r="P341" s="471">
        <f>'d3'!P342-'d3-П'!P341</f>
        <v>0</v>
      </c>
      <c r="Q341" s="45"/>
      <c r="R341" s="48"/>
    </row>
    <row r="342" spans="1:18" ht="93" hidden="1" thickTop="1" thickBot="1" x14ac:dyDescent="0.25">
      <c r="A342" s="119" t="s">
        <v>603</v>
      </c>
      <c r="B342" s="119" t="s">
        <v>352</v>
      </c>
      <c r="C342" s="119" t="s">
        <v>598</v>
      </c>
      <c r="D342" s="119" t="s">
        <v>599</v>
      </c>
      <c r="E342" s="471">
        <f>'d3'!E343-'d3-П'!E342</f>
        <v>0</v>
      </c>
      <c r="F342" s="471">
        <f>'d3'!F343-'d3-П'!F342</f>
        <v>0</v>
      </c>
      <c r="G342" s="471">
        <f>'d3'!G343-'d3-П'!G342</f>
        <v>0</v>
      </c>
      <c r="H342" s="471">
        <f>'d3'!H343-'d3-П'!H342</f>
        <v>0</v>
      </c>
      <c r="I342" s="471">
        <f>'d3'!I343-'d3-П'!I342</f>
        <v>0</v>
      </c>
      <c r="J342" s="471">
        <f>'d3'!J343-'d3-П'!J342</f>
        <v>0</v>
      </c>
      <c r="K342" s="471">
        <f>'d3'!K343-'d3-П'!K342</f>
        <v>0</v>
      </c>
      <c r="L342" s="471">
        <f>'d3'!L343-'d3-П'!L342</f>
        <v>0</v>
      </c>
      <c r="M342" s="471">
        <f>'d3'!M343-'d3-П'!M342</f>
        <v>0</v>
      </c>
      <c r="N342" s="471">
        <f>'d3'!N343-'d3-П'!N342</f>
        <v>0</v>
      </c>
      <c r="O342" s="471">
        <f>'d3'!O343-'d3-П'!O342</f>
        <v>0</v>
      </c>
      <c r="P342" s="471">
        <f>'d3'!P343-'d3-П'!P342</f>
        <v>0</v>
      </c>
      <c r="Q342" s="45"/>
      <c r="R342" s="48"/>
    </row>
    <row r="343" spans="1:18" ht="103.5" customHeight="1" thickTop="1" thickBot="1" x14ac:dyDescent="0.25">
      <c r="A343" s="469" t="s">
        <v>879</v>
      </c>
      <c r="B343" s="469" t="s">
        <v>42</v>
      </c>
      <c r="C343" s="469" t="s">
        <v>41</v>
      </c>
      <c r="D343" s="469" t="s">
        <v>242</v>
      </c>
      <c r="E343" s="471">
        <f>'d3'!E344-'d3-П'!E343</f>
        <v>0</v>
      </c>
      <c r="F343" s="471">
        <f>'d3'!F344-'d3-П'!F343</f>
        <v>0</v>
      </c>
      <c r="G343" s="471">
        <f>'d3'!G344-'d3-П'!G343</f>
        <v>0</v>
      </c>
      <c r="H343" s="471">
        <f>'d3'!H344-'d3-П'!H343</f>
        <v>0</v>
      </c>
      <c r="I343" s="471">
        <f>'d3'!I344-'d3-П'!I343</f>
        <v>0</v>
      </c>
      <c r="J343" s="471">
        <f>'d3'!J344-'d3-П'!J343</f>
        <v>0</v>
      </c>
      <c r="K343" s="471">
        <f>'d3'!K344-'d3-П'!K343</f>
        <v>0</v>
      </c>
      <c r="L343" s="471">
        <f>'d3'!L344-'d3-П'!L343</f>
        <v>0</v>
      </c>
      <c r="M343" s="471">
        <f>'d3'!M344-'d3-П'!M343</f>
        <v>0</v>
      </c>
      <c r="N343" s="471">
        <f>'d3'!N344-'d3-П'!N343</f>
        <v>0</v>
      </c>
      <c r="O343" s="471">
        <f>'d3'!O344-'d3-П'!O343</f>
        <v>0</v>
      </c>
      <c r="P343" s="471">
        <f>'d3'!P344-'d3-П'!P343</f>
        <v>0</v>
      </c>
      <c r="Q343" s="45"/>
      <c r="R343" s="48"/>
    </row>
    <row r="344" spans="1:18" ht="95.25" customHeight="1" thickTop="1" thickBot="1" x14ac:dyDescent="0.25">
      <c r="A344" s="239" t="s">
        <v>1357</v>
      </c>
      <c r="B344" s="239" t="s">
        <v>675</v>
      </c>
      <c r="C344" s="239"/>
      <c r="D344" s="239" t="s">
        <v>676</v>
      </c>
      <c r="E344" s="471">
        <f>'d3'!E345-'d3-П'!E344</f>
        <v>0</v>
      </c>
      <c r="F344" s="471">
        <f>'d3'!F345-'d3-П'!F344</f>
        <v>0</v>
      </c>
      <c r="G344" s="471">
        <f>'d3'!G345-'d3-П'!G344</f>
        <v>0</v>
      </c>
      <c r="H344" s="471">
        <f>'d3'!H345-'d3-П'!H344</f>
        <v>0</v>
      </c>
      <c r="I344" s="471">
        <f>'d3'!I345-'d3-П'!I344</f>
        <v>0</v>
      </c>
      <c r="J344" s="471">
        <f>'d3'!J345-'d3-П'!J344</f>
        <v>5000000</v>
      </c>
      <c r="K344" s="471">
        <f>'d3'!K345-'d3-П'!K344</f>
        <v>5000000</v>
      </c>
      <c r="L344" s="471">
        <f>'d3'!L345-'d3-П'!L344</f>
        <v>0</v>
      </c>
      <c r="M344" s="471">
        <f>'d3'!M345-'d3-П'!M344</f>
        <v>0</v>
      </c>
      <c r="N344" s="471">
        <f>'d3'!N345-'d3-П'!N344</f>
        <v>0</v>
      </c>
      <c r="O344" s="471">
        <f>'d3'!O345-'d3-П'!O344</f>
        <v>5000000</v>
      </c>
      <c r="P344" s="471">
        <f>'d3'!P345-'d3-П'!P344</f>
        <v>5000000</v>
      </c>
      <c r="Q344" s="45"/>
      <c r="R344" s="48"/>
    </row>
    <row r="345" spans="1:18" ht="165" customHeight="1" thickTop="1" thickBot="1" x14ac:dyDescent="0.25">
      <c r="A345" s="94" t="s">
        <v>1358</v>
      </c>
      <c r="B345" s="94" t="s">
        <v>1359</v>
      </c>
      <c r="C345" s="94" t="s">
        <v>205</v>
      </c>
      <c r="D345" s="94" t="s">
        <v>1538</v>
      </c>
      <c r="E345" s="471">
        <f>'d3'!E346-'d3-П'!E345</f>
        <v>0</v>
      </c>
      <c r="F345" s="471">
        <f>'d3'!F346-'d3-П'!F345</f>
        <v>0</v>
      </c>
      <c r="G345" s="471">
        <f>'d3'!G346-'d3-П'!G345</f>
        <v>0</v>
      </c>
      <c r="H345" s="471">
        <f>'d3'!H346-'d3-П'!H345</f>
        <v>0</v>
      </c>
      <c r="I345" s="471">
        <f>'d3'!I346-'d3-П'!I345</f>
        <v>0</v>
      </c>
      <c r="J345" s="471">
        <f>'d3'!J346-'d3-П'!J345</f>
        <v>5000000</v>
      </c>
      <c r="K345" s="471">
        <f>'d3'!K346-'d3-П'!K345</f>
        <v>5000000</v>
      </c>
      <c r="L345" s="471">
        <f>'d3'!L346-'d3-П'!L345</f>
        <v>0</v>
      </c>
      <c r="M345" s="471">
        <f>'d3'!M346-'d3-П'!M345</f>
        <v>0</v>
      </c>
      <c r="N345" s="471">
        <f>'d3'!N346-'d3-П'!N345</f>
        <v>0</v>
      </c>
      <c r="O345" s="471">
        <f>'d3'!O346-'d3-П'!O345</f>
        <v>5000000</v>
      </c>
      <c r="P345" s="471">
        <f>'d3'!P346-'d3-П'!P345</f>
        <v>5000000</v>
      </c>
      <c r="Q345" s="45"/>
      <c r="R345" s="48"/>
    </row>
    <row r="346" spans="1:18" s="340" customFormat="1" ht="109.5" customHeight="1" thickTop="1" thickBot="1" x14ac:dyDescent="0.25">
      <c r="A346" s="239" t="s">
        <v>1113</v>
      </c>
      <c r="B346" s="239" t="s">
        <v>678</v>
      </c>
      <c r="C346" s="239"/>
      <c r="D346" s="239" t="s">
        <v>679</v>
      </c>
      <c r="E346" s="471">
        <f>'d3'!E347-'d3-П'!E346</f>
        <v>0</v>
      </c>
      <c r="F346" s="471">
        <f>'d3'!F347-'d3-П'!F346</f>
        <v>0</v>
      </c>
      <c r="G346" s="471">
        <f>'d3'!G347-'d3-П'!G346</f>
        <v>0</v>
      </c>
      <c r="H346" s="471">
        <f>'d3'!H347-'d3-П'!H346</f>
        <v>0</v>
      </c>
      <c r="I346" s="471">
        <f>'d3'!I347-'d3-П'!I346</f>
        <v>0</v>
      </c>
      <c r="J346" s="471">
        <f>'d3'!J347-'d3-П'!J346</f>
        <v>0</v>
      </c>
      <c r="K346" s="471">
        <f>'d3'!K347-'d3-П'!K346</f>
        <v>0</v>
      </c>
      <c r="L346" s="471">
        <f>'d3'!L347-'d3-П'!L346</f>
        <v>0</v>
      </c>
      <c r="M346" s="471">
        <f>'d3'!M347-'d3-П'!M346</f>
        <v>0</v>
      </c>
      <c r="N346" s="471">
        <f>'d3'!N347-'d3-П'!N346</f>
        <v>0</v>
      </c>
      <c r="O346" s="471">
        <f>'d3'!O347-'d3-П'!O346</f>
        <v>0</v>
      </c>
      <c r="P346" s="471">
        <f>'d3'!P347-'d3-П'!P346</f>
        <v>0</v>
      </c>
      <c r="Q346" s="338"/>
      <c r="R346" s="339"/>
    </row>
    <row r="347" spans="1:18" s="340" customFormat="1" ht="109.5" customHeight="1" thickTop="1" thickBot="1" x14ac:dyDescent="0.25">
      <c r="A347" s="518" t="s">
        <v>1554</v>
      </c>
      <c r="B347" s="518" t="s">
        <v>705</v>
      </c>
      <c r="C347" s="518"/>
      <c r="D347" s="507" t="s">
        <v>1520</v>
      </c>
      <c r="E347" s="471">
        <f>'d3'!E348-'d3-П'!E347</f>
        <v>0</v>
      </c>
      <c r="F347" s="471">
        <f>'d3'!F348-'d3-П'!F347</f>
        <v>0</v>
      </c>
      <c r="G347" s="471">
        <f>'d3'!G348-'d3-П'!G347</f>
        <v>0</v>
      </c>
      <c r="H347" s="471">
        <f>'d3'!H348-'d3-П'!H347</f>
        <v>0</v>
      </c>
      <c r="I347" s="471">
        <f>'d3'!I348-'d3-П'!I347</f>
        <v>0</v>
      </c>
      <c r="J347" s="471">
        <f>'d3'!J348-'d3-П'!J347</f>
        <v>0</v>
      </c>
      <c r="K347" s="471">
        <f>'d3'!K348-'d3-П'!K347</f>
        <v>0</v>
      </c>
      <c r="L347" s="471">
        <f>'d3'!L348-'d3-П'!L347</f>
        <v>0</v>
      </c>
      <c r="M347" s="471">
        <f>'d3'!M348-'d3-П'!M347</f>
        <v>0</v>
      </c>
      <c r="N347" s="471">
        <f>'d3'!N348-'d3-П'!N347</f>
        <v>0</v>
      </c>
      <c r="O347" s="471">
        <f>'d3'!O348-'d3-П'!O347</f>
        <v>0</v>
      </c>
      <c r="P347" s="471">
        <f>'d3'!P348-'d3-П'!P347</f>
        <v>0</v>
      </c>
      <c r="Q347" s="338"/>
      <c r="R347" s="339"/>
    </row>
    <row r="348" spans="1:18" s="340" customFormat="1" ht="192.75" customHeight="1" thickTop="1" thickBot="1" x14ac:dyDescent="0.25">
      <c r="A348" s="94" t="s">
        <v>1555</v>
      </c>
      <c r="B348" s="94" t="s">
        <v>1459</v>
      </c>
      <c r="C348" s="94" t="s">
        <v>180</v>
      </c>
      <c r="D348" s="507" t="s">
        <v>1709</v>
      </c>
      <c r="E348" s="471">
        <f>'d3'!E349-'d3-П'!E348</f>
        <v>0</v>
      </c>
      <c r="F348" s="471">
        <f>'d3'!F349-'d3-П'!F348</f>
        <v>0</v>
      </c>
      <c r="G348" s="471">
        <f>'d3'!G349-'d3-П'!G348</f>
        <v>0</v>
      </c>
      <c r="H348" s="471">
        <f>'d3'!H349-'d3-П'!H348</f>
        <v>0</v>
      </c>
      <c r="I348" s="471">
        <f>'d3'!I349-'d3-П'!I348</f>
        <v>0</v>
      </c>
      <c r="J348" s="471">
        <f>'d3'!J349-'d3-П'!J348</f>
        <v>0</v>
      </c>
      <c r="K348" s="471">
        <f>'d3'!K349-'d3-П'!K348</f>
        <v>0</v>
      </c>
      <c r="L348" s="471">
        <f>'d3'!L349-'d3-П'!L348</f>
        <v>0</v>
      </c>
      <c r="M348" s="471">
        <f>'d3'!M349-'d3-П'!M348</f>
        <v>0</v>
      </c>
      <c r="N348" s="471">
        <f>'d3'!N349-'d3-П'!N348</f>
        <v>0</v>
      </c>
      <c r="O348" s="471">
        <f>'d3'!O349-'d3-П'!O348</f>
        <v>0</v>
      </c>
      <c r="P348" s="471">
        <f>'d3'!P349-'d3-П'!P348</f>
        <v>0</v>
      </c>
      <c r="Q348" s="338"/>
      <c r="R348" s="339"/>
    </row>
    <row r="349" spans="1:18" s="340" customFormat="1" ht="93" hidden="1" thickTop="1" thickBot="1" x14ac:dyDescent="0.25">
      <c r="A349" s="313" t="s">
        <v>1114</v>
      </c>
      <c r="B349" s="313" t="s">
        <v>1080</v>
      </c>
      <c r="C349" s="313" t="s">
        <v>201</v>
      </c>
      <c r="D349" s="353" t="s">
        <v>1434</v>
      </c>
      <c r="E349" s="471">
        <f>'d3'!E350-'d3-П'!E349</f>
        <v>0</v>
      </c>
      <c r="F349" s="471">
        <f>'d3'!F350-'d3-П'!F349</f>
        <v>0</v>
      </c>
      <c r="G349" s="471">
        <f>'d3'!G350-'d3-П'!G349</f>
        <v>0</v>
      </c>
      <c r="H349" s="471">
        <f>'d3'!H350-'d3-П'!H349</f>
        <v>0</v>
      </c>
      <c r="I349" s="471">
        <f>'d3'!I350-'d3-П'!I349</f>
        <v>0</v>
      </c>
      <c r="J349" s="471">
        <f>'d3'!J350-'d3-П'!J349</f>
        <v>0</v>
      </c>
      <c r="K349" s="471">
        <f>'d3'!K350-'d3-П'!K349</f>
        <v>0</v>
      </c>
      <c r="L349" s="471">
        <f>'d3'!L350-'d3-П'!L349</f>
        <v>0</v>
      </c>
      <c r="M349" s="471">
        <f>'d3'!M350-'d3-П'!M349</f>
        <v>0</v>
      </c>
      <c r="N349" s="471">
        <f>'d3'!N350-'d3-П'!N349</f>
        <v>0</v>
      </c>
      <c r="O349" s="471">
        <f>'d3'!O350-'d3-П'!O349</f>
        <v>0</v>
      </c>
      <c r="P349" s="471">
        <f>'d3'!P350-'d3-П'!P349</f>
        <v>0</v>
      </c>
      <c r="Q349" s="338"/>
      <c r="R349" s="339"/>
    </row>
    <row r="350" spans="1:18" ht="87.75" customHeight="1" thickTop="1" thickBot="1" x14ac:dyDescent="0.25">
      <c r="A350" s="239" t="s">
        <v>1360</v>
      </c>
      <c r="B350" s="239" t="s">
        <v>720</v>
      </c>
      <c r="C350" s="239"/>
      <c r="D350" s="239" t="s">
        <v>721</v>
      </c>
      <c r="E350" s="471">
        <f>'d3'!E351-'d3-П'!E350</f>
        <v>0</v>
      </c>
      <c r="F350" s="471">
        <f>'d3'!F351-'d3-П'!F350</f>
        <v>0</v>
      </c>
      <c r="G350" s="471">
        <f>'d3'!G351-'d3-П'!G350</f>
        <v>0</v>
      </c>
      <c r="H350" s="471">
        <f>'d3'!H351-'d3-П'!H350</f>
        <v>0</v>
      </c>
      <c r="I350" s="471">
        <f>'d3'!I351-'d3-П'!I350</f>
        <v>0</v>
      </c>
      <c r="J350" s="471">
        <f>'d3'!J351-'d3-П'!J350</f>
        <v>853692</v>
      </c>
      <c r="K350" s="471">
        <f>'d3'!K351-'d3-П'!K350</f>
        <v>853692</v>
      </c>
      <c r="L350" s="471">
        <f>'d3'!L351-'d3-П'!L350</f>
        <v>0</v>
      </c>
      <c r="M350" s="471">
        <f>'d3'!M351-'d3-П'!M350</f>
        <v>0</v>
      </c>
      <c r="N350" s="471">
        <f>'d3'!N351-'d3-П'!N350</f>
        <v>0</v>
      </c>
      <c r="O350" s="471">
        <f>'d3'!O351-'d3-П'!O350</f>
        <v>853692</v>
      </c>
      <c r="P350" s="471">
        <f>'d3'!P351-'d3-П'!P350</f>
        <v>853692</v>
      </c>
      <c r="Q350" s="45"/>
      <c r="R350" s="48"/>
    </row>
    <row r="351" spans="1:18" ht="134.25" customHeight="1" thickTop="1" thickBot="1" x14ac:dyDescent="0.25">
      <c r="A351" s="518" t="s">
        <v>1361</v>
      </c>
      <c r="B351" s="518" t="s">
        <v>723</v>
      </c>
      <c r="C351" s="518"/>
      <c r="D351" s="507" t="s">
        <v>724</v>
      </c>
      <c r="E351" s="471">
        <f>'d3'!E352-'d3-П'!E351</f>
        <v>0</v>
      </c>
      <c r="F351" s="471">
        <f>'d3'!F352-'d3-П'!F351</f>
        <v>0</v>
      </c>
      <c r="G351" s="471">
        <f>'d3'!G352-'d3-П'!G351</f>
        <v>0</v>
      </c>
      <c r="H351" s="471">
        <f>'d3'!H352-'d3-П'!H351</f>
        <v>0</v>
      </c>
      <c r="I351" s="471">
        <f>'d3'!I352-'d3-П'!I351</f>
        <v>0</v>
      </c>
      <c r="J351" s="471">
        <f>'d3'!J352-'d3-П'!J351</f>
        <v>853692</v>
      </c>
      <c r="K351" s="471">
        <f>'d3'!K352-'d3-П'!K351</f>
        <v>853692</v>
      </c>
      <c r="L351" s="471">
        <f>'d3'!L352-'d3-П'!L351</f>
        <v>0</v>
      </c>
      <c r="M351" s="471">
        <f>'d3'!M352-'d3-П'!M351</f>
        <v>0</v>
      </c>
      <c r="N351" s="471">
        <f>'d3'!N352-'d3-П'!N351</f>
        <v>0</v>
      </c>
      <c r="O351" s="471">
        <f>'d3'!O352-'d3-П'!O351</f>
        <v>853692</v>
      </c>
      <c r="P351" s="471">
        <f>'d3'!P352-'d3-П'!P351</f>
        <v>853692</v>
      </c>
      <c r="Q351" s="45"/>
      <c r="R351" s="48"/>
    </row>
    <row r="352" spans="1:18" ht="175.5" customHeight="1" thickTop="1" thickBot="1" x14ac:dyDescent="0.25">
      <c r="A352" s="94" t="s">
        <v>1544</v>
      </c>
      <c r="B352" s="94" t="s">
        <v>1545</v>
      </c>
      <c r="C352" s="94" t="s">
        <v>177</v>
      </c>
      <c r="D352" s="507" t="s">
        <v>1543</v>
      </c>
      <c r="E352" s="471">
        <f>'d3'!E353-'d3-П'!E352</f>
        <v>0</v>
      </c>
      <c r="F352" s="471">
        <f>'d3'!F353-'d3-П'!F352</f>
        <v>0</v>
      </c>
      <c r="G352" s="471">
        <f>'d3'!G353-'d3-П'!G352</f>
        <v>0</v>
      </c>
      <c r="H352" s="471">
        <f>'d3'!H353-'d3-П'!H352</f>
        <v>0</v>
      </c>
      <c r="I352" s="471">
        <f>'d3'!I353-'d3-П'!I352</f>
        <v>0</v>
      </c>
      <c r="J352" s="471">
        <f>'d3'!J353-'d3-П'!J352</f>
        <v>853692</v>
      </c>
      <c r="K352" s="471">
        <f>'d3'!K353-'d3-П'!K352</f>
        <v>853692</v>
      </c>
      <c r="L352" s="471">
        <f>'d3'!L353-'d3-П'!L352</f>
        <v>0</v>
      </c>
      <c r="M352" s="471">
        <f>'d3'!M353-'d3-П'!M352</f>
        <v>0</v>
      </c>
      <c r="N352" s="471">
        <f>'d3'!N353-'d3-П'!N352</f>
        <v>0</v>
      </c>
      <c r="O352" s="471">
        <f>'d3'!O353-'d3-П'!O352</f>
        <v>853692</v>
      </c>
      <c r="P352" s="471">
        <f>'d3'!P353-'d3-П'!P352</f>
        <v>853692</v>
      </c>
      <c r="Q352" s="45"/>
      <c r="R352" s="48"/>
    </row>
    <row r="353" spans="1:18" ht="72.75" hidden="1" customHeight="1" thickTop="1" thickBot="1" x14ac:dyDescent="0.25">
      <c r="A353" s="119" t="s">
        <v>1363</v>
      </c>
      <c r="B353" s="119" t="s">
        <v>1364</v>
      </c>
      <c r="C353" s="119" t="s">
        <v>177</v>
      </c>
      <c r="D353" s="277" t="s">
        <v>1362</v>
      </c>
      <c r="E353" s="471">
        <f>'d3'!E354-'d3-П'!E353</f>
        <v>0</v>
      </c>
      <c r="F353" s="471">
        <f>'d3'!F354-'d3-П'!F353</f>
        <v>0</v>
      </c>
      <c r="G353" s="471">
        <f>'d3'!G354-'d3-П'!G353</f>
        <v>0</v>
      </c>
      <c r="H353" s="471">
        <f>'d3'!H354-'d3-П'!H353</f>
        <v>0</v>
      </c>
      <c r="I353" s="471">
        <f>'d3'!I354-'d3-П'!I353</f>
        <v>0</v>
      </c>
      <c r="J353" s="471">
        <f>'d3'!J354-'d3-П'!J353</f>
        <v>0</v>
      </c>
      <c r="K353" s="471">
        <f>'d3'!K354-'d3-П'!K353</f>
        <v>0</v>
      </c>
      <c r="L353" s="471">
        <f>'d3'!L354-'d3-П'!L353</f>
        <v>0</v>
      </c>
      <c r="M353" s="471">
        <f>'d3'!M354-'d3-П'!M353</f>
        <v>0</v>
      </c>
      <c r="N353" s="471">
        <f>'d3'!N354-'d3-П'!N353</f>
        <v>0</v>
      </c>
      <c r="O353" s="471">
        <f>'d3'!O354-'d3-П'!O353</f>
        <v>0</v>
      </c>
      <c r="P353" s="471">
        <f>'d3'!P354-'d3-П'!P353</f>
        <v>0</v>
      </c>
      <c r="Q353" s="45"/>
      <c r="R353" s="48"/>
    </row>
    <row r="354" spans="1:18" ht="47.25" hidden="1" thickTop="1" thickBot="1" x14ac:dyDescent="0.25">
      <c r="A354" s="119"/>
      <c r="B354" s="119"/>
      <c r="C354" s="119"/>
      <c r="D354" s="277"/>
      <c r="E354" s="471">
        <f>'d3'!E355-'d3-П'!E354</f>
        <v>0</v>
      </c>
      <c r="F354" s="471">
        <f>'d3'!F355-'d3-П'!F354</f>
        <v>0</v>
      </c>
      <c r="G354" s="471">
        <f>'d3'!G355-'d3-П'!G354</f>
        <v>0</v>
      </c>
      <c r="H354" s="471">
        <f>'d3'!H355-'d3-П'!H354</f>
        <v>0</v>
      </c>
      <c r="I354" s="471">
        <f>'d3'!I355-'d3-П'!I354</f>
        <v>0</v>
      </c>
      <c r="J354" s="471">
        <f>'d3'!J355-'d3-П'!J354</f>
        <v>0</v>
      </c>
      <c r="K354" s="471">
        <f>'d3'!K355-'d3-П'!K354</f>
        <v>0</v>
      </c>
      <c r="L354" s="471">
        <f>'d3'!L355-'d3-П'!L354</f>
        <v>0</v>
      </c>
      <c r="M354" s="471">
        <f>'d3'!M355-'d3-П'!M354</f>
        <v>0</v>
      </c>
      <c r="N354" s="471">
        <f>'d3'!N355-'d3-П'!N354</f>
        <v>0</v>
      </c>
      <c r="O354" s="471">
        <f>'d3'!O355-'d3-П'!O354</f>
        <v>0</v>
      </c>
      <c r="P354" s="471">
        <f>'d3'!P355-'d3-П'!P354</f>
        <v>0</v>
      </c>
      <c r="Q354" s="45"/>
      <c r="R354" s="48"/>
    </row>
    <row r="355" spans="1:18" ht="103.5" customHeight="1" thickTop="1" thickBot="1" x14ac:dyDescent="0.25">
      <c r="A355" s="239" t="s">
        <v>776</v>
      </c>
      <c r="B355" s="239" t="s">
        <v>734</v>
      </c>
      <c r="C355" s="94"/>
      <c r="D355" s="239" t="s">
        <v>735</v>
      </c>
      <c r="E355" s="471">
        <f>'d3'!E356-'d3-П'!E355</f>
        <v>0</v>
      </c>
      <c r="F355" s="471">
        <f>'d3'!F356-'d3-П'!F355</f>
        <v>0</v>
      </c>
      <c r="G355" s="471">
        <f>'d3'!G356-'d3-П'!G355</f>
        <v>0</v>
      </c>
      <c r="H355" s="471">
        <f>'d3'!H356-'d3-П'!H355</f>
        <v>0</v>
      </c>
      <c r="I355" s="471">
        <f>'d3'!I356-'d3-П'!I355</f>
        <v>0</v>
      </c>
      <c r="J355" s="471">
        <f>'d3'!J356-'d3-П'!J355</f>
        <v>0</v>
      </c>
      <c r="K355" s="471">
        <f>'d3'!K356-'d3-П'!K355</f>
        <v>0</v>
      </c>
      <c r="L355" s="471">
        <f>'d3'!L356-'d3-П'!L355</f>
        <v>0</v>
      </c>
      <c r="M355" s="471">
        <f>'d3'!M356-'d3-П'!M355</f>
        <v>0</v>
      </c>
      <c r="N355" s="471">
        <f>'d3'!N356-'d3-П'!N355</f>
        <v>0</v>
      </c>
      <c r="O355" s="471">
        <f>'d3'!O356-'d3-П'!O355</f>
        <v>0</v>
      </c>
      <c r="P355" s="471">
        <f>'d3'!P356-'d3-П'!P355</f>
        <v>0</v>
      </c>
      <c r="Q355" s="45"/>
      <c r="R355" s="48"/>
    </row>
    <row r="356" spans="1:18" ht="82.5" hidden="1" customHeight="1" thickTop="1" thickBot="1" x14ac:dyDescent="0.25">
      <c r="A356" s="131" t="s">
        <v>777</v>
      </c>
      <c r="B356" s="131" t="s">
        <v>778</v>
      </c>
      <c r="C356" s="131"/>
      <c r="D356" s="131" t="s">
        <v>779</v>
      </c>
      <c r="E356" s="471">
        <f>'d3'!E357-'d3-П'!E356</f>
        <v>0</v>
      </c>
      <c r="F356" s="471">
        <f>'d3'!F357-'d3-П'!F356</f>
        <v>0</v>
      </c>
      <c r="G356" s="471">
        <f>'d3'!G357-'d3-П'!G356</f>
        <v>0</v>
      </c>
      <c r="H356" s="471">
        <f>'d3'!H357-'d3-П'!H356</f>
        <v>0</v>
      </c>
      <c r="I356" s="471">
        <f>'d3'!I357-'d3-П'!I356</f>
        <v>0</v>
      </c>
      <c r="J356" s="471">
        <f>'d3'!J357-'d3-П'!J356</f>
        <v>0</v>
      </c>
      <c r="K356" s="471">
        <f>'d3'!K357-'d3-П'!K356</f>
        <v>0</v>
      </c>
      <c r="L356" s="471">
        <f>'d3'!L357-'d3-П'!L356</f>
        <v>0</v>
      </c>
      <c r="M356" s="471">
        <f>'d3'!M357-'d3-П'!M356</f>
        <v>0</v>
      </c>
      <c r="N356" s="471">
        <f>'d3'!N357-'d3-П'!N356</f>
        <v>0</v>
      </c>
      <c r="O356" s="471">
        <f>'d3'!O357-'d3-П'!O356</f>
        <v>0</v>
      </c>
      <c r="P356" s="471">
        <f>'d3'!P357-'d3-П'!P356</f>
        <v>0</v>
      </c>
      <c r="Q356" s="45"/>
      <c r="R356" s="48"/>
    </row>
    <row r="357" spans="1:18" ht="184.5" hidden="1" thickTop="1" thickBot="1" x14ac:dyDescent="0.25">
      <c r="A357" s="119" t="s">
        <v>422</v>
      </c>
      <c r="B357" s="119" t="s">
        <v>423</v>
      </c>
      <c r="C357" s="119" t="s">
        <v>190</v>
      </c>
      <c r="D357" s="119" t="s">
        <v>1062</v>
      </c>
      <c r="E357" s="471">
        <f>'d3'!E358-'d3-П'!E357</f>
        <v>0</v>
      </c>
      <c r="F357" s="471">
        <f>'d3'!F358-'d3-П'!F357</f>
        <v>0</v>
      </c>
      <c r="G357" s="471">
        <f>'d3'!G358-'d3-П'!G357</f>
        <v>0</v>
      </c>
      <c r="H357" s="471">
        <f>'d3'!H358-'d3-П'!H357</f>
        <v>0</v>
      </c>
      <c r="I357" s="471">
        <f>'d3'!I358-'d3-П'!I357</f>
        <v>0</v>
      </c>
      <c r="J357" s="471">
        <f>'d3'!J358-'d3-П'!J357</f>
        <v>0</v>
      </c>
      <c r="K357" s="471">
        <f>'d3'!K358-'d3-П'!K357</f>
        <v>0</v>
      </c>
      <c r="L357" s="471">
        <f>'d3'!L358-'d3-П'!L357</f>
        <v>0</v>
      </c>
      <c r="M357" s="471">
        <f>'d3'!M358-'d3-П'!M357</f>
        <v>0</v>
      </c>
      <c r="N357" s="471">
        <f>'d3'!N358-'d3-П'!N357</f>
        <v>0</v>
      </c>
      <c r="O357" s="471">
        <f>'d3'!O358-'d3-П'!O357</f>
        <v>0</v>
      </c>
      <c r="P357" s="471">
        <f>'d3'!P358-'d3-П'!P357</f>
        <v>0</v>
      </c>
      <c r="Q357" s="45"/>
      <c r="R357" s="44"/>
    </row>
    <row r="358" spans="1:18" ht="195" customHeight="1" thickTop="1" thickBot="1" x14ac:dyDescent="0.25">
      <c r="A358" s="94" t="s">
        <v>1548</v>
      </c>
      <c r="B358" s="94" t="s">
        <v>1455</v>
      </c>
      <c r="C358" s="94" t="s">
        <v>190</v>
      </c>
      <c r="D358" s="94" t="s">
        <v>1549</v>
      </c>
      <c r="E358" s="471">
        <f>'d3'!E359-'d3-П'!E358</f>
        <v>0</v>
      </c>
      <c r="F358" s="471">
        <f>'d3'!F359-'d3-П'!F358</f>
        <v>0</v>
      </c>
      <c r="G358" s="471">
        <f>'d3'!G359-'d3-П'!G358</f>
        <v>0</v>
      </c>
      <c r="H358" s="471">
        <f>'d3'!H359-'d3-П'!H358</f>
        <v>0</v>
      </c>
      <c r="I358" s="471">
        <f>'d3'!I359-'d3-П'!I358</f>
        <v>0</v>
      </c>
      <c r="J358" s="471">
        <f>'d3'!J359-'d3-П'!J358</f>
        <v>0</v>
      </c>
      <c r="K358" s="471">
        <f>'d3'!K359-'d3-П'!K358</f>
        <v>0</v>
      </c>
      <c r="L358" s="471">
        <f>'d3'!L359-'d3-П'!L358</f>
        <v>0</v>
      </c>
      <c r="M358" s="471">
        <f>'d3'!M359-'d3-П'!M358</f>
        <v>0</v>
      </c>
      <c r="N358" s="471">
        <f>'d3'!N359-'d3-П'!N358</f>
        <v>0</v>
      </c>
      <c r="O358" s="471">
        <f>'d3'!O359-'d3-П'!O358</f>
        <v>0</v>
      </c>
      <c r="P358" s="471">
        <f>'d3'!P359-'d3-П'!P358</f>
        <v>0</v>
      </c>
      <c r="Q358" s="45"/>
      <c r="R358" s="44"/>
    </row>
    <row r="359" spans="1:18" ht="141.75" hidden="1" customHeight="1" thickTop="1" thickBot="1" x14ac:dyDescent="0.25">
      <c r="A359" s="239" t="s">
        <v>1559</v>
      </c>
      <c r="B359" s="239" t="s">
        <v>707</v>
      </c>
      <c r="C359" s="94"/>
      <c r="D359" s="239" t="s">
        <v>708</v>
      </c>
      <c r="E359" s="521"/>
      <c r="F359" s="521"/>
      <c r="G359" s="521"/>
      <c r="H359" s="521"/>
      <c r="I359" s="521"/>
      <c r="J359" s="521"/>
      <c r="K359" s="521"/>
      <c r="L359" s="521"/>
      <c r="M359" s="521"/>
      <c r="N359" s="521"/>
      <c r="O359" s="521"/>
      <c r="P359" s="521"/>
      <c r="Q359" s="45"/>
      <c r="R359" s="44"/>
    </row>
    <row r="360" spans="1:18" ht="195" hidden="1" customHeight="1" thickTop="1" thickBot="1" x14ac:dyDescent="0.25">
      <c r="A360" s="94" t="s">
        <v>1560</v>
      </c>
      <c r="B360" s="94" t="s">
        <v>1354</v>
      </c>
      <c r="C360" s="94" t="s">
        <v>1039</v>
      </c>
      <c r="D360" s="94" t="s">
        <v>1529</v>
      </c>
      <c r="E360" s="118"/>
      <c r="F360" s="125"/>
      <c r="G360" s="125"/>
      <c r="H360" s="125"/>
      <c r="I360" s="125"/>
      <c r="J360" s="501"/>
      <c r="K360" s="504"/>
      <c r="L360" s="504"/>
      <c r="M360" s="504"/>
      <c r="N360" s="504"/>
      <c r="O360" s="502"/>
      <c r="P360" s="501"/>
      <c r="Q360" s="45"/>
      <c r="R360" s="44"/>
    </row>
    <row r="361" spans="1:18" ht="195" hidden="1" customHeight="1" thickTop="1" thickBot="1" x14ac:dyDescent="0.25">
      <c r="A361" s="94"/>
      <c r="B361" s="94"/>
      <c r="C361" s="94"/>
      <c r="D361" s="94"/>
      <c r="E361" s="118"/>
      <c r="F361" s="125"/>
      <c r="G361" s="125"/>
      <c r="H361" s="125"/>
      <c r="I361" s="125"/>
      <c r="J361" s="501"/>
      <c r="K361" s="504"/>
      <c r="L361" s="504"/>
      <c r="M361" s="504"/>
      <c r="N361" s="504"/>
      <c r="O361" s="502"/>
      <c r="P361" s="501"/>
      <c r="Q361" s="45"/>
      <c r="R361" s="44"/>
    </row>
    <row r="362" spans="1:18" ht="195" hidden="1" customHeight="1" thickTop="1" thickBot="1" x14ac:dyDescent="0.25">
      <c r="A362" s="94"/>
      <c r="B362" s="94"/>
      <c r="C362" s="94"/>
      <c r="D362" s="94"/>
      <c r="E362" s="118"/>
      <c r="F362" s="125"/>
      <c r="G362" s="125"/>
      <c r="H362" s="125"/>
      <c r="I362" s="125"/>
      <c r="J362" s="501"/>
      <c r="K362" s="504"/>
      <c r="L362" s="504"/>
      <c r="M362" s="504"/>
      <c r="N362" s="504"/>
      <c r="O362" s="502"/>
      <c r="P362" s="501"/>
      <c r="Q362" s="45"/>
      <c r="R362" s="44"/>
    </row>
    <row r="363" spans="1:18" ht="106.5" customHeight="1" thickTop="1" thickBot="1" x14ac:dyDescent="0.25">
      <c r="A363" s="483" t="s">
        <v>780</v>
      </c>
      <c r="B363" s="483" t="s">
        <v>713</v>
      </c>
      <c r="C363" s="469"/>
      <c r="D363" s="483" t="s">
        <v>757</v>
      </c>
      <c r="E363" s="471">
        <f>'d3'!E364-'d3-П'!E363</f>
        <v>200000</v>
      </c>
      <c r="F363" s="471">
        <f>'d3'!F364-'d3-П'!F363</f>
        <v>200000</v>
      </c>
      <c r="G363" s="471">
        <f>'d3'!G364-'d3-П'!G363</f>
        <v>0</v>
      </c>
      <c r="H363" s="471">
        <f>'d3'!H364-'d3-П'!H363</f>
        <v>0</v>
      </c>
      <c r="I363" s="471">
        <f>'d3'!I364-'d3-П'!I363</f>
        <v>0</v>
      </c>
      <c r="J363" s="471">
        <f>'d3'!J364-'d3-П'!J363</f>
        <v>1261509</v>
      </c>
      <c r="K363" s="471">
        <f>'d3'!K364-'d3-П'!K363</f>
        <v>1261509</v>
      </c>
      <c r="L363" s="471">
        <f>'d3'!L364-'d3-П'!L363</f>
        <v>0</v>
      </c>
      <c r="M363" s="471">
        <f>'d3'!M364-'d3-П'!M363</f>
        <v>0</v>
      </c>
      <c r="N363" s="471">
        <f>'d3'!N364-'d3-П'!N363</f>
        <v>0</v>
      </c>
      <c r="O363" s="471">
        <f>'d3'!O364-'d3-П'!O363</f>
        <v>1261509</v>
      </c>
      <c r="P363" s="471">
        <f>'d3'!P364-'d3-П'!P363</f>
        <v>1461509</v>
      </c>
      <c r="Q363" s="43"/>
      <c r="R363" s="44"/>
    </row>
    <row r="364" spans="1:18" ht="109.5" customHeight="1" thickTop="1" thickBot="1" x14ac:dyDescent="0.25">
      <c r="A364" s="496" t="s">
        <v>781</v>
      </c>
      <c r="B364" s="496" t="s">
        <v>765</v>
      </c>
      <c r="C364" s="496"/>
      <c r="D364" s="496" t="s">
        <v>1711</v>
      </c>
      <c r="E364" s="471">
        <f>'d3'!E365-'d3-П'!E364</f>
        <v>0</v>
      </c>
      <c r="F364" s="471">
        <f>'d3'!F365-'d3-П'!F364</f>
        <v>0</v>
      </c>
      <c r="G364" s="471">
        <f>'d3'!G365-'d3-П'!G364</f>
        <v>0</v>
      </c>
      <c r="H364" s="471">
        <f>'d3'!H365-'d3-П'!H364</f>
        <v>0</v>
      </c>
      <c r="I364" s="471">
        <f>'d3'!I365-'d3-П'!I364</f>
        <v>0</v>
      </c>
      <c r="J364" s="471">
        <f>'d3'!J365-'d3-П'!J364</f>
        <v>294809</v>
      </c>
      <c r="K364" s="471">
        <f>'d3'!K365-'d3-П'!K364</f>
        <v>294809</v>
      </c>
      <c r="L364" s="471">
        <f>'d3'!L365-'d3-П'!L364</f>
        <v>0</v>
      </c>
      <c r="M364" s="471">
        <f>'d3'!M365-'d3-П'!M364</f>
        <v>0</v>
      </c>
      <c r="N364" s="471">
        <f>'d3'!N365-'d3-П'!N364</f>
        <v>0</v>
      </c>
      <c r="O364" s="471">
        <f>'d3'!O365-'d3-П'!O364</f>
        <v>294809</v>
      </c>
      <c r="P364" s="471">
        <f>'d3'!P365-'d3-П'!P364</f>
        <v>294809</v>
      </c>
      <c r="Q364" s="43"/>
      <c r="R364" s="44"/>
    </row>
    <row r="365" spans="1:18" ht="184.5" customHeight="1" thickTop="1" thickBot="1" x14ac:dyDescent="0.3">
      <c r="A365" s="469" t="s">
        <v>307</v>
      </c>
      <c r="B365" s="469" t="s">
        <v>308</v>
      </c>
      <c r="C365" s="469" t="s">
        <v>165</v>
      </c>
      <c r="D365" s="469" t="s">
        <v>1525</v>
      </c>
      <c r="E365" s="471">
        <f>'d3'!E366-'d3-П'!E365</f>
        <v>0</v>
      </c>
      <c r="F365" s="471">
        <f>'d3'!F366-'d3-П'!F365</f>
        <v>0</v>
      </c>
      <c r="G365" s="471">
        <f>'d3'!G366-'d3-П'!G365</f>
        <v>0</v>
      </c>
      <c r="H365" s="471">
        <f>'d3'!H366-'d3-П'!H365</f>
        <v>0</v>
      </c>
      <c r="I365" s="471">
        <f>'d3'!I366-'d3-П'!I365</f>
        <v>0</v>
      </c>
      <c r="J365" s="471">
        <f>'d3'!J366-'d3-П'!J365</f>
        <v>294809</v>
      </c>
      <c r="K365" s="471">
        <f>'d3'!K366-'d3-П'!K365</f>
        <v>294809</v>
      </c>
      <c r="L365" s="471">
        <f>'d3'!L366-'d3-П'!L365</f>
        <v>0</v>
      </c>
      <c r="M365" s="471">
        <f>'d3'!M366-'d3-П'!M365</f>
        <v>0</v>
      </c>
      <c r="N365" s="471">
        <f>'d3'!N366-'d3-П'!N365</f>
        <v>0</v>
      </c>
      <c r="O365" s="471">
        <f>'d3'!O366-'d3-П'!O365</f>
        <v>294809</v>
      </c>
      <c r="P365" s="471">
        <f>'d3'!P366-'d3-П'!P365</f>
        <v>294809</v>
      </c>
      <c r="Q365" s="151"/>
      <c r="R365" s="44"/>
    </row>
    <row r="366" spans="1:18" ht="47.25" hidden="1" thickTop="1" thickBot="1" x14ac:dyDescent="0.25">
      <c r="A366" s="39" t="s">
        <v>426</v>
      </c>
      <c r="B366" s="39" t="s">
        <v>341</v>
      </c>
      <c r="C366" s="39" t="s">
        <v>165</v>
      </c>
      <c r="D366" s="39" t="s">
        <v>256</v>
      </c>
      <c r="E366" s="471">
        <f>'d3'!E367-'d3-П'!E366</f>
        <v>0</v>
      </c>
      <c r="F366" s="471">
        <f>'d3'!F367-'d3-П'!F366</f>
        <v>0</v>
      </c>
      <c r="G366" s="471">
        <f>'d3'!G367-'d3-П'!G366</f>
        <v>0</v>
      </c>
      <c r="H366" s="471">
        <f>'d3'!H367-'d3-П'!H366</f>
        <v>0</v>
      </c>
      <c r="I366" s="471">
        <f>'d3'!I367-'d3-П'!I366</f>
        <v>0</v>
      </c>
      <c r="J366" s="471">
        <f>'d3'!J367-'d3-П'!J366</f>
        <v>0</v>
      </c>
      <c r="K366" s="471">
        <f>'d3'!K367-'d3-П'!K366</f>
        <v>0</v>
      </c>
      <c r="L366" s="471">
        <f>'d3'!L367-'d3-П'!L366</f>
        <v>0</v>
      </c>
      <c r="M366" s="471">
        <f>'d3'!M367-'d3-П'!M366</f>
        <v>0</v>
      </c>
      <c r="N366" s="471">
        <f>'d3'!N367-'d3-П'!N366</f>
        <v>0</v>
      </c>
      <c r="O366" s="471">
        <f>'d3'!O367-'d3-П'!O366</f>
        <v>0</v>
      </c>
      <c r="P366" s="471">
        <f>'d3'!P367-'d3-П'!P366</f>
        <v>0</v>
      </c>
      <c r="Q366" s="18"/>
      <c r="R366" s="44"/>
    </row>
    <row r="367" spans="1:18" ht="129" customHeight="1" thickTop="1" thickBot="1" x14ac:dyDescent="0.25">
      <c r="A367" s="496" t="s">
        <v>1788</v>
      </c>
      <c r="B367" s="496" t="s">
        <v>768</v>
      </c>
      <c r="C367" s="496"/>
      <c r="D367" s="496" t="s">
        <v>769</v>
      </c>
      <c r="E367" s="471">
        <f>'d3'!E368-'d3-П'!E367</f>
        <v>-100000</v>
      </c>
      <c r="F367" s="471">
        <f>'d3'!F368-'d3-П'!F367</f>
        <v>-100000</v>
      </c>
      <c r="G367" s="471">
        <f>'d3'!G368-'d3-П'!G367</f>
        <v>0</v>
      </c>
      <c r="H367" s="471">
        <f>'d3'!H368-'d3-П'!H367</f>
        <v>0</v>
      </c>
      <c r="I367" s="471">
        <f>'d3'!I368-'d3-П'!I367</f>
        <v>0</v>
      </c>
      <c r="J367" s="471">
        <f>'d3'!J368-'d3-П'!J367</f>
        <v>966700</v>
      </c>
      <c r="K367" s="471">
        <f>'d3'!K368-'d3-П'!K367</f>
        <v>966700</v>
      </c>
      <c r="L367" s="471">
        <f>'d3'!L368-'d3-П'!L367</f>
        <v>0</v>
      </c>
      <c r="M367" s="471">
        <f>'d3'!M368-'d3-П'!M367</f>
        <v>0</v>
      </c>
      <c r="N367" s="471">
        <f>'d3'!N368-'d3-П'!N367</f>
        <v>0</v>
      </c>
      <c r="O367" s="471">
        <f>'d3'!O368-'d3-П'!O367</f>
        <v>966700</v>
      </c>
      <c r="P367" s="471">
        <f>'d3'!P368-'d3-П'!P367</f>
        <v>866700</v>
      </c>
      <c r="Q367" s="18"/>
      <c r="R367" s="44"/>
    </row>
    <row r="368" spans="1:18" ht="129" customHeight="1" thickTop="1" thickBot="1" x14ac:dyDescent="0.25">
      <c r="A368" s="518" t="s">
        <v>1796</v>
      </c>
      <c r="B368" s="518" t="s">
        <v>898</v>
      </c>
      <c r="C368" s="518"/>
      <c r="D368" s="518" t="s">
        <v>899</v>
      </c>
      <c r="E368" s="471">
        <f>'d3'!E369-'d3-П'!E368</f>
        <v>-100000</v>
      </c>
      <c r="F368" s="471">
        <f>'d3'!F369-'d3-П'!F368</f>
        <v>-100000</v>
      </c>
      <c r="G368" s="471">
        <f>'d3'!G369-'d3-П'!G368</f>
        <v>0</v>
      </c>
      <c r="H368" s="471">
        <f>'d3'!H369-'d3-П'!H368</f>
        <v>0</v>
      </c>
      <c r="I368" s="471">
        <f>'d3'!I369-'d3-П'!I368</f>
        <v>0</v>
      </c>
      <c r="J368" s="471">
        <f>'d3'!J369-'d3-П'!J368</f>
        <v>0</v>
      </c>
      <c r="K368" s="471">
        <f>'d3'!K369-'d3-П'!K368</f>
        <v>0</v>
      </c>
      <c r="L368" s="471">
        <f>'d3'!L369-'d3-П'!L368</f>
        <v>0</v>
      </c>
      <c r="M368" s="471">
        <f>'d3'!M369-'d3-П'!M368</f>
        <v>0</v>
      </c>
      <c r="N368" s="471">
        <f>'d3'!N369-'d3-П'!N368</f>
        <v>0</v>
      </c>
      <c r="O368" s="471">
        <f>'d3'!O369-'d3-П'!O368</f>
        <v>0</v>
      </c>
      <c r="P368" s="471">
        <f>'d3'!P369-'d3-П'!P368</f>
        <v>-100000</v>
      </c>
      <c r="Q368" s="18"/>
      <c r="R368" s="44"/>
    </row>
    <row r="369" spans="1:18" ht="197.25" customHeight="1" thickTop="1" thickBot="1" x14ac:dyDescent="0.25">
      <c r="A369" s="713" t="s">
        <v>1797</v>
      </c>
      <c r="B369" s="713" t="s">
        <v>287</v>
      </c>
      <c r="C369" s="713" t="s">
        <v>289</v>
      </c>
      <c r="D369" s="715" t="s">
        <v>288</v>
      </c>
      <c r="E369" s="471">
        <f>'d3'!E370-0</f>
        <v>200000</v>
      </c>
      <c r="F369" s="471">
        <f>'d3'!F370-0</f>
        <v>200000</v>
      </c>
      <c r="G369" s="471">
        <f>'d3'!G370-0</f>
        <v>0</v>
      </c>
      <c r="H369" s="471">
        <f>'d3'!H370-0</f>
        <v>0</v>
      </c>
      <c r="I369" s="471">
        <f>'d3'!I370-0</f>
        <v>0</v>
      </c>
      <c r="J369" s="471">
        <f>'d3'!J370-0</f>
        <v>0</v>
      </c>
      <c r="K369" s="471">
        <f>'d3'!K370-0</f>
        <v>0</v>
      </c>
      <c r="L369" s="471">
        <f>'d3'!L370-0</f>
        <v>0</v>
      </c>
      <c r="M369" s="471">
        <f>'d3'!M370-0</f>
        <v>0</v>
      </c>
      <c r="N369" s="471">
        <f>'d3'!N370-0</f>
        <v>0</v>
      </c>
      <c r="O369" s="471">
        <f>'d3'!O370-0</f>
        <v>0</v>
      </c>
      <c r="P369" s="471">
        <f>'d3'!P370-0</f>
        <v>200000</v>
      </c>
      <c r="Q369" s="18"/>
      <c r="R369" s="44"/>
    </row>
    <row r="370" spans="1:18" ht="129.75" customHeight="1" thickTop="1" thickBot="1" x14ac:dyDescent="0.25">
      <c r="A370" s="714" t="s">
        <v>1789</v>
      </c>
      <c r="B370" s="714" t="s">
        <v>1534</v>
      </c>
      <c r="C370" s="714" t="s">
        <v>289</v>
      </c>
      <c r="D370" s="714" t="s">
        <v>1532</v>
      </c>
      <c r="E370" s="471">
        <f>'d3'!E371-0</f>
        <v>0</v>
      </c>
      <c r="F370" s="471">
        <f>'d3'!F371-0</f>
        <v>0</v>
      </c>
      <c r="G370" s="471">
        <f>'d3'!G371-0</f>
        <v>0</v>
      </c>
      <c r="H370" s="471">
        <f>'d3'!H371-0</f>
        <v>0</v>
      </c>
      <c r="I370" s="471">
        <f>'d3'!I371-0</f>
        <v>0</v>
      </c>
      <c r="J370" s="471">
        <f>'d3'!J371-0</f>
        <v>966700</v>
      </c>
      <c r="K370" s="471">
        <f>'d3'!K371-0</f>
        <v>966700</v>
      </c>
      <c r="L370" s="471">
        <f>'d3'!L371-0</f>
        <v>0</v>
      </c>
      <c r="M370" s="471">
        <f>'d3'!M371-0</f>
        <v>0</v>
      </c>
      <c r="N370" s="471">
        <f>'d3'!N371-0</f>
        <v>0</v>
      </c>
      <c r="O370" s="471">
        <f>'d3'!O371-0</f>
        <v>966700</v>
      </c>
      <c r="P370" s="471">
        <f>'d3'!P371-0</f>
        <v>966700</v>
      </c>
      <c r="Q370" s="18"/>
      <c r="R370" s="44"/>
    </row>
    <row r="371" spans="1:18" ht="115.5" customHeight="1" thickTop="1" thickBot="1" x14ac:dyDescent="0.25">
      <c r="A371" s="496" t="s">
        <v>925</v>
      </c>
      <c r="B371" s="496" t="s">
        <v>659</v>
      </c>
      <c r="C371" s="496"/>
      <c r="D371" s="496" t="s">
        <v>657</v>
      </c>
      <c r="E371" s="471">
        <f>'d3'!E372-'d3-П'!E367</f>
        <v>0</v>
      </c>
      <c r="F371" s="471">
        <f>'d3'!F372-'d3-П'!F367</f>
        <v>0</v>
      </c>
      <c r="G371" s="471">
        <f>'d3'!G372-'d3-П'!G367</f>
        <v>0</v>
      </c>
      <c r="H371" s="471">
        <f>'d3'!H372-'d3-П'!H367</f>
        <v>0</v>
      </c>
      <c r="I371" s="471">
        <f>'d3'!I372-'d3-П'!I367</f>
        <v>0</v>
      </c>
      <c r="J371" s="471">
        <f>'d3'!J372-'d3-П'!J367</f>
        <v>0</v>
      </c>
      <c r="K371" s="471">
        <f>'d3'!K372-'d3-П'!K367</f>
        <v>0</v>
      </c>
      <c r="L371" s="471">
        <f>'d3'!L372-'d3-П'!L367</f>
        <v>0</v>
      </c>
      <c r="M371" s="471">
        <f>'d3'!M372-'d3-П'!M367</f>
        <v>0</v>
      </c>
      <c r="N371" s="471">
        <f>'d3'!N372-'d3-П'!N367</f>
        <v>0</v>
      </c>
      <c r="O371" s="471">
        <f>'d3'!O372-'d3-П'!O367</f>
        <v>0</v>
      </c>
      <c r="P371" s="471">
        <f>'d3'!P372-'d3-П'!P367</f>
        <v>0</v>
      </c>
      <c r="Q371" s="18"/>
      <c r="R371" s="44"/>
    </row>
    <row r="372" spans="1:18" ht="116.25" customHeight="1" thickTop="1" thickBot="1" x14ac:dyDescent="0.25">
      <c r="A372" s="481" t="s">
        <v>926</v>
      </c>
      <c r="B372" s="481" t="s">
        <v>662</v>
      </c>
      <c r="C372" s="481"/>
      <c r="D372" s="481" t="s">
        <v>660</v>
      </c>
      <c r="E372" s="471">
        <f>'d3'!E373-'d3-П'!E368</f>
        <v>0</v>
      </c>
      <c r="F372" s="471">
        <f>'d3'!F373-'d3-П'!F368</f>
        <v>0</v>
      </c>
      <c r="G372" s="471">
        <f>'d3'!G373-'d3-П'!G368</f>
        <v>0</v>
      </c>
      <c r="H372" s="471">
        <f>'d3'!H373-'d3-П'!H368</f>
        <v>0</v>
      </c>
      <c r="I372" s="471">
        <f>'d3'!I373-'d3-П'!I368</f>
        <v>0</v>
      </c>
      <c r="J372" s="471">
        <f>'d3'!J373-'d3-П'!J368</f>
        <v>0</v>
      </c>
      <c r="K372" s="471">
        <f>'d3'!K373-'d3-П'!K368</f>
        <v>0</v>
      </c>
      <c r="L372" s="471">
        <f>'d3'!L373-'d3-П'!L368</f>
        <v>0</v>
      </c>
      <c r="M372" s="471">
        <f>'d3'!M373-'d3-П'!M368</f>
        <v>0</v>
      </c>
      <c r="N372" s="471">
        <f>'d3'!N373-'d3-П'!N368</f>
        <v>0</v>
      </c>
      <c r="O372" s="471">
        <f>'d3'!O373-'d3-П'!O368</f>
        <v>0</v>
      </c>
      <c r="P372" s="471">
        <f>'d3'!P373-'d3-П'!P368</f>
        <v>0</v>
      </c>
      <c r="Q372" s="18"/>
      <c r="R372" s="44"/>
    </row>
    <row r="373" spans="1:18" ht="184.5" hidden="1" customHeight="1" thickTop="1" thickBot="1" x14ac:dyDescent="0.7">
      <c r="A373" s="803" t="s">
        <v>927</v>
      </c>
      <c r="B373" s="803" t="s">
        <v>329</v>
      </c>
      <c r="C373" s="803" t="s">
        <v>165</v>
      </c>
      <c r="D373" s="152" t="s">
        <v>429</v>
      </c>
      <c r="E373" s="471">
        <f>'d3'!E374-'d3-П'!E369</f>
        <v>0</v>
      </c>
      <c r="F373" s="471">
        <f>'d3'!F374-'d3-П'!F369</f>
        <v>0</v>
      </c>
      <c r="G373" s="471">
        <f>'d3'!G374-'d3-П'!G369</f>
        <v>0</v>
      </c>
      <c r="H373" s="471">
        <f>'d3'!H374-'d3-П'!H369</f>
        <v>0</v>
      </c>
      <c r="I373" s="471">
        <f>'d3'!I374-'d3-П'!I369</f>
        <v>0</v>
      </c>
      <c r="J373" s="471">
        <f>'d3'!J374-'d3-П'!J369</f>
        <v>0</v>
      </c>
      <c r="K373" s="471">
        <f>'d3'!K374-'d3-П'!K369</f>
        <v>0</v>
      </c>
      <c r="L373" s="471">
        <f>'d3'!L374-'d3-П'!L369</f>
        <v>0</v>
      </c>
      <c r="M373" s="471">
        <f>'d3'!M374-'d3-П'!M369</f>
        <v>0</v>
      </c>
      <c r="N373" s="471">
        <f>'d3'!N374-'d3-П'!N369</f>
        <v>0</v>
      </c>
      <c r="O373" s="471">
        <f>'d3'!O374-'d3-П'!O369</f>
        <v>0</v>
      </c>
      <c r="P373" s="471">
        <f>'d3'!P374-'d3-П'!P369</f>
        <v>0</v>
      </c>
      <c r="Q373" s="18"/>
      <c r="R373" s="44"/>
    </row>
    <row r="374" spans="1:18" ht="93" hidden="1" customHeight="1" thickTop="1" thickBot="1" x14ac:dyDescent="0.25">
      <c r="A374" s="803"/>
      <c r="B374" s="803"/>
      <c r="C374" s="803"/>
      <c r="D374" s="153" t="s">
        <v>430</v>
      </c>
      <c r="E374" s="471">
        <f>'d3'!E375-'d3-П'!E370</f>
        <v>0</v>
      </c>
      <c r="F374" s="471">
        <f>'d3'!F375-'d3-П'!F370</f>
        <v>0</v>
      </c>
      <c r="G374" s="471">
        <f>'d3'!G375-'d3-П'!G370</f>
        <v>0</v>
      </c>
      <c r="H374" s="471">
        <f>'d3'!H375-'d3-П'!H370</f>
        <v>0</v>
      </c>
      <c r="I374" s="471">
        <f>'d3'!I375-'d3-П'!I370</f>
        <v>0</v>
      </c>
      <c r="J374" s="471">
        <f>'d3'!J375-'d3-П'!J370</f>
        <v>0</v>
      </c>
      <c r="K374" s="471">
        <f>'d3'!K375-'d3-П'!K370</f>
        <v>0</v>
      </c>
      <c r="L374" s="471">
        <f>'d3'!L375-'d3-П'!L370</f>
        <v>0</v>
      </c>
      <c r="M374" s="471">
        <f>'d3'!M375-'d3-П'!M370</f>
        <v>0</v>
      </c>
      <c r="N374" s="471">
        <f>'d3'!N375-'d3-П'!N370</f>
        <v>0</v>
      </c>
      <c r="O374" s="471">
        <f>'d3'!O375-'d3-П'!O370</f>
        <v>0</v>
      </c>
      <c r="P374" s="471">
        <f>'d3'!P375-'d3-П'!P370</f>
        <v>0</v>
      </c>
      <c r="Q374" s="18"/>
      <c r="R374" s="44"/>
    </row>
    <row r="375" spans="1:18" ht="106.5" customHeight="1" thickTop="1" thickBot="1" x14ac:dyDescent="0.25">
      <c r="A375" s="469" t="s">
        <v>1073</v>
      </c>
      <c r="B375" s="469" t="s">
        <v>251</v>
      </c>
      <c r="C375" s="469" t="s">
        <v>165</v>
      </c>
      <c r="D375" s="696" t="s">
        <v>249</v>
      </c>
      <c r="E375" s="471">
        <f>'d3'!E376-'d3-П'!E371</f>
        <v>0</v>
      </c>
      <c r="F375" s="471">
        <f>'d3'!F376-'d3-П'!F371</f>
        <v>0</v>
      </c>
      <c r="G375" s="471">
        <f>'d3'!G376-'d3-П'!G371</f>
        <v>0</v>
      </c>
      <c r="H375" s="471">
        <f>'d3'!H376-'d3-П'!H371</f>
        <v>0</v>
      </c>
      <c r="I375" s="471">
        <f>'d3'!I376-'d3-П'!I371</f>
        <v>0</v>
      </c>
      <c r="J375" s="471">
        <f>'d3'!J376-'d3-П'!J371</f>
        <v>0</v>
      </c>
      <c r="K375" s="471">
        <f>'d3'!K376-'d3-П'!K371</f>
        <v>0</v>
      </c>
      <c r="L375" s="471">
        <f>'d3'!L376-'d3-П'!L371</f>
        <v>0</v>
      </c>
      <c r="M375" s="471">
        <f>'d3'!M376-'d3-П'!M371</f>
        <v>0</v>
      </c>
      <c r="N375" s="471">
        <f>'d3'!N376-'d3-П'!N371</f>
        <v>0</v>
      </c>
      <c r="O375" s="471">
        <f>'d3'!O376-'d3-П'!O371</f>
        <v>0</v>
      </c>
      <c r="P375" s="471">
        <f>'d3'!P376-'d3-П'!P371</f>
        <v>0</v>
      </c>
      <c r="Q375" s="18"/>
      <c r="R375" s="44"/>
    </row>
    <row r="376" spans="1:18" ht="91.5" thickTop="1" thickBot="1" x14ac:dyDescent="0.25">
      <c r="A376" s="514" t="s">
        <v>155</v>
      </c>
      <c r="B376" s="514"/>
      <c r="C376" s="514"/>
      <c r="D376" s="515" t="s">
        <v>850</v>
      </c>
      <c r="E376" s="516">
        <f>E377</f>
        <v>68000</v>
      </c>
      <c r="F376" s="517">
        <f t="shared" ref="F376:G376" si="54">F377</f>
        <v>68000</v>
      </c>
      <c r="G376" s="517">
        <f t="shared" si="54"/>
        <v>0</v>
      </c>
      <c r="H376" s="517">
        <f>H377</f>
        <v>0</v>
      </c>
      <c r="I376" s="517">
        <f t="shared" ref="I376" si="55">I377</f>
        <v>0</v>
      </c>
      <c r="J376" s="516">
        <f>J377</f>
        <v>0</v>
      </c>
      <c r="K376" s="517">
        <f>K377</f>
        <v>0</v>
      </c>
      <c r="L376" s="517">
        <f>L377</f>
        <v>0</v>
      </c>
      <c r="M376" s="517">
        <f t="shared" ref="M376" si="56">M377</f>
        <v>0</v>
      </c>
      <c r="N376" s="517">
        <f>N377</f>
        <v>0</v>
      </c>
      <c r="O376" s="516">
        <f>O377</f>
        <v>0</v>
      </c>
      <c r="P376" s="517">
        <f t="shared" ref="P376" si="57">P377</f>
        <v>68000</v>
      </c>
      <c r="Q376" s="18"/>
    </row>
    <row r="377" spans="1:18" ht="148.5" customHeight="1" thickTop="1" thickBot="1" x14ac:dyDescent="0.25">
      <c r="A377" s="511" t="s">
        <v>156</v>
      </c>
      <c r="B377" s="511"/>
      <c r="C377" s="511"/>
      <c r="D377" s="512" t="s">
        <v>851</v>
      </c>
      <c r="E377" s="513">
        <f>E378+E382</f>
        <v>68000</v>
      </c>
      <c r="F377" s="513">
        <f>F378+F382</f>
        <v>68000</v>
      </c>
      <c r="G377" s="513">
        <f>G378+G382</f>
        <v>0</v>
      </c>
      <c r="H377" s="513">
        <f>H378+H382</f>
        <v>0</v>
      </c>
      <c r="I377" s="513">
        <f>I378+I382</f>
        <v>0</v>
      </c>
      <c r="J377" s="513">
        <f>L377+O377</f>
        <v>0</v>
      </c>
      <c r="K377" s="513">
        <f>K378+K382</f>
        <v>0</v>
      </c>
      <c r="L377" s="513">
        <f>L378+L382</f>
        <v>0</v>
      </c>
      <c r="M377" s="513">
        <f>M378+M382</f>
        <v>0</v>
      </c>
      <c r="N377" s="513">
        <f>N378+N382</f>
        <v>0</v>
      </c>
      <c r="O377" s="513">
        <f>O378+O382</f>
        <v>0</v>
      </c>
      <c r="P377" s="513">
        <f>E377+J377</f>
        <v>68000</v>
      </c>
      <c r="Q377" s="546" t="b">
        <f>P377=P379+P384+P385+P381</f>
        <v>0</v>
      </c>
      <c r="R377" s="44"/>
    </row>
    <row r="378" spans="1:18" ht="90.75" customHeight="1" thickTop="1" thickBot="1" x14ac:dyDescent="0.25">
      <c r="A378" s="239" t="s">
        <v>783</v>
      </c>
      <c r="B378" s="239" t="s">
        <v>652</v>
      </c>
      <c r="C378" s="239"/>
      <c r="D378" s="483" t="s">
        <v>653</v>
      </c>
      <c r="E378" s="471">
        <f>'d3'!E379-'d3-П'!E374</f>
        <v>68000</v>
      </c>
      <c r="F378" s="471">
        <f>'d3'!F379-'d3-П'!F374</f>
        <v>68000</v>
      </c>
      <c r="G378" s="471">
        <f>'d3'!G379-'d3-П'!G374</f>
        <v>0</v>
      </c>
      <c r="H378" s="471">
        <f>'d3'!H379-'d3-П'!H374</f>
        <v>0</v>
      </c>
      <c r="I378" s="471">
        <f>'d3'!I379-'d3-П'!I374</f>
        <v>0</v>
      </c>
      <c r="J378" s="471">
        <f>'d3'!J379-'d3-П'!J374</f>
        <v>0</v>
      </c>
      <c r="K378" s="471">
        <f>'d3'!K379-'d3-П'!K374</f>
        <v>0</v>
      </c>
      <c r="L378" s="471">
        <f>'d3'!L379-'d3-П'!L374</f>
        <v>0</v>
      </c>
      <c r="M378" s="471">
        <f>'d3'!M379-'d3-П'!M374</f>
        <v>0</v>
      </c>
      <c r="N378" s="471">
        <f>'d3'!N379-'d3-П'!N374</f>
        <v>0</v>
      </c>
      <c r="O378" s="471">
        <f>'d3'!O379-'d3-П'!O374</f>
        <v>0</v>
      </c>
      <c r="P378" s="471">
        <f>'d3'!P379-'d3-П'!P374</f>
        <v>68000</v>
      </c>
      <c r="Q378" s="45"/>
      <c r="R378" s="44"/>
    </row>
    <row r="379" spans="1:18" ht="149.25" customHeight="1" thickTop="1" thickBot="1" x14ac:dyDescent="0.25">
      <c r="A379" s="94" t="s">
        <v>408</v>
      </c>
      <c r="B379" s="94" t="s">
        <v>231</v>
      </c>
      <c r="C379" s="94" t="s">
        <v>229</v>
      </c>
      <c r="D379" s="469" t="s">
        <v>1515</v>
      </c>
      <c r="E379" s="471">
        <f>'d3'!E380-'d3-П'!E375</f>
        <v>63000</v>
      </c>
      <c r="F379" s="471">
        <f>'d3'!F380-'d3-П'!F375</f>
        <v>63000</v>
      </c>
      <c r="G379" s="471">
        <f>'d3'!G380-'d3-П'!G375</f>
        <v>0</v>
      </c>
      <c r="H379" s="471">
        <f>'d3'!H380-'d3-П'!H375</f>
        <v>0</v>
      </c>
      <c r="I379" s="471">
        <f>'d3'!I380-'d3-П'!I375</f>
        <v>0</v>
      </c>
      <c r="J379" s="471">
        <f>'d3'!J380-'d3-П'!J375</f>
        <v>0</v>
      </c>
      <c r="K379" s="471">
        <f>'d3'!K380-'d3-П'!K375</f>
        <v>0</v>
      </c>
      <c r="L379" s="471">
        <f>'d3'!L380-'d3-П'!L375</f>
        <v>0</v>
      </c>
      <c r="M379" s="471">
        <f>'d3'!M380-'d3-П'!M375</f>
        <v>0</v>
      </c>
      <c r="N379" s="471">
        <f>'d3'!N380-'d3-П'!N375</f>
        <v>0</v>
      </c>
      <c r="O379" s="471">
        <f>'d3'!O380-'d3-П'!O375</f>
        <v>0</v>
      </c>
      <c r="P379" s="471">
        <f>'d3'!P380-'d3-П'!P375</f>
        <v>63000</v>
      </c>
      <c r="Q379" s="45"/>
      <c r="R379" s="44"/>
    </row>
    <row r="380" spans="1:18" ht="132" customHeight="1" thickTop="1" thickBot="1" x14ac:dyDescent="0.25">
      <c r="A380" s="713" t="s">
        <v>604</v>
      </c>
      <c r="B380" s="713" t="s">
        <v>352</v>
      </c>
      <c r="C380" s="713" t="s">
        <v>598</v>
      </c>
      <c r="D380" s="713" t="s">
        <v>599</v>
      </c>
      <c r="E380" s="471">
        <f>'d3'!E381-0</f>
        <v>5000</v>
      </c>
      <c r="F380" s="471">
        <f>'d3'!F381-0</f>
        <v>5000</v>
      </c>
      <c r="G380" s="471">
        <f>'d3'!G381-0</f>
        <v>0</v>
      </c>
      <c r="H380" s="471">
        <f>'d3'!H381-0</f>
        <v>0</v>
      </c>
      <c r="I380" s="471">
        <f>'d3'!I381-0</f>
        <v>0</v>
      </c>
      <c r="J380" s="471">
        <f>'d3'!J381-0</f>
        <v>0</v>
      </c>
      <c r="K380" s="471">
        <f>'d3'!K381-0</f>
        <v>0</v>
      </c>
      <c r="L380" s="471">
        <f>'d3'!L381-0</f>
        <v>0</v>
      </c>
      <c r="M380" s="471">
        <f>'d3'!M381-0</f>
        <v>0</v>
      </c>
      <c r="N380" s="471">
        <f>'d3'!N381-0</f>
        <v>0</v>
      </c>
      <c r="O380" s="471">
        <f>'d3'!O381-0</f>
        <v>0</v>
      </c>
      <c r="P380" s="471">
        <f>'d3'!P381-0</f>
        <v>5000</v>
      </c>
      <c r="Q380" s="45"/>
      <c r="R380" s="44"/>
    </row>
    <row r="381" spans="1:18" ht="96.75" customHeight="1" thickTop="1" thickBot="1" x14ac:dyDescent="0.25">
      <c r="A381" s="94" t="s">
        <v>1129</v>
      </c>
      <c r="B381" s="94" t="s">
        <v>42</v>
      </c>
      <c r="C381" s="94" t="s">
        <v>41</v>
      </c>
      <c r="D381" s="94" t="s">
        <v>242</v>
      </c>
      <c r="E381" s="471">
        <f>'d3'!E382-'d3-П'!E377</f>
        <v>0</v>
      </c>
      <c r="F381" s="471">
        <f>'d3'!F382-'d3-П'!F377</f>
        <v>0</v>
      </c>
      <c r="G381" s="471">
        <f>'d3'!G382-'d3-П'!G377</f>
        <v>0</v>
      </c>
      <c r="H381" s="471">
        <f>'d3'!H382-'d3-П'!H377</f>
        <v>0</v>
      </c>
      <c r="I381" s="471">
        <f>'d3'!I382-'d3-П'!I377</f>
        <v>0</v>
      </c>
      <c r="J381" s="471">
        <f>'d3'!J382-'d3-П'!J377</f>
        <v>0</v>
      </c>
      <c r="K381" s="471">
        <f>'d3'!K382-'d3-П'!K377</f>
        <v>0</v>
      </c>
      <c r="L381" s="471">
        <f>'d3'!L382-'d3-П'!L377</f>
        <v>0</v>
      </c>
      <c r="M381" s="471">
        <f>'d3'!M382-'d3-П'!M377</f>
        <v>0</v>
      </c>
      <c r="N381" s="471">
        <f>'d3'!N382-'d3-П'!N377</f>
        <v>0</v>
      </c>
      <c r="O381" s="471">
        <f>'d3'!O382-'d3-П'!O377</f>
        <v>0</v>
      </c>
      <c r="P381" s="471">
        <f>'d3'!P382-'d3-П'!P377</f>
        <v>0</v>
      </c>
      <c r="Q381" s="45"/>
      <c r="R381" s="44"/>
    </row>
    <row r="382" spans="1:18" ht="87.75" customHeight="1" thickTop="1" thickBot="1" x14ac:dyDescent="0.25">
      <c r="A382" s="239" t="s">
        <v>865</v>
      </c>
      <c r="B382" s="239" t="s">
        <v>713</v>
      </c>
      <c r="C382" s="94"/>
      <c r="D382" s="239" t="s">
        <v>757</v>
      </c>
      <c r="E382" s="471">
        <f>'d3'!E383-'d3-П'!E378</f>
        <v>0</v>
      </c>
      <c r="F382" s="471">
        <f>'d3'!F383-'d3-П'!F378</f>
        <v>0</v>
      </c>
      <c r="G382" s="471">
        <f>'d3'!G383-'d3-П'!G378</f>
        <v>0</v>
      </c>
      <c r="H382" s="471">
        <f>'d3'!H383-'d3-П'!H378</f>
        <v>0</v>
      </c>
      <c r="I382" s="471">
        <f>'d3'!I383-'d3-П'!I378</f>
        <v>0</v>
      </c>
      <c r="J382" s="471">
        <f>'d3'!J383-'d3-П'!J378</f>
        <v>0</v>
      </c>
      <c r="K382" s="471">
        <f>'d3'!K383-'d3-П'!K378</f>
        <v>0</v>
      </c>
      <c r="L382" s="471">
        <f>'d3'!L383-'d3-П'!L378</f>
        <v>0</v>
      </c>
      <c r="M382" s="471">
        <f>'d3'!M383-'d3-П'!M378</f>
        <v>0</v>
      </c>
      <c r="N382" s="471">
        <f>'d3'!N383-'d3-П'!N378</f>
        <v>0</v>
      </c>
      <c r="O382" s="471">
        <f>'d3'!O383-'d3-П'!O378</f>
        <v>0</v>
      </c>
      <c r="P382" s="471">
        <f>'d3'!P383-'d3-П'!P378</f>
        <v>0</v>
      </c>
      <c r="Q382" s="45"/>
      <c r="R382" s="44"/>
    </row>
    <row r="383" spans="1:18" ht="147" customHeight="1" thickTop="1" thickBot="1" x14ac:dyDescent="0.25">
      <c r="A383" s="508" t="s">
        <v>866</v>
      </c>
      <c r="B383" s="508" t="s">
        <v>765</v>
      </c>
      <c r="C383" s="508"/>
      <c r="D383" s="496" t="s">
        <v>1711</v>
      </c>
      <c r="E383" s="471">
        <f>'d3'!E384-'d3-П'!E379</f>
        <v>0</v>
      </c>
      <c r="F383" s="471">
        <f>'d3'!F384-'d3-П'!F379</f>
        <v>0</v>
      </c>
      <c r="G383" s="471">
        <f>'d3'!G384-'d3-П'!G379</f>
        <v>0</v>
      </c>
      <c r="H383" s="471">
        <f>'d3'!H384-'d3-П'!H379</f>
        <v>0</v>
      </c>
      <c r="I383" s="471">
        <f>'d3'!I384-'d3-П'!I379</f>
        <v>0</v>
      </c>
      <c r="J383" s="471">
        <f>'d3'!J384-'d3-П'!J379</f>
        <v>0</v>
      </c>
      <c r="K383" s="471">
        <f>'d3'!K384-'d3-П'!K379</f>
        <v>0</v>
      </c>
      <c r="L383" s="471">
        <f>'d3'!L384-'d3-П'!L379</f>
        <v>0</v>
      </c>
      <c r="M383" s="471">
        <f>'d3'!M384-'d3-П'!M379</f>
        <v>0</v>
      </c>
      <c r="N383" s="471">
        <f>'d3'!N384-'d3-П'!N379</f>
        <v>0</v>
      </c>
      <c r="O383" s="471">
        <f>'d3'!O384-'d3-П'!O379</f>
        <v>0</v>
      </c>
      <c r="P383" s="471">
        <f>'d3'!P384-'d3-П'!P379</f>
        <v>0</v>
      </c>
      <c r="Q383" s="45"/>
      <c r="R383" s="44"/>
    </row>
    <row r="384" spans="1:18" ht="182.25" customHeight="1" thickTop="1" thickBot="1" x14ac:dyDescent="0.25">
      <c r="A384" s="94" t="s">
        <v>1524</v>
      </c>
      <c r="B384" s="94" t="s">
        <v>308</v>
      </c>
      <c r="C384" s="94" t="s">
        <v>165</v>
      </c>
      <c r="D384" s="94" t="s">
        <v>1525</v>
      </c>
      <c r="E384" s="471">
        <f>'d3'!E385-'d3-П'!E380</f>
        <v>0</v>
      </c>
      <c r="F384" s="471">
        <f>'d3'!F385-'d3-П'!F380</f>
        <v>0</v>
      </c>
      <c r="G384" s="471">
        <f>'d3'!G385-'d3-П'!G380</f>
        <v>0</v>
      </c>
      <c r="H384" s="471">
        <f>'d3'!H385-'d3-П'!H380</f>
        <v>0</v>
      </c>
      <c r="I384" s="471">
        <f>'d3'!I385-'d3-П'!I380</f>
        <v>0</v>
      </c>
      <c r="J384" s="471">
        <f>'d3'!J385-'d3-П'!J380</f>
        <v>0</v>
      </c>
      <c r="K384" s="471">
        <f>'d3'!K385-'d3-П'!K380</f>
        <v>0</v>
      </c>
      <c r="L384" s="471">
        <f>'d3'!L385-'d3-П'!L380</f>
        <v>0</v>
      </c>
      <c r="M384" s="471">
        <f>'d3'!M385-'d3-П'!M380</f>
        <v>0</v>
      </c>
      <c r="N384" s="471">
        <f>'d3'!N385-'d3-П'!N380</f>
        <v>0</v>
      </c>
      <c r="O384" s="471">
        <f>'d3'!O385-'d3-П'!O380</f>
        <v>0</v>
      </c>
      <c r="P384" s="471">
        <f>'d3'!P385-'d3-П'!P380</f>
        <v>0</v>
      </c>
      <c r="Q384" s="45"/>
      <c r="R384" s="44"/>
    </row>
    <row r="385" spans="1:18" ht="127.5" customHeight="1" thickTop="1" thickBot="1" x14ac:dyDescent="0.25">
      <c r="A385" s="94" t="s">
        <v>867</v>
      </c>
      <c r="B385" s="94" t="s">
        <v>868</v>
      </c>
      <c r="C385" s="94" t="s">
        <v>298</v>
      </c>
      <c r="D385" s="94" t="s">
        <v>869</v>
      </c>
      <c r="E385" s="471">
        <f>'d3'!E386-'d3-П'!E381</f>
        <v>0</v>
      </c>
      <c r="F385" s="471">
        <f>'d3'!F386-'d3-П'!F381</f>
        <v>0</v>
      </c>
      <c r="G385" s="471">
        <f>'d3'!G386-'d3-П'!G381</f>
        <v>0</v>
      </c>
      <c r="H385" s="471">
        <f>'d3'!H386-'d3-П'!H381</f>
        <v>0</v>
      </c>
      <c r="I385" s="471">
        <f>'d3'!I386-'d3-П'!I381</f>
        <v>0</v>
      </c>
      <c r="J385" s="471">
        <f>'d3'!J386-'d3-П'!J381</f>
        <v>0</v>
      </c>
      <c r="K385" s="471">
        <f>'d3'!K386-'d3-П'!K381</f>
        <v>0</v>
      </c>
      <c r="L385" s="471">
        <f>'d3'!L386-'d3-П'!L381</f>
        <v>0</v>
      </c>
      <c r="M385" s="471">
        <f>'d3'!M386-'d3-П'!M381</f>
        <v>0</v>
      </c>
      <c r="N385" s="471">
        <f>'d3'!N386-'d3-П'!N381</f>
        <v>0</v>
      </c>
      <c r="O385" s="471">
        <f>'d3'!O386-'d3-П'!O381</f>
        <v>0</v>
      </c>
      <c r="P385" s="471">
        <f>'d3'!P386-'d3-П'!P381</f>
        <v>0</v>
      </c>
      <c r="Q385" s="45"/>
      <c r="R385" s="44"/>
    </row>
    <row r="386" spans="1:18" ht="136.5" hidden="1" customHeight="1" thickTop="1" thickBot="1" x14ac:dyDescent="0.25">
      <c r="A386" s="94" t="s">
        <v>1366</v>
      </c>
      <c r="B386" s="94" t="s">
        <v>1368</v>
      </c>
      <c r="C386" s="94" t="s">
        <v>298</v>
      </c>
      <c r="D386" s="94" t="s">
        <v>1367</v>
      </c>
      <c r="E386" s="521"/>
      <c r="F386" s="520"/>
      <c r="G386" s="520"/>
      <c r="H386" s="520"/>
      <c r="I386" s="520"/>
      <c r="J386" s="501">
        <f t="shared" ref="J386" si="58">L386+O386</f>
        <v>0</v>
      </c>
      <c r="K386" s="520"/>
      <c r="L386" s="522"/>
      <c r="M386" s="522"/>
      <c r="N386" s="522"/>
      <c r="O386" s="502">
        <f t="shared" ref="O386" si="59">K386</f>
        <v>0</v>
      </c>
      <c r="P386" s="501">
        <f t="shared" ref="P386" si="60">+J386+E386</f>
        <v>0</v>
      </c>
      <c r="Q386" s="45"/>
      <c r="R386" s="44"/>
    </row>
    <row r="387" spans="1:18" ht="120" customHeight="1" thickTop="1" thickBot="1" x14ac:dyDescent="0.25">
      <c r="A387" s="514" t="s">
        <v>433</v>
      </c>
      <c r="B387" s="514"/>
      <c r="C387" s="514"/>
      <c r="D387" s="515" t="s">
        <v>435</v>
      </c>
      <c r="E387" s="516">
        <f>E388</f>
        <v>4646003.8100000024</v>
      </c>
      <c r="F387" s="517">
        <f t="shared" ref="F387:G387" si="61">F388</f>
        <v>4646003.8100000024</v>
      </c>
      <c r="G387" s="517">
        <f t="shared" si="61"/>
        <v>0</v>
      </c>
      <c r="H387" s="517">
        <f>H388</f>
        <v>0</v>
      </c>
      <c r="I387" s="517">
        <f t="shared" ref="I387" si="62">I388</f>
        <v>0</v>
      </c>
      <c r="J387" s="516">
        <f>J388</f>
        <v>4500000</v>
      </c>
      <c r="K387" s="517">
        <f>K388</f>
        <v>4500000</v>
      </c>
      <c r="L387" s="517">
        <f>L388</f>
        <v>0</v>
      </c>
      <c r="M387" s="517">
        <f t="shared" ref="M387" si="63">M388</f>
        <v>0</v>
      </c>
      <c r="N387" s="517">
        <f>N388</f>
        <v>0</v>
      </c>
      <c r="O387" s="516">
        <f>O388</f>
        <v>4500000</v>
      </c>
      <c r="P387" s="517">
        <f t="shared" ref="P387" si="64">P388</f>
        <v>9146003.8100000024</v>
      </c>
      <c r="Q387" s="18"/>
    </row>
    <row r="388" spans="1:18" ht="120" customHeight="1" thickTop="1" thickBot="1" x14ac:dyDescent="0.25">
      <c r="A388" s="511" t="s">
        <v>434</v>
      </c>
      <c r="B388" s="511"/>
      <c r="C388" s="511"/>
      <c r="D388" s="512" t="s">
        <v>436</v>
      </c>
      <c r="E388" s="513">
        <f t="shared" ref="E388:O388" si="65">E389+E392+E404+E407</f>
        <v>4646003.8100000024</v>
      </c>
      <c r="F388" s="513">
        <f t="shared" si="65"/>
        <v>4646003.8100000024</v>
      </c>
      <c r="G388" s="513">
        <f t="shared" si="65"/>
        <v>0</v>
      </c>
      <c r="H388" s="513">
        <f t="shared" si="65"/>
        <v>0</v>
      </c>
      <c r="I388" s="513">
        <f t="shared" si="65"/>
        <v>0</v>
      </c>
      <c r="J388" s="513">
        <f t="shared" si="65"/>
        <v>4500000</v>
      </c>
      <c r="K388" s="513">
        <f t="shared" si="65"/>
        <v>4500000</v>
      </c>
      <c r="L388" s="513">
        <f t="shared" si="65"/>
        <v>0</v>
      </c>
      <c r="M388" s="513">
        <f t="shared" si="65"/>
        <v>0</v>
      </c>
      <c r="N388" s="513">
        <f t="shared" si="65"/>
        <v>0</v>
      </c>
      <c r="O388" s="513">
        <f t="shared" si="65"/>
        <v>4500000</v>
      </c>
      <c r="P388" s="513">
        <f>E388+J388</f>
        <v>9146003.8100000024</v>
      </c>
      <c r="Q388" s="546" t="b">
        <f>P388=P390+P394+P397+P399+P406+P401+P400+P408+P403</f>
        <v>1</v>
      </c>
      <c r="R388" s="44"/>
    </row>
    <row r="389" spans="1:18" ht="125.25" customHeight="1" thickTop="1" thickBot="1" x14ac:dyDescent="0.25">
      <c r="A389" s="483" t="s">
        <v>784</v>
      </c>
      <c r="B389" s="483" t="s">
        <v>652</v>
      </c>
      <c r="C389" s="483"/>
      <c r="D389" s="483" t="s">
        <v>653</v>
      </c>
      <c r="E389" s="471">
        <f>'d3'!E390-'d3-П'!E385</f>
        <v>156240</v>
      </c>
      <c r="F389" s="471">
        <f>'d3'!F390-'d3-П'!F385</f>
        <v>156240</v>
      </c>
      <c r="G389" s="471">
        <f>'d3'!G390-'d3-П'!G385</f>
        <v>0</v>
      </c>
      <c r="H389" s="471">
        <f>'d3'!H390-'d3-П'!H385</f>
        <v>0</v>
      </c>
      <c r="I389" s="471">
        <f>'d3'!I390-'d3-П'!I385</f>
        <v>0</v>
      </c>
      <c r="J389" s="471">
        <f>'d3'!J390-'d3-П'!J385</f>
        <v>0</v>
      </c>
      <c r="K389" s="471">
        <f>'d3'!K390-'d3-П'!K385</f>
        <v>0</v>
      </c>
      <c r="L389" s="471">
        <f>'d3'!L390-'d3-П'!L385</f>
        <v>0</v>
      </c>
      <c r="M389" s="471">
        <f>'d3'!M390-'d3-П'!M385</f>
        <v>0</v>
      </c>
      <c r="N389" s="471">
        <f>'d3'!N390-'d3-П'!N385</f>
        <v>0</v>
      </c>
      <c r="O389" s="471">
        <f>'d3'!O390-'d3-П'!O385</f>
        <v>0</v>
      </c>
      <c r="P389" s="471">
        <f>'d3'!P390-'d3-П'!P385</f>
        <v>156240</v>
      </c>
      <c r="Q389" s="45"/>
      <c r="R389" s="44"/>
    </row>
    <row r="390" spans="1:18" ht="165" customHeight="1" thickTop="1" thickBot="1" x14ac:dyDescent="0.25">
      <c r="A390" s="469" t="s">
        <v>437</v>
      </c>
      <c r="B390" s="469" t="s">
        <v>231</v>
      </c>
      <c r="C390" s="469" t="s">
        <v>229</v>
      </c>
      <c r="D390" s="469" t="s">
        <v>1515</v>
      </c>
      <c r="E390" s="471">
        <f>'d3'!E391-'d3-П'!E386</f>
        <v>156240</v>
      </c>
      <c r="F390" s="471">
        <f>'d3'!F391-'d3-П'!F386</f>
        <v>156240</v>
      </c>
      <c r="G390" s="471">
        <f>'d3'!G391-'d3-П'!G386</f>
        <v>0</v>
      </c>
      <c r="H390" s="471">
        <f>'d3'!H391-'d3-П'!H386</f>
        <v>0</v>
      </c>
      <c r="I390" s="471">
        <f>'d3'!I391-'d3-П'!I386</f>
        <v>0</v>
      </c>
      <c r="J390" s="471">
        <f>'d3'!J391-'d3-П'!J386</f>
        <v>0</v>
      </c>
      <c r="K390" s="471">
        <f>'d3'!K391-'d3-П'!K386</f>
        <v>0</v>
      </c>
      <c r="L390" s="471">
        <f>'d3'!L391-'d3-П'!L386</f>
        <v>0</v>
      </c>
      <c r="M390" s="471">
        <f>'d3'!M391-'d3-П'!M386</f>
        <v>0</v>
      </c>
      <c r="N390" s="471">
        <f>'d3'!N391-'d3-П'!N386</f>
        <v>0</v>
      </c>
      <c r="O390" s="471">
        <f>'d3'!O391-'d3-П'!O386</f>
        <v>0</v>
      </c>
      <c r="P390" s="471">
        <f>'d3'!P391-'d3-П'!P386</f>
        <v>156240</v>
      </c>
      <c r="Q390" s="45"/>
      <c r="R390" s="44"/>
    </row>
    <row r="391" spans="1:18" ht="93" hidden="1" thickTop="1" thickBot="1" x14ac:dyDescent="0.25">
      <c r="A391" s="119" t="s">
        <v>605</v>
      </c>
      <c r="B391" s="119" t="s">
        <v>352</v>
      </c>
      <c r="C391" s="119" t="s">
        <v>598</v>
      </c>
      <c r="D391" s="119" t="s">
        <v>599</v>
      </c>
      <c r="E391" s="471">
        <f>'d3'!E392-'d3-П'!E387</f>
        <v>0</v>
      </c>
      <c r="F391" s="471">
        <f>'d3'!F392-'d3-П'!F387</f>
        <v>0</v>
      </c>
      <c r="G391" s="471">
        <f>'d3'!G392-'d3-П'!G387</f>
        <v>0</v>
      </c>
      <c r="H391" s="471">
        <f>'d3'!H392-'d3-П'!H387</f>
        <v>0</v>
      </c>
      <c r="I391" s="471">
        <f>'d3'!I392-'d3-П'!I387</f>
        <v>0</v>
      </c>
      <c r="J391" s="471">
        <f>'d3'!J392-'d3-П'!J387</f>
        <v>0</v>
      </c>
      <c r="K391" s="471">
        <f>'d3'!K392-'d3-П'!K387</f>
        <v>0</v>
      </c>
      <c r="L391" s="471">
        <f>'d3'!L392-'d3-П'!L387</f>
        <v>0</v>
      </c>
      <c r="M391" s="471">
        <f>'d3'!M392-'d3-П'!M387</f>
        <v>0</v>
      </c>
      <c r="N391" s="471">
        <f>'d3'!N392-'d3-П'!N387</f>
        <v>0</v>
      </c>
      <c r="O391" s="471">
        <f>'d3'!O392-'d3-П'!O387</f>
        <v>0</v>
      </c>
      <c r="P391" s="471">
        <f>'d3'!P392-'d3-П'!P387</f>
        <v>0</v>
      </c>
      <c r="Q391" s="45"/>
      <c r="R391" s="44"/>
    </row>
    <row r="392" spans="1:18" ht="113.25" customHeight="1" thickTop="1" thickBot="1" x14ac:dyDescent="0.25">
      <c r="A392" s="239" t="s">
        <v>785</v>
      </c>
      <c r="B392" s="239" t="s">
        <v>713</v>
      </c>
      <c r="C392" s="94"/>
      <c r="D392" s="239" t="s">
        <v>757</v>
      </c>
      <c r="E392" s="471">
        <f>'d3'!E393-'d3-П'!E388</f>
        <v>4489763.8100000024</v>
      </c>
      <c r="F392" s="471">
        <f>'d3'!F393-'d3-П'!F388</f>
        <v>4489763.8100000024</v>
      </c>
      <c r="G392" s="471">
        <f>'d3'!G393-'d3-П'!G388</f>
        <v>0</v>
      </c>
      <c r="H392" s="471">
        <f>'d3'!H393-'d3-П'!H388</f>
        <v>0</v>
      </c>
      <c r="I392" s="471">
        <f>'d3'!I393-'d3-П'!I388</f>
        <v>0</v>
      </c>
      <c r="J392" s="471">
        <f>'d3'!J393-'d3-П'!J388</f>
        <v>4500000</v>
      </c>
      <c r="K392" s="471">
        <f>'d3'!K393-'d3-П'!K388</f>
        <v>4500000</v>
      </c>
      <c r="L392" s="471">
        <f>'d3'!L393-'d3-П'!L388</f>
        <v>0</v>
      </c>
      <c r="M392" s="471">
        <f>'d3'!M393-'d3-П'!M388</f>
        <v>0</v>
      </c>
      <c r="N392" s="471">
        <f>'d3'!N393-'d3-П'!N388</f>
        <v>0</v>
      </c>
      <c r="O392" s="471">
        <f>'d3'!O393-'d3-П'!O388</f>
        <v>4500000</v>
      </c>
      <c r="P392" s="471">
        <f>'d3'!P393-'d3-П'!P388</f>
        <v>8989763.8100000024</v>
      </c>
      <c r="Q392" s="45"/>
      <c r="R392" s="48"/>
    </row>
    <row r="393" spans="1:18" ht="156.75" hidden="1" customHeight="1" thickTop="1" thickBot="1" x14ac:dyDescent="0.25">
      <c r="A393" s="691" t="s">
        <v>1562</v>
      </c>
      <c r="B393" s="691" t="s">
        <v>765</v>
      </c>
      <c r="C393" s="691"/>
      <c r="D393" s="691" t="s">
        <v>1711</v>
      </c>
      <c r="E393" s="471">
        <f>'d3'!E394-'d3-П'!E389</f>
        <v>0</v>
      </c>
      <c r="F393" s="471">
        <f>'d3'!F394-'d3-П'!F389</f>
        <v>0</v>
      </c>
      <c r="G393" s="471">
        <f>'d3'!G394-'d3-П'!G389</f>
        <v>0</v>
      </c>
      <c r="H393" s="471">
        <f>'d3'!H394-'d3-П'!H389</f>
        <v>0</v>
      </c>
      <c r="I393" s="471">
        <f>'d3'!I394-'d3-П'!I389</f>
        <v>0</v>
      </c>
      <c r="J393" s="471">
        <f>'d3'!J394-'d3-П'!J389</f>
        <v>0</v>
      </c>
      <c r="K393" s="471">
        <f>'d3'!K394-'d3-П'!K389</f>
        <v>0</v>
      </c>
      <c r="L393" s="471">
        <f>'d3'!L394-'d3-П'!L389</f>
        <v>0</v>
      </c>
      <c r="M393" s="471">
        <f>'d3'!M394-'d3-П'!M389</f>
        <v>0</v>
      </c>
      <c r="N393" s="471">
        <f>'d3'!N394-'d3-П'!N389</f>
        <v>0</v>
      </c>
      <c r="O393" s="471">
        <f>'d3'!O394-'d3-П'!O389</f>
        <v>0</v>
      </c>
      <c r="P393" s="471">
        <f>'d3'!P394-'d3-П'!P389</f>
        <v>0</v>
      </c>
      <c r="Q393" s="45"/>
      <c r="R393" s="48"/>
    </row>
    <row r="394" spans="1:18" ht="231.75" hidden="1" customHeight="1" thickTop="1" thickBot="1" x14ac:dyDescent="0.25">
      <c r="A394" s="692" t="s">
        <v>1563</v>
      </c>
      <c r="B394" s="692" t="s">
        <v>308</v>
      </c>
      <c r="C394" s="692" t="s">
        <v>165</v>
      </c>
      <c r="D394" s="692" t="s">
        <v>1525</v>
      </c>
      <c r="E394" s="471">
        <f>'d3'!E395-'d3-П'!E390</f>
        <v>0</v>
      </c>
      <c r="F394" s="471">
        <f>'d3'!F395-'d3-П'!F390</f>
        <v>0</v>
      </c>
      <c r="G394" s="471">
        <f>'d3'!G395-'d3-П'!G390</f>
        <v>0</v>
      </c>
      <c r="H394" s="471">
        <f>'d3'!H395-'d3-П'!H390</f>
        <v>0</v>
      </c>
      <c r="I394" s="471">
        <f>'d3'!I395-'d3-П'!I390</f>
        <v>0</v>
      </c>
      <c r="J394" s="471">
        <f>'d3'!J395-'d3-П'!J390</f>
        <v>0</v>
      </c>
      <c r="K394" s="471">
        <f>'d3'!K395-'d3-П'!K390</f>
        <v>0</v>
      </c>
      <c r="L394" s="471">
        <f>'d3'!L395-'d3-П'!L390</f>
        <v>0</v>
      </c>
      <c r="M394" s="471">
        <f>'d3'!M395-'d3-П'!M390</f>
        <v>0</v>
      </c>
      <c r="N394" s="471">
        <f>'d3'!N395-'d3-П'!N390</f>
        <v>0</v>
      </c>
      <c r="O394" s="471">
        <f>'d3'!O395-'d3-П'!O390</f>
        <v>0</v>
      </c>
      <c r="P394" s="471">
        <f>'d3'!P395-'d3-П'!P390</f>
        <v>0</v>
      </c>
      <c r="Q394" s="45"/>
      <c r="R394" s="48"/>
    </row>
    <row r="395" spans="1:18" ht="135" customHeight="1" thickTop="1" thickBot="1" x14ac:dyDescent="0.25">
      <c r="A395" s="508" t="s">
        <v>786</v>
      </c>
      <c r="B395" s="508" t="s">
        <v>768</v>
      </c>
      <c r="C395" s="508"/>
      <c r="D395" s="508" t="s">
        <v>769</v>
      </c>
      <c r="E395" s="471">
        <f>'d3'!E396-'d3-П'!E391</f>
        <v>4489763.8100000024</v>
      </c>
      <c r="F395" s="471">
        <f>'d3'!F396-'d3-П'!F391</f>
        <v>4489763.8100000024</v>
      </c>
      <c r="G395" s="471">
        <f>'d3'!G396-'d3-П'!G391</f>
        <v>0</v>
      </c>
      <c r="H395" s="471">
        <f>'d3'!H396-'d3-П'!H391</f>
        <v>0</v>
      </c>
      <c r="I395" s="471">
        <f>'d3'!I396-'d3-П'!I391</f>
        <v>0</v>
      </c>
      <c r="J395" s="471">
        <f>'d3'!J396-'d3-П'!J391</f>
        <v>4000000</v>
      </c>
      <c r="K395" s="471">
        <f>'d3'!K396-'d3-П'!K391</f>
        <v>4000000</v>
      </c>
      <c r="L395" s="471">
        <f>'d3'!L396-'d3-П'!L391</f>
        <v>0</v>
      </c>
      <c r="M395" s="471">
        <f>'d3'!M396-'d3-П'!M391</f>
        <v>0</v>
      </c>
      <c r="N395" s="471">
        <f>'d3'!N396-'d3-П'!N391</f>
        <v>0</v>
      </c>
      <c r="O395" s="471">
        <f>'d3'!O396-'d3-П'!O391</f>
        <v>4000000</v>
      </c>
      <c r="P395" s="471">
        <f>'d3'!P396-'d3-П'!P391</f>
        <v>8489763.8100000024</v>
      </c>
      <c r="Q395" s="45"/>
      <c r="R395" s="48"/>
    </row>
    <row r="396" spans="1:18" ht="130.5" customHeight="1" thickTop="1" thickBot="1" x14ac:dyDescent="0.25">
      <c r="A396" s="518" t="s">
        <v>943</v>
      </c>
      <c r="B396" s="518" t="s">
        <v>944</v>
      </c>
      <c r="C396" s="131"/>
      <c r="D396" s="518" t="s">
        <v>942</v>
      </c>
      <c r="E396" s="471">
        <f>'d3'!E397-'d3-П'!E392</f>
        <v>4200000</v>
      </c>
      <c r="F396" s="471">
        <f>'d3'!F397-'d3-П'!F392</f>
        <v>4200000</v>
      </c>
      <c r="G396" s="471">
        <f>'d3'!G397-'d3-П'!G392</f>
        <v>0</v>
      </c>
      <c r="H396" s="471">
        <f>'d3'!H397-'d3-П'!H392</f>
        <v>0</v>
      </c>
      <c r="I396" s="471">
        <f>'d3'!I397-'d3-П'!I392</f>
        <v>0</v>
      </c>
      <c r="J396" s="471">
        <f>'d3'!J397-'d3-П'!J392</f>
        <v>0</v>
      </c>
      <c r="K396" s="471">
        <f>'d3'!K397-'d3-П'!K392</f>
        <v>0</v>
      </c>
      <c r="L396" s="471">
        <f>'d3'!L397-'d3-П'!L392</f>
        <v>0</v>
      </c>
      <c r="M396" s="471">
        <f>'d3'!M397-'d3-П'!M392</f>
        <v>0</v>
      </c>
      <c r="N396" s="471">
        <f>'d3'!N397-'d3-П'!N392</f>
        <v>0</v>
      </c>
      <c r="O396" s="471">
        <f>'d3'!O397-'d3-П'!O392</f>
        <v>0</v>
      </c>
      <c r="P396" s="471">
        <f>'d3'!P397-'d3-П'!P392</f>
        <v>4200000</v>
      </c>
      <c r="Q396" s="45"/>
      <c r="R396" s="48"/>
    </row>
    <row r="397" spans="1:18" ht="89.25" customHeight="1" thickTop="1" thickBot="1" x14ac:dyDescent="0.25">
      <c r="A397" s="94" t="s">
        <v>452</v>
      </c>
      <c r="B397" s="94" t="s">
        <v>401</v>
      </c>
      <c r="C397" s="94" t="s">
        <v>402</v>
      </c>
      <c r="D397" s="94" t="s">
        <v>403</v>
      </c>
      <c r="E397" s="471">
        <f>'d3'!E398-'d3-П'!E393</f>
        <v>4200000</v>
      </c>
      <c r="F397" s="471">
        <f>'d3'!F398-'d3-П'!F393</f>
        <v>4200000</v>
      </c>
      <c r="G397" s="471">
        <f>'d3'!G398-'d3-П'!G393</f>
        <v>0</v>
      </c>
      <c r="H397" s="471">
        <f>'d3'!H398-'d3-П'!H393</f>
        <v>0</v>
      </c>
      <c r="I397" s="471">
        <f>'d3'!I398-'d3-П'!I393</f>
        <v>0</v>
      </c>
      <c r="J397" s="471">
        <f>'d3'!J398-'d3-П'!J393</f>
        <v>0</v>
      </c>
      <c r="K397" s="471">
        <f>'d3'!K398-'d3-П'!K393</f>
        <v>0</v>
      </c>
      <c r="L397" s="471">
        <f>'d3'!L398-'d3-П'!L393</f>
        <v>0</v>
      </c>
      <c r="M397" s="471">
        <f>'d3'!M398-'d3-П'!M393</f>
        <v>0</v>
      </c>
      <c r="N397" s="471">
        <f>'d3'!N398-'d3-П'!N393</f>
        <v>0</v>
      </c>
      <c r="O397" s="471">
        <f>'d3'!O398-'d3-П'!O393</f>
        <v>0</v>
      </c>
      <c r="P397" s="471">
        <f>'d3'!P398-'d3-П'!P393</f>
        <v>4200000</v>
      </c>
      <c r="Q397" s="45"/>
      <c r="R397" s="48"/>
    </row>
    <row r="398" spans="1:18" ht="93" thickTop="1" thickBot="1" x14ac:dyDescent="0.25">
      <c r="A398" s="518" t="s">
        <v>787</v>
      </c>
      <c r="B398" s="518" t="s">
        <v>788</v>
      </c>
      <c r="C398" s="518"/>
      <c r="D398" s="518" t="s">
        <v>789</v>
      </c>
      <c r="E398" s="471">
        <f>'d3'!E399-'d3-П'!E394</f>
        <v>0</v>
      </c>
      <c r="F398" s="471">
        <f>'d3'!F399-'d3-П'!F394</f>
        <v>0</v>
      </c>
      <c r="G398" s="471">
        <f>'d3'!G399-'d3-П'!G394</f>
        <v>0</v>
      </c>
      <c r="H398" s="471">
        <f>'d3'!H399-'d3-П'!H394</f>
        <v>0</v>
      </c>
      <c r="I398" s="471">
        <f>'d3'!I399-'d3-П'!I394</f>
        <v>0</v>
      </c>
      <c r="J398" s="471">
        <f>'d3'!J399-'d3-П'!J394</f>
        <v>4000000</v>
      </c>
      <c r="K398" s="471">
        <f>'d3'!K399-'d3-П'!K394</f>
        <v>4000000</v>
      </c>
      <c r="L398" s="471">
        <f>'d3'!L399-'d3-П'!L394</f>
        <v>0</v>
      </c>
      <c r="M398" s="471">
        <f>'d3'!M399-'d3-П'!M394</f>
        <v>0</v>
      </c>
      <c r="N398" s="471">
        <f>'d3'!N399-'d3-П'!N394</f>
        <v>0</v>
      </c>
      <c r="O398" s="471">
        <f>'d3'!O399-'d3-П'!O394</f>
        <v>4000000</v>
      </c>
      <c r="P398" s="471">
        <f>'d3'!P399-'d3-П'!P394</f>
        <v>4000000</v>
      </c>
      <c r="Q398" s="45"/>
      <c r="R398" s="48"/>
    </row>
    <row r="399" spans="1:18" ht="80.25" customHeight="1" thickTop="1" thickBot="1" x14ac:dyDescent="0.25">
      <c r="A399" s="94" t="s">
        <v>453</v>
      </c>
      <c r="B399" s="94" t="s">
        <v>285</v>
      </c>
      <c r="C399" s="94" t="s">
        <v>1182</v>
      </c>
      <c r="D399" s="94" t="s">
        <v>286</v>
      </c>
      <c r="E399" s="471">
        <f>'d3'!E400-'d3-П'!E395</f>
        <v>0</v>
      </c>
      <c r="F399" s="471">
        <f>'d3'!F400-'d3-П'!F395</f>
        <v>0</v>
      </c>
      <c r="G399" s="471">
        <f>'d3'!G400-'d3-П'!G395</f>
        <v>0</v>
      </c>
      <c r="H399" s="471">
        <f>'d3'!H400-'d3-П'!H395</f>
        <v>0</v>
      </c>
      <c r="I399" s="471">
        <f>'d3'!I400-'d3-П'!I395</f>
        <v>0</v>
      </c>
      <c r="J399" s="471">
        <f>'d3'!J400-'d3-П'!J395</f>
        <v>0</v>
      </c>
      <c r="K399" s="471">
        <f>'d3'!K400-'d3-П'!K395</f>
        <v>0</v>
      </c>
      <c r="L399" s="471">
        <f>'d3'!L400-'d3-П'!L395</f>
        <v>0</v>
      </c>
      <c r="M399" s="471">
        <f>'d3'!M400-'d3-П'!M395</f>
        <v>0</v>
      </c>
      <c r="N399" s="471">
        <f>'d3'!N400-'d3-П'!N395</f>
        <v>0</v>
      </c>
      <c r="O399" s="471">
        <f>'d3'!O400-'d3-П'!O395</f>
        <v>0</v>
      </c>
      <c r="P399" s="471">
        <f>'d3'!P400-'d3-П'!P395</f>
        <v>0</v>
      </c>
      <c r="Q399" s="45"/>
      <c r="R399" s="48"/>
    </row>
    <row r="400" spans="1:18" ht="132.75" customHeight="1" thickTop="1" thickBot="1" x14ac:dyDescent="0.25">
      <c r="A400" s="94" t="s">
        <v>1734</v>
      </c>
      <c r="B400" s="94" t="s">
        <v>1735</v>
      </c>
      <c r="C400" s="94" t="s">
        <v>1182</v>
      </c>
      <c r="D400" s="94" t="s">
        <v>1736</v>
      </c>
      <c r="E400" s="471">
        <f>'d3'!E401-'d3-П'!E396</f>
        <v>0</v>
      </c>
      <c r="F400" s="471">
        <f>'d3'!F401-'d3-П'!F396</f>
        <v>0</v>
      </c>
      <c r="G400" s="471">
        <f>'d3'!G401-'d3-П'!G396</f>
        <v>0</v>
      </c>
      <c r="H400" s="471">
        <f>'d3'!H401-'d3-П'!H396</f>
        <v>0</v>
      </c>
      <c r="I400" s="471">
        <f>'d3'!I401-'d3-П'!I396</f>
        <v>0</v>
      </c>
      <c r="J400" s="471">
        <f>'d3'!J401-'d3-П'!J396</f>
        <v>4000000</v>
      </c>
      <c r="K400" s="471">
        <f>'d3'!K401-'d3-П'!K396</f>
        <v>4000000</v>
      </c>
      <c r="L400" s="471">
        <f>'d3'!L401-'d3-П'!L396</f>
        <v>0</v>
      </c>
      <c r="M400" s="471">
        <f>'d3'!M401-'d3-П'!M396</f>
        <v>0</v>
      </c>
      <c r="N400" s="471">
        <f>'d3'!N401-'d3-П'!N396</f>
        <v>0</v>
      </c>
      <c r="O400" s="471">
        <f>'d3'!O401-'d3-П'!O396</f>
        <v>4000000</v>
      </c>
      <c r="P400" s="471">
        <f>'d3'!P401-'d3-П'!P396</f>
        <v>4000000</v>
      </c>
      <c r="Q400" s="45"/>
      <c r="R400" s="48"/>
    </row>
    <row r="401" spans="1:18" ht="126" customHeight="1" thickTop="1" thickBot="1" x14ac:dyDescent="0.25">
      <c r="A401" s="94" t="s">
        <v>1012</v>
      </c>
      <c r="B401" s="94" t="s">
        <v>1013</v>
      </c>
      <c r="C401" s="94" t="s">
        <v>289</v>
      </c>
      <c r="D401" s="94" t="s">
        <v>1011</v>
      </c>
      <c r="E401" s="471">
        <f>'d3'!E402-'d3-П'!E397</f>
        <v>289763.81</v>
      </c>
      <c r="F401" s="471">
        <f>'d3'!F402-'d3-П'!F397</f>
        <v>289763.81</v>
      </c>
      <c r="G401" s="471">
        <f>'d3'!G402-'d3-П'!G397</f>
        <v>0</v>
      </c>
      <c r="H401" s="471">
        <f>'d3'!H402-'d3-П'!H397</f>
        <v>0</v>
      </c>
      <c r="I401" s="471">
        <f>'d3'!I402-'d3-П'!I397</f>
        <v>0</v>
      </c>
      <c r="J401" s="471">
        <f>'d3'!J402-'d3-П'!J397</f>
        <v>0</v>
      </c>
      <c r="K401" s="471">
        <f>'d3'!K402-'d3-П'!K397</f>
        <v>0</v>
      </c>
      <c r="L401" s="471">
        <f>'d3'!L402-'d3-П'!L397</f>
        <v>0</v>
      </c>
      <c r="M401" s="471">
        <f>'d3'!M402-'d3-П'!M397</f>
        <v>0</v>
      </c>
      <c r="N401" s="471">
        <f>'d3'!N402-'d3-П'!N397</f>
        <v>0</v>
      </c>
      <c r="O401" s="471">
        <f>'d3'!O402-'d3-П'!O397</f>
        <v>0</v>
      </c>
      <c r="P401" s="471">
        <f>'d3'!P402-'d3-П'!P397</f>
        <v>289763.81</v>
      </c>
      <c r="Q401" s="45"/>
      <c r="R401" s="48"/>
    </row>
    <row r="402" spans="1:18" ht="154.5" customHeight="1" thickTop="1" thickBot="1" x14ac:dyDescent="0.25">
      <c r="A402" s="508" t="s">
        <v>1057</v>
      </c>
      <c r="B402" s="508" t="s">
        <v>659</v>
      </c>
      <c r="C402" s="508"/>
      <c r="D402" s="508" t="s">
        <v>657</v>
      </c>
      <c r="E402" s="471">
        <f>'d3'!E403-'d3-П'!E398</f>
        <v>0</v>
      </c>
      <c r="F402" s="471">
        <f>'d3'!F403-'d3-П'!F398</f>
        <v>0</v>
      </c>
      <c r="G402" s="471">
        <f>'d3'!G403-'d3-П'!G398</f>
        <v>0</v>
      </c>
      <c r="H402" s="471">
        <f>'d3'!H403-'d3-П'!H398</f>
        <v>0</v>
      </c>
      <c r="I402" s="471">
        <f>'d3'!I403-'d3-П'!I398</f>
        <v>0</v>
      </c>
      <c r="J402" s="471">
        <f>'d3'!J403-'d3-П'!J398</f>
        <v>500000</v>
      </c>
      <c r="K402" s="471">
        <f>'d3'!K403-'d3-П'!K398</f>
        <v>500000</v>
      </c>
      <c r="L402" s="471">
        <f>'d3'!L403-'d3-П'!L398</f>
        <v>0</v>
      </c>
      <c r="M402" s="471">
        <f>'d3'!M403-'d3-П'!M398</f>
        <v>0</v>
      </c>
      <c r="N402" s="471">
        <f>'d3'!N403-'d3-П'!N398</f>
        <v>0</v>
      </c>
      <c r="O402" s="471">
        <f>'d3'!O403-'d3-П'!O398</f>
        <v>500000</v>
      </c>
      <c r="P402" s="471">
        <f>'d3'!P403-'d3-П'!P398</f>
        <v>500000</v>
      </c>
      <c r="Q402" s="45"/>
      <c r="R402" s="48"/>
    </row>
    <row r="403" spans="1:18" ht="120" customHeight="1" thickTop="1" thickBot="1" x14ac:dyDescent="0.25">
      <c r="A403" s="713" t="s">
        <v>1058</v>
      </c>
      <c r="B403" s="713" t="s">
        <v>192</v>
      </c>
      <c r="C403" s="713" t="s">
        <v>165</v>
      </c>
      <c r="D403" s="713" t="s">
        <v>1059</v>
      </c>
      <c r="E403" s="471">
        <f>'d3'!E404-'d3-П'!E399</f>
        <v>0</v>
      </c>
      <c r="F403" s="471">
        <f>'d3'!F404-'d3-П'!F399</f>
        <v>0</v>
      </c>
      <c r="G403" s="471">
        <f>'d3'!G404-'d3-П'!G399</f>
        <v>0</v>
      </c>
      <c r="H403" s="471">
        <f>'d3'!H404-'d3-П'!H399</f>
        <v>0</v>
      </c>
      <c r="I403" s="471">
        <f>'d3'!I404-'d3-П'!I399</f>
        <v>0</v>
      </c>
      <c r="J403" s="471">
        <f>'d3'!J404-'d3-П'!J399</f>
        <v>500000</v>
      </c>
      <c r="K403" s="471">
        <f>'d3'!K404-'d3-П'!K399</f>
        <v>500000</v>
      </c>
      <c r="L403" s="471">
        <f>'d3'!L404-'d3-П'!L399</f>
        <v>0</v>
      </c>
      <c r="M403" s="471">
        <f>'d3'!M404-'d3-П'!M399</f>
        <v>0</v>
      </c>
      <c r="N403" s="471">
        <f>'d3'!N404-'d3-П'!N399</f>
        <v>0</v>
      </c>
      <c r="O403" s="471">
        <f>'d3'!O404-'d3-П'!O399</f>
        <v>500000</v>
      </c>
      <c r="P403" s="471">
        <f>'d3'!P404-'d3-П'!P399</f>
        <v>500000</v>
      </c>
      <c r="Q403" s="45"/>
      <c r="R403" s="48"/>
    </row>
    <row r="404" spans="1:18" ht="73.5" customHeight="1" thickTop="1" thickBot="1" x14ac:dyDescent="0.25">
      <c r="A404" s="239" t="s">
        <v>1098</v>
      </c>
      <c r="B404" s="239" t="s">
        <v>664</v>
      </c>
      <c r="C404" s="239"/>
      <c r="D404" s="239" t="s">
        <v>665</v>
      </c>
      <c r="E404" s="471">
        <f>'d3'!E405-'d3-П'!E400</f>
        <v>0</v>
      </c>
      <c r="F404" s="471">
        <f>'d3'!F405-'d3-П'!F400</f>
        <v>0</v>
      </c>
      <c r="G404" s="471">
        <f>'d3'!G405-'d3-П'!G400</f>
        <v>0</v>
      </c>
      <c r="H404" s="471">
        <f>'d3'!H405-'d3-П'!H400</f>
        <v>0</v>
      </c>
      <c r="I404" s="471">
        <f>'d3'!I405-'d3-П'!I400</f>
        <v>0</v>
      </c>
      <c r="J404" s="471">
        <f>'d3'!J405-'d3-П'!J400</f>
        <v>0</v>
      </c>
      <c r="K404" s="471">
        <f>'d3'!K405-'d3-П'!K400</f>
        <v>0</v>
      </c>
      <c r="L404" s="471">
        <f>'d3'!L405-'d3-П'!L400</f>
        <v>0</v>
      </c>
      <c r="M404" s="471">
        <f>'d3'!M405-'d3-П'!M400</f>
        <v>0</v>
      </c>
      <c r="N404" s="471">
        <f>'d3'!N405-'d3-П'!N400</f>
        <v>0</v>
      </c>
      <c r="O404" s="471">
        <f>'d3'!O405-'d3-П'!O400</f>
        <v>0</v>
      </c>
      <c r="P404" s="471">
        <f>'d3'!P405-'d3-П'!P400</f>
        <v>0</v>
      </c>
      <c r="Q404" s="45"/>
      <c r="R404" s="48"/>
    </row>
    <row r="405" spans="1:18" ht="94.5" customHeight="1" thickTop="1" thickBot="1" x14ac:dyDescent="0.25">
      <c r="A405" s="508" t="s">
        <v>1099</v>
      </c>
      <c r="B405" s="508" t="s">
        <v>1066</v>
      </c>
      <c r="C405" s="508"/>
      <c r="D405" s="508" t="s">
        <v>1064</v>
      </c>
      <c r="E405" s="471">
        <f>'d3'!E406-'d3-П'!E401</f>
        <v>0</v>
      </c>
      <c r="F405" s="471">
        <f>'d3'!F406-'d3-П'!F401</f>
        <v>0</v>
      </c>
      <c r="G405" s="471">
        <f>'d3'!G406-'d3-П'!G401</f>
        <v>0</v>
      </c>
      <c r="H405" s="471">
        <f>'d3'!H406-'d3-П'!H401</f>
        <v>0</v>
      </c>
      <c r="I405" s="471">
        <f>'d3'!I406-'d3-П'!I401</f>
        <v>0</v>
      </c>
      <c r="J405" s="471">
        <f>'d3'!J406-'d3-П'!J401</f>
        <v>0</v>
      </c>
      <c r="K405" s="471">
        <f>'d3'!K406-'d3-П'!K401</f>
        <v>0</v>
      </c>
      <c r="L405" s="471">
        <f>'d3'!L406-'d3-П'!L401</f>
        <v>0</v>
      </c>
      <c r="M405" s="471">
        <f>'d3'!M406-'d3-П'!M401</f>
        <v>0</v>
      </c>
      <c r="N405" s="471">
        <f>'d3'!N406-'d3-П'!N401</f>
        <v>0</v>
      </c>
      <c r="O405" s="471">
        <f>'d3'!O406-'d3-П'!O401</f>
        <v>0</v>
      </c>
      <c r="P405" s="471">
        <f>'d3'!P406-'d3-П'!P401</f>
        <v>0</v>
      </c>
      <c r="Q405" s="45"/>
      <c r="R405" s="48"/>
    </row>
    <row r="406" spans="1:18" ht="105.75" customHeight="1" thickTop="1" thickBot="1" x14ac:dyDescent="0.25">
      <c r="A406" s="94" t="s">
        <v>1100</v>
      </c>
      <c r="B406" s="94" t="s">
        <v>1101</v>
      </c>
      <c r="C406" s="94" t="s">
        <v>1068</v>
      </c>
      <c r="D406" s="94" t="s">
        <v>1102</v>
      </c>
      <c r="E406" s="471">
        <f>'d3'!E407-'d3-П'!E402</f>
        <v>0</v>
      </c>
      <c r="F406" s="471">
        <f>'d3'!F407-'d3-П'!F402</f>
        <v>0</v>
      </c>
      <c r="G406" s="471">
        <f>'d3'!G407-'d3-П'!G402</f>
        <v>0</v>
      </c>
      <c r="H406" s="471">
        <f>'d3'!H407-'d3-П'!H402</f>
        <v>0</v>
      </c>
      <c r="I406" s="471">
        <f>'d3'!I407-'d3-П'!I402</f>
        <v>0</v>
      </c>
      <c r="J406" s="471">
        <f>'d3'!J407-'d3-П'!J402</f>
        <v>0</v>
      </c>
      <c r="K406" s="471">
        <f>'d3'!K407-'d3-П'!K402</f>
        <v>0</v>
      </c>
      <c r="L406" s="471">
        <f>'d3'!L407-'d3-П'!L402</f>
        <v>0</v>
      </c>
      <c r="M406" s="471">
        <f>'d3'!M407-'d3-П'!M402</f>
        <v>0</v>
      </c>
      <c r="N406" s="471">
        <f>'d3'!N407-'d3-П'!N402</f>
        <v>0</v>
      </c>
      <c r="O406" s="471">
        <f>'d3'!O407-'d3-П'!O402</f>
        <v>0</v>
      </c>
      <c r="P406" s="471">
        <f>'d3'!P407-'d3-П'!P402</f>
        <v>0</v>
      </c>
      <c r="Q406" s="45"/>
      <c r="R406" s="48"/>
    </row>
    <row r="407" spans="1:18" ht="105.75" customHeight="1" thickTop="1" thickBot="1" x14ac:dyDescent="0.25">
      <c r="A407" s="239" t="s">
        <v>1162</v>
      </c>
      <c r="B407" s="239" t="s">
        <v>669</v>
      </c>
      <c r="C407" s="239"/>
      <c r="D407" s="239" t="s">
        <v>670</v>
      </c>
      <c r="E407" s="471">
        <f>'d3'!E408-'d3-П'!E403</f>
        <v>0</v>
      </c>
      <c r="F407" s="471">
        <f>'d3'!F408-'d3-П'!F403</f>
        <v>0</v>
      </c>
      <c r="G407" s="471">
        <f>'d3'!G408-'d3-П'!G403</f>
        <v>0</v>
      </c>
      <c r="H407" s="471">
        <f>'d3'!H408-'d3-П'!H403</f>
        <v>0</v>
      </c>
      <c r="I407" s="471">
        <f>'d3'!I408-'d3-П'!I403</f>
        <v>0</v>
      </c>
      <c r="J407" s="471">
        <f>'d3'!J408-'d3-П'!J403</f>
        <v>0</v>
      </c>
      <c r="K407" s="471">
        <f>'d3'!K408-'d3-П'!K403</f>
        <v>0</v>
      </c>
      <c r="L407" s="471">
        <f>'d3'!L408-'d3-П'!L403</f>
        <v>0</v>
      </c>
      <c r="M407" s="471">
        <f>'d3'!M408-'d3-П'!M403</f>
        <v>0</v>
      </c>
      <c r="N407" s="471">
        <f>'d3'!N408-'d3-П'!N403</f>
        <v>0</v>
      </c>
      <c r="O407" s="471">
        <f>'d3'!O408-'d3-П'!O403</f>
        <v>0</v>
      </c>
      <c r="P407" s="471">
        <f>'d3'!P408-'d3-П'!P403</f>
        <v>0</v>
      </c>
      <c r="Q407" s="45"/>
      <c r="R407" s="48"/>
    </row>
    <row r="408" spans="1:18" ht="138" customHeight="1" thickTop="1" thickBot="1" x14ac:dyDescent="0.25">
      <c r="A408" s="508" t="s">
        <v>1163</v>
      </c>
      <c r="B408" s="508" t="s">
        <v>497</v>
      </c>
      <c r="C408" s="508" t="s">
        <v>42</v>
      </c>
      <c r="D408" s="508" t="s">
        <v>498</v>
      </c>
      <c r="E408" s="471">
        <f>'d3'!E409-'d3-П'!E404</f>
        <v>0</v>
      </c>
      <c r="F408" s="471">
        <f>'d3'!F409-'d3-П'!F404</f>
        <v>0</v>
      </c>
      <c r="G408" s="471">
        <f>'d3'!G409-'d3-П'!G404</f>
        <v>0</v>
      </c>
      <c r="H408" s="471">
        <f>'d3'!H409-'d3-П'!H404</f>
        <v>0</v>
      </c>
      <c r="I408" s="471">
        <f>'d3'!I409-'d3-П'!I404</f>
        <v>0</v>
      </c>
      <c r="J408" s="471">
        <f>'d3'!J409-'d3-П'!J404</f>
        <v>0</v>
      </c>
      <c r="K408" s="471">
        <f>'d3'!K409-'d3-П'!K404</f>
        <v>0</v>
      </c>
      <c r="L408" s="471">
        <f>'d3'!L409-'d3-П'!L404</f>
        <v>0</v>
      </c>
      <c r="M408" s="471">
        <f>'d3'!M409-'d3-П'!M404</f>
        <v>0</v>
      </c>
      <c r="N408" s="471">
        <f>'d3'!N409-'d3-П'!N404</f>
        <v>0</v>
      </c>
      <c r="O408" s="471">
        <f>'d3'!O409-'d3-П'!O404</f>
        <v>0</v>
      </c>
      <c r="P408" s="471">
        <f>'d3'!P409-'d3-П'!P404</f>
        <v>0</v>
      </c>
      <c r="Q408" s="45"/>
      <c r="R408" s="48"/>
    </row>
    <row r="409" spans="1:18" ht="105.75" customHeight="1" thickTop="1" thickBot="1" x14ac:dyDescent="0.25">
      <c r="A409" s="514" t="s">
        <v>161</v>
      </c>
      <c r="B409" s="514"/>
      <c r="C409" s="514"/>
      <c r="D409" s="515" t="s">
        <v>344</v>
      </c>
      <c r="E409" s="516">
        <f>E410</f>
        <v>-1000000</v>
      </c>
      <c r="F409" s="517">
        <f t="shared" ref="F409:G409" si="66">F410</f>
        <v>-1000000</v>
      </c>
      <c r="G409" s="517">
        <f t="shared" si="66"/>
        <v>0</v>
      </c>
      <c r="H409" s="517">
        <f>H410</f>
        <v>0</v>
      </c>
      <c r="I409" s="517">
        <f t="shared" ref="I409" si="67">I410</f>
        <v>0</v>
      </c>
      <c r="J409" s="516">
        <f>J410</f>
        <v>0</v>
      </c>
      <c r="K409" s="517">
        <f>K410</f>
        <v>0</v>
      </c>
      <c r="L409" s="517">
        <f>L410</f>
        <v>0</v>
      </c>
      <c r="M409" s="517">
        <f t="shared" ref="M409" si="68">M410</f>
        <v>0</v>
      </c>
      <c r="N409" s="517">
        <f>N410</f>
        <v>0</v>
      </c>
      <c r="O409" s="516">
        <f>O410</f>
        <v>0</v>
      </c>
      <c r="P409" s="517">
        <f t="shared" ref="P409" si="69">P410</f>
        <v>-1000000</v>
      </c>
      <c r="Q409" s="18"/>
    </row>
    <row r="410" spans="1:18" ht="154.5" customHeight="1" thickTop="1" thickBot="1" x14ac:dyDescent="0.25">
      <c r="A410" s="511" t="s">
        <v>162</v>
      </c>
      <c r="B410" s="511"/>
      <c r="C410" s="511"/>
      <c r="D410" s="512" t="s">
        <v>345</v>
      </c>
      <c r="E410" s="513">
        <f>E414+E426+E423+E411</f>
        <v>-1000000</v>
      </c>
      <c r="F410" s="513">
        <f>F414+F426+F423+F411</f>
        <v>-1000000</v>
      </c>
      <c r="G410" s="513">
        <f>G414+G426+G423+G411</f>
        <v>0</v>
      </c>
      <c r="H410" s="513">
        <f>H414+H426+H423+H411</f>
        <v>0</v>
      </c>
      <c r="I410" s="513">
        <f>I414+I426+I423+I411</f>
        <v>0</v>
      </c>
      <c r="J410" s="513">
        <f>L410+O410</f>
        <v>0</v>
      </c>
      <c r="K410" s="513">
        <f>K414+K426+K423+K411</f>
        <v>0</v>
      </c>
      <c r="L410" s="513">
        <f>L414+L426+L423+L411</f>
        <v>0</v>
      </c>
      <c r="M410" s="513">
        <f>M414+M426+M423+M411</f>
        <v>0</v>
      </c>
      <c r="N410" s="513">
        <f>N414+N426+N423+N411</f>
        <v>0</v>
      </c>
      <c r="O410" s="513">
        <f>O414+O426+O423+O411</f>
        <v>0</v>
      </c>
      <c r="P410" s="513">
        <f>E410+J410</f>
        <v>-1000000</v>
      </c>
      <c r="Q410" s="546" t="b">
        <f>P410=P412+P413+P416+P418+P419+P425+P422</f>
        <v>1</v>
      </c>
      <c r="R410" s="44"/>
    </row>
    <row r="411" spans="1:18" ht="108" customHeight="1" thickTop="1" thickBot="1" x14ac:dyDescent="0.25">
      <c r="A411" s="239" t="s">
        <v>1158</v>
      </c>
      <c r="B411" s="239" t="s">
        <v>678</v>
      </c>
      <c r="C411" s="239"/>
      <c r="D411" s="239" t="s">
        <v>679</v>
      </c>
      <c r="E411" s="471">
        <f>'d3'!E412-'d3-П'!E407</f>
        <v>0</v>
      </c>
      <c r="F411" s="471">
        <f>'d3'!F412-'d3-П'!F407</f>
        <v>300000</v>
      </c>
      <c r="G411" s="471">
        <f>'d3'!G412-'d3-П'!G407</f>
        <v>0</v>
      </c>
      <c r="H411" s="471">
        <f>'d3'!H412-'d3-П'!H407</f>
        <v>0</v>
      </c>
      <c r="I411" s="471">
        <f>'d3'!I412-'d3-П'!I407</f>
        <v>-300000</v>
      </c>
      <c r="J411" s="471">
        <f>'d3'!J412-'d3-П'!J407</f>
        <v>0</v>
      </c>
      <c r="K411" s="471">
        <f>'d3'!K412-'d3-П'!K407</f>
        <v>0</v>
      </c>
      <c r="L411" s="471">
        <f>'d3'!L412-'d3-П'!L407</f>
        <v>0</v>
      </c>
      <c r="M411" s="471">
        <f>'d3'!M412-'d3-П'!M407</f>
        <v>0</v>
      </c>
      <c r="N411" s="471">
        <f>'d3'!N412-'d3-П'!N407</f>
        <v>0</v>
      </c>
      <c r="O411" s="471">
        <f>'d3'!O412-'d3-П'!O407</f>
        <v>0</v>
      </c>
      <c r="P411" s="471">
        <f>'d3'!P412-'d3-П'!P407</f>
        <v>0</v>
      </c>
      <c r="Q411" s="45"/>
      <c r="R411" s="44"/>
    </row>
    <row r="412" spans="1:18" ht="93" hidden="1" thickTop="1" thickBot="1" x14ac:dyDescent="0.25">
      <c r="A412" s="349" t="s">
        <v>1159</v>
      </c>
      <c r="B412" s="349" t="s">
        <v>1080</v>
      </c>
      <c r="C412" s="349" t="s">
        <v>201</v>
      </c>
      <c r="D412" s="390" t="s">
        <v>1081</v>
      </c>
      <c r="E412" s="471">
        <f>'d3'!E413-'d3-П'!E408</f>
        <v>0</v>
      </c>
      <c r="F412" s="471">
        <f>'d3'!F413-'d3-П'!F408</f>
        <v>0</v>
      </c>
      <c r="G412" s="471">
        <f>'d3'!G413-'d3-П'!G408</f>
        <v>0</v>
      </c>
      <c r="H412" s="471">
        <f>'d3'!H413-'d3-П'!H408</f>
        <v>0</v>
      </c>
      <c r="I412" s="471">
        <f>'d3'!I413-'d3-П'!I408</f>
        <v>0</v>
      </c>
      <c r="J412" s="471">
        <f>'d3'!J413-'d3-П'!J408</f>
        <v>0</v>
      </c>
      <c r="K412" s="471">
        <f>'d3'!K413-'d3-П'!K408</f>
        <v>0</v>
      </c>
      <c r="L412" s="471">
        <f>'d3'!L413-'d3-П'!L408</f>
        <v>0</v>
      </c>
      <c r="M412" s="471">
        <f>'d3'!M413-'d3-П'!M408</f>
        <v>0</v>
      </c>
      <c r="N412" s="471">
        <f>'d3'!N413-'d3-П'!N408</f>
        <v>0</v>
      </c>
      <c r="O412" s="471">
        <f>'d3'!O413-'d3-П'!O408</f>
        <v>0</v>
      </c>
      <c r="P412" s="471">
        <f>'d3'!P413-'d3-П'!P408</f>
        <v>0</v>
      </c>
      <c r="Q412" s="45"/>
      <c r="R412" s="44"/>
    </row>
    <row r="413" spans="1:18" ht="93.75" customHeight="1" thickTop="1" thickBot="1" x14ac:dyDescent="0.25">
      <c r="A413" s="94" t="s">
        <v>1326</v>
      </c>
      <c r="B413" s="94" t="s">
        <v>323</v>
      </c>
      <c r="C413" s="94" t="s">
        <v>186</v>
      </c>
      <c r="D413" s="507" t="s">
        <v>1702</v>
      </c>
      <c r="E413" s="471">
        <f>'d3'!E414-'d3-П'!E409</f>
        <v>0</v>
      </c>
      <c r="F413" s="471">
        <f>'d3'!F414-'d3-П'!F409</f>
        <v>300000</v>
      </c>
      <c r="G413" s="471">
        <f>'d3'!G414-'d3-П'!G409</f>
        <v>0</v>
      </c>
      <c r="H413" s="471">
        <f>'d3'!H414-'d3-П'!H409</f>
        <v>0</v>
      </c>
      <c r="I413" s="471">
        <f>'d3'!I414-'d3-П'!I409</f>
        <v>-300000</v>
      </c>
      <c r="J413" s="471">
        <f>'d3'!J414-'d3-П'!J409</f>
        <v>0</v>
      </c>
      <c r="K413" s="471">
        <f>'d3'!K414-'d3-П'!K409</f>
        <v>0</v>
      </c>
      <c r="L413" s="471">
        <f>'d3'!L414-'d3-П'!L409</f>
        <v>0</v>
      </c>
      <c r="M413" s="471">
        <f>'d3'!M414-'d3-П'!M409</f>
        <v>0</v>
      </c>
      <c r="N413" s="471">
        <f>'d3'!N414-'d3-П'!N409</f>
        <v>0</v>
      </c>
      <c r="O413" s="471">
        <f>'d3'!O414-'d3-П'!O409</f>
        <v>0</v>
      </c>
      <c r="P413" s="471">
        <f>'d3'!P414-'d3-П'!P409</f>
        <v>0</v>
      </c>
      <c r="Q413" s="45"/>
      <c r="R413" s="44"/>
    </row>
    <row r="414" spans="1:18" ht="90" customHeight="1" thickTop="1" thickBot="1" x14ac:dyDescent="0.25">
      <c r="A414" s="239" t="s">
        <v>790</v>
      </c>
      <c r="B414" s="239" t="s">
        <v>713</v>
      </c>
      <c r="C414" s="119"/>
      <c r="D414" s="239" t="s">
        <v>757</v>
      </c>
      <c r="E414" s="471">
        <f>'d3'!E415-'d3-П'!E410</f>
        <v>-1000000</v>
      </c>
      <c r="F414" s="471">
        <f>'d3'!F415-'d3-П'!F410</f>
        <v>-1300000</v>
      </c>
      <c r="G414" s="471">
        <f>'d3'!G415-'d3-П'!G410</f>
        <v>0</v>
      </c>
      <c r="H414" s="471">
        <f>'d3'!H415-'d3-П'!H410</f>
        <v>0</v>
      </c>
      <c r="I414" s="471">
        <f>'d3'!I415-'d3-П'!I410</f>
        <v>300000</v>
      </c>
      <c r="J414" s="471">
        <f>'d3'!J415-'d3-П'!J410</f>
        <v>0</v>
      </c>
      <c r="K414" s="471">
        <f>'d3'!K415-'d3-П'!K410</f>
        <v>0</v>
      </c>
      <c r="L414" s="471">
        <f>'d3'!L415-'d3-П'!L410</f>
        <v>0</v>
      </c>
      <c r="M414" s="471">
        <f>'d3'!M415-'d3-П'!M410</f>
        <v>0</v>
      </c>
      <c r="N414" s="471">
        <f>'d3'!N415-'d3-П'!N410</f>
        <v>0</v>
      </c>
      <c r="O414" s="471">
        <f>'d3'!O415-'d3-П'!O410</f>
        <v>0</v>
      </c>
      <c r="P414" s="471">
        <f>'d3'!P415-'d3-П'!P410</f>
        <v>-1000000</v>
      </c>
      <c r="Q414" s="45"/>
      <c r="R414" s="44"/>
    </row>
    <row r="415" spans="1:18" ht="121.5" customHeight="1" thickTop="1" thickBot="1" x14ac:dyDescent="0.25">
      <c r="A415" s="508" t="s">
        <v>940</v>
      </c>
      <c r="B415" s="508" t="s">
        <v>765</v>
      </c>
      <c r="C415" s="127"/>
      <c r="D415" s="496" t="s">
        <v>1711</v>
      </c>
      <c r="E415" s="471">
        <f>'d3'!E416-'d3-П'!E411</f>
        <v>-6000000</v>
      </c>
      <c r="F415" s="471">
        <f>'d3'!F416-'d3-П'!F411</f>
        <v>-6000000</v>
      </c>
      <c r="G415" s="471">
        <f>'d3'!G416-'d3-П'!G411</f>
        <v>0</v>
      </c>
      <c r="H415" s="471">
        <f>'d3'!H416-'d3-П'!H411</f>
        <v>0</v>
      </c>
      <c r="I415" s="471">
        <f>'d3'!I416-'d3-П'!I411</f>
        <v>0</v>
      </c>
      <c r="J415" s="471">
        <f>'d3'!J416-'d3-П'!J411</f>
        <v>0</v>
      </c>
      <c r="K415" s="471">
        <f>'d3'!K416-'d3-П'!K411</f>
        <v>0</v>
      </c>
      <c r="L415" s="471">
        <f>'d3'!L416-'d3-П'!L411</f>
        <v>0</v>
      </c>
      <c r="M415" s="471">
        <f>'d3'!M416-'d3-П'!M411</f>
        <v>0</v>
      </c>
      <c r="N415" s="471">
        <f>'d3'!N416-'d3-П'!N411</f>
        <v>0</v>
      </c>
      <c r="O415" s="471">
        <f>'d3'!O416-'d3-П'!O411</f>
        <v>0</v>
      </c>
      <c r="P415" s="471">
        <f>'d3'!P416-'d3-П'!P411</f>
        <v>-6000000</v>
      </c>
      <c r="Q415" s="45"/>
      <c r="R415" s="44"/>
    </row>
    <row r="416" spans="1:18" ht="90.75" customHeight="1" thickTop="1" thickBot="1" x14ac:dyDescent="0.25">
      <c r="A416" s="94" t="s">
        <v>941</v>
      </c>
      <c r="B416" s="94" t="s">
        <v>341</v>
      </c>
      <c r="C416" s="94" t="s">
        <v>165</v>
      </c>
      <c r="D416" s="94" t="s">
        <v>256</v>
      </c>
      <c r="E416" s="471">
        <f>'d3'!E417-'d3-П'!E412</f>
        <v>-6000000</v>
      </c>
      <c r="F416" s="471">
        <f>'d3'!F417-'d3-П'!F412</f>
        <v>-6000000</v>
      </c>
      <c r="G416" s="471">
        <f>'d3'!G417-'d3-П'!G412</f>
        <v>0</v>
      </c>
      <c r="H416" s="471">
        <f>'d3'!H417-'d3-П'!H412</f>
        <v>0</v>
      </c>
      <c r="I416" s="471">
        <f>'d3'!I417-'d3-П'!I412</f>
        <v>0</v>
      </c>
      <c r="J416" s="471">
        <f>'d3'!J417-'d3-П'!J412</f>
        <v>0</v>
      </c>
      <c r="K416" s="471">
        <f>'d3'!K417-'d3-П'!K412</f>
        <v>0</v>
      </c>
      <c r="L416" s="471">
        <f>'d3'!L417-'d3-П'!L412</f>
        <v>0</v>
      </c>
      <c r="M416" s="471">
        <f>'d3'!M417-'d3-П'!M412</f>
        <v>0</v>
      </c>
      <c r="N416" s="471">
        <f>'d3'!N417-'d3-П'!N412</f>
        <v>0</v>
      </c>
      <c r="O416" s="471">
        <f>'d3'!O417-'d3-П'!O412</f>
        <v>0</v>
      </c>
      <c r="P416" s="471">
        <f>'d3'!P417-'d3-П'!P412</f>
        <v>-6000000</v>
      </c>
      <c r="Q416" s="45"/>
      <c r="R416" s="44"/>
    </row>
    <row r="417" spans="1:18" ht="93" customHeight="1" thickTop="1" thickBot="1" x14ac:dyDescent="0.25">
      <c r="A417" s="508" t="s">
        <v>791</v>
      </c>
      <c r="B417" s="508" t="s">
        <v>659</v>
      </c>
      <c r="C417" s="127"/>
      <c r="D417" s="508" t="s">
        <v>657</v>
      </c>
      <c r="E417" s="471">
        <f>'d3'!E418-'d3-П'!E413</f>
        <v>5000000</v>
      </c>
      <c r="F417" s="471">
        <f>'d3'!F418-'d3-П'!F413</f>
        <v>4700000</v>
      </c>
      <c r="G417" s="471">
        <f>'d3'!G418-'d3-П'!G413</f>
        <v>0</v>
      </c>
      <c r="H417" s="471">
        <f>'d3'!H418-'d3-П'!H413</f>
        <v>0</v>
      </c>
      <c r="I417" s="471">
        <f>'d3'!I418-'d3-П'!I413</f>
        <v>300000</v>
      </c>
      <c r="J417" s="471">
        <f>'d3'!J418-'d3-П'!J413</f>
        <v>0</v>
      </c>
      <c r="K417" s="471">
        <f>'d3'!K418-'d3-П'!K413</f>
        <v>0</v>
      </c>
      <c r="L417" s="471">
        <f>'d3'!L418-'d3-П'!L413</f>
        <v>0</v>
      </c>
      <c r="M417" s="471">
        <f>'d3'!M418-'d3-П'!M413</f>
        <v>0</v>
      </c>
      <c r="N417" s="471">
        <f>'d3'!N418-'d3-П'!N413</f>
        <v>0</v>
      </c>
      <c r="O417" s="471">
        <f>'d3'!O418-'d3-П'!O413</f>
        <v>0</v>
      </c>
      <c r="P417" s="471">
        <f>'d3'!P418-'d3-П'!P413</f>
        <v>5000000</v>
      </c>
      <c r="Q417" s="45"/>
      <c r="R417" s="44"/>
    </row>
    <row r="418" spans="1:18" ht="87.75" customHeight="1" thickTop="1" thickBot="1" x14ac:dyDescent="0.25">
      <c r="A418" s="94" t="s">
        <v>254</v>
      </c>
      <c r="B418" s="94" t="s">
        <v>255</v>
      </c>
      <c r="C418" s="94" t="s">
        <v>253</v>
      </c>
      <c r="D418" s="94" t="s">
        <v>252</v>
      </c>
      <c r="E418" s="471">
        <f>'d3'!E419-'d3-П'!E414</f>
        <v>5000000</v>
      </c>
      <c r="F418" s="471">
        <f>'d3'!F419-'d3-П'!F414</f>
        <v>4700000</v>
      </c>
      <c r="G418" s="471">
        <f>'d3'!G419-'d3-П'!G414</f>
        <v>0</v>
      </c>
      <c r="H418" s="471">
        <f>'d3'!H419-'d3-П'!H414</f>
        <v>0</v>
      </c>
      <c r="I418" s="471">
        <f>'d3'!I419-'d3-П'!I414</f>
        <v>300000</v>
      </c>
      <c r="J418" s="471">
        <f>'d3'!J419-'d3-П'!J414</f>
        <v>0</v>
      </c>
      <c r="K418" s="471">
        <f>'d3'!K419-'d3-П'!K414</f>
        <v>0</v>
      </c>
      <c r="L418" s="471">
        <f>'d3'!L419-'d3-П'!L414</f>
        <v>0</v>
      </c>
      <c r="M418" s="471">
        <f>'d3'!M419-'d3-П'!M414</f>
        <v>0</v>
      </c>
      <c r="N418" s="471">
        <f>'d3'!N419-'d3-П'!N414</f>
        <v>0</v>
      </c>
      <c r="O418" s="471">
        <f>'d3'!O419-'d3-П'!O414</f>
        <v>0</v>
      </c>
      <c r="P418" s="471">
        <f>'d3'!P419-'d3-П'!P414</f>
        <v>5000000</v>
      </c>
      <c r="Q418" s="18"/>
      <c r="R418" s="44"/>
    </row>
    <row r="419" spans="1:18" ht="87.75" hidden="1" customHeight="1" thickTop="1" thickBot="1" x14ac:dyDescent="0.25">
      <c r="A419" s="119" t="s">
        <v>246</v>
      </c>
      <c r="B419" s="119" t="s">
        <v>248</v>
      </c>
      <c r="C419" s="119" t="s">
        <v>208</v>
      </c>
      <c r="D419" s="119" t="s">
        <v>247</v>
      </c>
      <c r="E419" s="118"/>
      <c r="F419" s="125"/>
      <c r="G419" s="125"/>
      <c r="H419" s="125"/>
      <c r="I419" s="125"/>
      <c r="J419" s="118">
        <f t="shared" ref="J419:J422" si="70">L419+O419</f>
        <v>0</v>
      </c>
      <c r="K419" s="125"/>
      <c r="L419" s="125"/>
      <c r="M419" s="125"/>
      <c r="N419" s="125"/>
      <c r="O419" s="123">
        <f>K419</f>
        <v>0</v>
      </c>
      <c r="P419" s="118">
        <f t="shared" ref="P419:P422" si="71">E419+J419</f>
        <v>0</v>
      </c>
      <c r="Q419" s="18"/>
      <c r="R419" s="44"/>
    </row>
    <row r="420" spans="1:18" ht="48" hidden="1" thickTop="1" thickBot="1" x14ac:dyDescent="0.25">
      <c r="A420" s="119" t="s">
        <v>1153</v>
      </c>
      <c r="B420" s="119" t="s">
        <v>207</v>
      </c>
      <c r="C420" s="119" t="s">
        <v>208</v>
      </c>
      <c r="D420" s="119" t="s">
        <v>40</v>
      </c>
      <c r="E420" s="118">
        <f t="shared" ref="E420" si="72">F420</f>
        <v>0</v>
      </c>
      <c r="F420" s="125">
        <f>(200000)-200000</f>
        <v>0</v>
      </c>
      <c r="G420" s="125"/>
      <c r="H420" s="125"/>
      <c r="I420" s="125"/>
      <c r="J420" s="118">
        <f t="shared" si="70"/>
        <v>0</v>
      </c>
      <c r="K420" s="125">
        <f>(100000)-100000</f>
        <v>0</v>
      </c>
      <c r="L420" s="125"/>
      <c r="M420" s="125"/>
      <c r="N420" s="125"/>
      <c r="O420" s="123">
        <f>K420</f>
        <v>0</v>
      </c>
      <c r="P420" s="118">
        <f t="shared" si="71"/>
        <v>0</v>
      </c>
      <c r="Q420" s="18"/>
      <c r="R420" s="44"/>
    </row>
    <row r="421" spans="1:18" ht="74.25" hidden="1" customHeight="1" thickTop="1" thickBot="1" x14ac:dyDescent="0.25">
      <c r="A421" s="131" t="s">
        <v>792</v>
      </c>
      <c r="B421" s="131" t="s">
        <v>662</v>
      </c>
      <c r="C421" s="131"/>
      <c r="D421" s="131" t="s">
        <v>660</v>
      </c>
      <c r="E421" s="132">
        <f>E422</f>
        <v>0</v>
      </c>
      <c r="F421" s="132">
        <f t="shared" ref="F421:P421" si="73">F422</f>
        <v>0</v>
      </c>
      <c r="G421" s="132">
        <f t="shared" si="73"/>
        <v>0</v>
      </c>
      <c r="H421" s="132">
        <f t="shared" si="73"/>
        <v>0</v>
      </c>
      <c r="I421" s="132">
        <f t="shared" si="73"/>
        <v>0</v>
      </c>
      <c r="J421" s="132">
        <f t="shared" si="73"/>
        <v>0</v>
      </c>
      <c r="K421" s="132">
        <f t="shared" si="73"/>
        <v>0</v>
      </c>
      <c r="L421" s="132">
        <f t="shared" si="73"/>
        <v>0</v>
      </c>
      <c r="M421" s="132">
        <f t="shared" si="73"/>
        <v>0</v>
      </c>
      <c r="N421" s="132">
        <f t="shared" si="73"/>
        <v>0</v>
      </c>
      <c r="O421" s="132">
        <f t="shared" si="73"/>
        <v>0</v>
      </c>
      <c r="P421" s="132">
        <f t="shared" si="73"/>
        <v>0</v>
      </c>
      <c r="Q421" s="18"/>
      <c r="R421" s="44"/>
    </row>
    <row r="422" spans="1:18" ht="87" hidden="1" customHeight="1" thickTop="1" thickBot="1" x14ac:dyDescent="0.25">
      <c r="A422" s="119" t="s">
        <v>250</v>
      </c>
      <c r="B422" s="119" t="s">
        <v>251</v>
      </c>
      <c r="C422" s="119" t="s">
        <v>165</v>
      </c>
      <c r="D422" s="119" t="s">
        <v>249</v>
      </c>
      <c r="E422" s="118"/>
      <c r="F422" s="125"/>
      <c r="G422" s="125"/>
      <c r="H422" s="125"/>
      <c r="I422" s="125"/>
      <c r="J422" s="118">
        <f t="shared" si="70"/>
        <v>0</v>
      </c>
      <c r="K422" s="125"/>
      <c r="L422" s="125"/>
      <c r="M422" s="125"/>
      <c r="N422" s="125"/>
      <c r="O422" s="123">
        <f>K422</f>
        <v>0</v>
      </c>
      <c r="P422" s="118">
        <f t="shared" si="71"/>
        <v>0</v>
      </c>
      <c r="Q422" s="18"/>
      <c r="R422" s="44"/>
    </row>
    <row r="423" spans="1:18" ht="47.25" hidden="1" thickTop="1" thickBot="1" x14ac:dyDescent="0.25">
      <c r="A423" s="391" t="s">
        <v>1155</v>
      </c>
      <c r="B423" s="391" t="s">
        <v>664</v>
      </c>
      <c r="C423" s="391"/>
      <c r="D423" s="391" t="s">
        <v>665</v>
      </c>
      <c r="E423" s="118">
        <f t="shared" ref="E423:P424" si="74">E424</f>
        <v>0</v>
      </c>
      <c r="F423" s="118">
        <f t="shared" si="74"/>
        <v>0</v>
      </c>
      <c r="G423" s="118">
        <f t="shared" si="74"/>
        <v>0</v>
      </c>
      <c r="H423" s="118">
        <f t="shared" si="74"/>
        <v>0</v>
      </c>
      <c r="I423" s="118">
        <f t="shared" si="74"/>
        <v>0</v>
      </c>
      <c r="J423" s="118">
        <f t="shared" si="74"/>
        <v>0</v>
      </c>
      <c r="K423" s="118">
        <f t="shared" si="74"/>
        <v>0</v>
      </c>
      <c r="L423" s="118">
        <f t="shared" si="74"/>
        <v>0</v>
      </c>
      <c r="M423" s="118">
        <f t="shared" si="74"/>
        <v>0</v>
      </c>
      <c r="N423" s="118">
        <f t="shared" si="74"/>
        <v>0</v>
      </c>
      <c r="O423" s="118">
        <f t="shared" si="74"/>
        <v>0</v>
      </c>
      <c r="P423" s="118">
        <f t="shared" si="74"/>
        <v>0</v>
      </c>
      <c r="Q423" s="18"/>
      <c r="R423" s="44"/>
    </row>
    <row r="424" spans="1:18" ht="47.25" hidden="1" thickTop="1" thickBot="1" x14ac:dyDescent="0.25">
      <c r="A424" s="348" t="s">
        <v>1156</v>
      </c>
      <c r="B424" s="348" t="s">
        <v>1066</v>
      </c>
      <c r="C424" s="348"/>
      <c r="D424" s="348" t="s">
        <v>1064</v>
      </c>
      <c r="E424" s="128">
        <f t="shared" si="74"/>
        <v>0</v>
      </c>
      <c r="F424" s="128">
        <f t="shared" si="74"/>
        <v>0</v>
      </c>
      <c r="G424" s="128">
        <f t="shared" si="74"/>
        <v>0</v>
      </c>
      <c r="H424" s="128">
        <f t="shared" si="74"/>
        <v>0</v>
      </c>
      <c r="I424" s="128">
        <f t="shared" si="74"/>
        <v>0</v>
      </c>
      <c r="J424" s="128">
        <f t="shared" si="74"/>
        <v>0</v>
      </c>
      <c r="K424" s="128">
        <f t="shared" si="74"/>
        <v>0</v>
      </c>
      <c r="L424" s="128">
        <f t="shared" si="74"/>
        <v>0</v>
      </c>
      <c r="M424" s="128">
        <f t="shared" si="74"/>
        <v>0</v>
      </c>
      <c r="N424" s="128">
        <f t="shared" si="74"/>
        <v>0</v>
      </c>
      <c r="O424" s="128">
        <f t="shared" si="74"/>
        <v>0</v>
      </c>
      <c r="P424" s="128">
        <f t="shared" si="74"/>
        <v>0</v>
      </c>
      <c r="Q424" s="18"/>
      <c r="R424" s="44"/>
    </row>
    <row r="425" spans="1:18" ht="48" hidden="1" thickTop="1" thickBot="1" x14ac:dyDescent="0.25">
      <c r="A425" s="349" t="s">
        <v>1157</v>
      </c>
      <c r="B425" s="349" t="s">
        <v>1070</v>
      </c>
      <c r="C425" s="349" t="s">
        <v>1068</v>
      </c>
      <c r="D425" s="349" t="s">
        <v>1067</v>
      </c>
      <c r="E425" s="118">
        <f>F425</f>
        <v>0</v>
      </c>
      <c r="F425" s="125">
        <f>(200000)-200000</f>
        <v>0</v>
      </c>
      <c r="G425" s="125"/>
      <c r="H425" s="125"/>
      <c r="I425" s="125"/>
      <c r="J425" s="118">
        <f>L425+O425</f>
        <v>0</v>
      </c>
      <c r="K425" s="125">
        <f>(100000)-100000</f>
        <v>0</v>
      </c>
      <c r="L425" s="125"/>
      <c r="M425" s="125"/>
      <c r="N425" s="125"/>
      <c r="O425" s="123">
        <f>K425</f>
        <v>0</v>
      </c>
      <c r="P425" s="118">
        <f>E425+J425</f>
        <v>0</v>
      </c>
      <c r="Q425" s="18"/>
      <c r="R425" s="44"/>
    </row>
    <row r="426" spans="1:18" ht="47.25" hidden="1" thickTop="1" thickBot="1" x14ac:dyDescent="0.25">
      <c r="A426" s="116" t="s">
        <v>862</v>
      </c>
      <c r="B426" s="116" t="s">
        <v>669</v>
      </c>
      <c r="C426" s="116"/>
      <c r="D426" s="116" t="s">
        <v>670</v>
      </c>
      <c r="E426" s="118">
        <f>E427</f>
        <v>0</v>
      </c>
      <c r="F426" s="118">
        <f t="shared" ref="F426:P427" si="75">F427</f>
        <v>0</v>
      </c>
      <c r="G426" s="118">
        <f t="shared" si="75"/>
        <v>0</v>
      </c>
      <c r="H426" s="118">
        <f t="shared" si="75"/>
        <v>0</v>
      </c>
      <c r="I426" s="118">
        <f t="shared" si="75"/>
        <v>0</v>
      </c>
      <c r="J426" s="118">
        <f t="shared" si="75"/>
        <v>0</v>
      </c>
      <c r="K426" s="118">
        <f t="shared" si="75"/>
        <v>0</v>
      </c>
      <c r="L426" s="118">
        <f t="shared" si="75"/>
        <v>0</v>
      </c>
      <c r="M426" s="118">
        <f t="shared" si="75"/>
        <v>0</v>
      </c>
      <c r="N426" s="118">
        <f t="shared" si="75"/>
        <v>0</v>
      </c>
      <c r="O426" s="118">
        <f t="shared" si="75"/>
        <v>0</v>
      </c>
      <c r="P426" s="118">
        <f t="shared" si="75"/>
        <v>0</v>
      </c>
      <c r="Q426" s="18"/>
      <c r="R426" s="44"/>
    </row>
    <row r="427" spans="1:18" ht="91.5" hidden="1" thickTop="1" thickBot="1" x14ac:dyDescent="0.25">
      <c r="A427" s="127" t="s">
        <v>863</v>
      </c>
      <c r="B427" s="127" t="s">
        <v>672</v>
      </c>
      <c r="C427" s="127"/>
      <c r="D427" s="127" t="s">
        <v>673</v>
      </c>
      <c r="E427" s="128">
        <f>E428</f>
        <v>0</v>
      </c>
      <c r="F427" s="128">
        <f t="shared" si="75"/>
        <v>0</v>
      </c>
      <c r="G427" s="128">
        <f t="shared" si="75"/>
        <v>0</v>
      </c>
      <c r="H427" s="128">
        <f t="shared" si="75"/>
        <v>0</v>
      </c>
      <c r="I427" s="128">
        <f t="shared" si="75"/>
        <v>0</v>
      </c>
      <c r="J427" s="128">
        <f t="shared" si="75"/>
        <v>0</v>
      </c>
      <c r="K427" s="128">
        <f t="shared" si="75"/>
        <v>0</v>
      </c>
      <c r="L427" s="128">
        <f t="shared" si="75"/>
        <v>0</v>
      </c>
      <c r="M427" s="128">
        <f t="shared" si="75"/>
        <v>0</v>
      </c>
      <c r="N427" s="128">
        <f t="shared" si="75"/>
        <v>0</v>
      </c>
      <c r="O427" s="128">
        <f t="shared" si="75"/>
        <v>0</v>
      </c>
      <c r="P427" s="128">
        <f t="shared" si="75"/>
        <v>0</v>
      </c>
      <c r="Q427" s="18"/>
      <c r="R427" s="44"/>
    </row>
    <row r="428" spans="1:18" ht="48" hidden="1" thickTop="1" thickBot="1" x14ac:dyDescent="0.25">
      <c r="A428" s="119" t="s">
        <v>864</v>
      </c>
      <c r="B428" s="119" t="s">
        <v>353</v>
      </c>
      <c r="C428" s="119" t="s">
        <v>42</v>
      </c>
      <c r="D428" s="119" t="s">
        <v>354</v>
      </c>
      <c r="E428" s="118">
        <f t="shared" ref="E428" si="76">F428</f>
        <v>0</v>
      </c>
      <c r="F428" s="125"/>
      <c r="G428" s="125"/>
      <c r="H428" s="125"/>
      <c r="I428" s="125"/>
      <c r="J428" s="118">
        <f>L428+O428</f>
        <v>0</v>
      </c>
      <c r="K428" s="125"/>
      <c r="L428" s="125"/>
      <c r="M428" s="125"/>
      <c r="N428" s="125"/>
      <c r="O428" s="123">
        <f>K428</f>
        <v>0</v>
      </c>
      <c r="P428" s="118">
        <f>E428+J428</f>
        <v>0</v>
      </c>
      <c r="Q428" s="18"/>
      <c r="R428" s="44"/>
    </row>
    <row r="429" spans="1:18" ht="167.25" customHeight="1" thickTop="1" thickBot="1" x14ac:dyDescent="0.25">
      <c r="A429" s="514" t="s">
        <v>159</v>
      </c>
      <c r="B429" s="514"/>
      <c r="C429" s="514"/>
      <c r="D429" s="515" t="s">
        <v>844</v>
      </c>
      <c r="E429" s="516">
        <f>E430</f>
        <v>3864306</v>
      </c>
      <c r="F429" s="517">
        <f t="shared" ref="F429:G429" si="77">F430</f>
        <v>3864306</v>
      </c>
      <c r="G429" s="517">
        <f t="shared" si="77"/>
        <v>0</v>
      </c>
      <c r="H429" s="517">
        <f>H430</f>
        <v>0</v>
      </c>
      <c r="I429" s="517">
        <f t="shared" ref="I429" si="78">I430</f>
        <v>0</v>
      </c>
      <c r="J429" s="516">
        <f>J430</f>
        <v>0</v>
      </c>
      <c r="K429" s="517">
        <f>K430</f>
        <v>0</v>
      </c>
      <c r="L429" s="517">
        <f>L430</f>
        <v>0</v>
      </c>
      <c r="M429" s="517">
        <f t="shared" ref="M429" si="79">M430</f>
        <v>0</v>
      </c>
      <c r="N429" s="517">
        <f>N430</f>
        <v>0</v>
      </c>
      <c r="O429" s="516">
        <f>O430</f>
        <v>0</v>
      </c>
      <c r="P429" s="517">
        <f t="shared" ref="P429" si="80">P430</f>
        <v>3864306</v>
      </c>
      <c r="Q429" s="18"/>
    </row>
    <row r="430" spans="1:18" ht="176.25" customHeight="1" thickTop="1" thickBot="1" x14ac:dyDescent="0.25">
      <c r="A430" s="511" t="s">
        <v>160</v>
      </c>
      <c r="B430" s="511"/>
      <c r="C430" s="511"/>
      <c r="D430" s="512" t="s">
        <v>843</v>
      </c>
      <c r="E430" s="513">
        <f>E431+E436+E439+E434</f>
        <v>3864306</v>
      </c>
      <c r="F430" s="513">
        <f t="shared" ref="F430:P430" si="81">F431+F436+F439+F434</f>
        <v>3864306</v>
      </c>
      <c r="G430" s="513">
        <f t="shared" si="81"/>
        <v>0</v>
      </c>
      <c r="H430" s="513">
        <f t="shared" si="81"/>
        <v>0</v>
      </c>
      <c r="I430" s="513">
        <f t="shared" si="81"/>
        <v>0</v>
      </c>
      <c r="J430" s="513">
        <f t="shared" si="81"/>
        <v>0</v>
      </c>
      <c r="K430" s="513">
        <f t="shared" si="81"/>
        <v>0</v>
      </c>
      <c r="L430" s="513">
        <f t="shared" si="81"/>
        <v>0</v>
      </c>
      <c r="M430" s="513">
        <f t="shared" si="81"/>
        <v>0</v>
      </c>
      <c r="N430" s="513">
        <f t="shared" si="81"/>
        <v>0</v>
      </c>
      <c r="O430" s="513">
        <f t="shared" si="81"/>
        <v>0</v>
      </c>
      <c r="P430" s="513">
        <f t="shared" si="81"/>
        <v>3864306</v>
      </c>
      <c r="Q430" s="546" t="b">
        <f>P430=P432+P438+P440+P435</f>
        <v>1</v>
      </c>
      <c r="R430" s="44"/>
    </row>
    <row r="431" spans="1:18" ht="113.25" customHeight="1" thickTop="1" thickBot="1" x14ac:dyDescent="0.25">
      <c r="A431" s="239" t="s">
        <v>793</v>
      </c>
      <c r="B431" s="239" t="s">
        <v>652</v>
      </c>
      <c r="C431" s="239"/>
      <c r="D431" s="239" t="s">
        <v>653</v>
      </c>
      <c r="E431" s="471">
        <f>'d3'!E432-'d3-П'!E427</f>
        <v>22000</v>
      </c>
      <c r="F431" s="471">
        <f>'d3'!F432-'d3-П'!F427</f>
        <v>22000</v>
      </c>
      <c r="G431" s="471">
        <f>'d3'!G432-'d3-П'!G427</f>
        <v>0</v>
      </c>
      <c r="H431" s="471">
        <f>'d3'!H432-'d3-П'!H427</f>
        <v>0</v>
      </c>
      <c r="I431" s="471">
        <f>'d3'!I432-'d3-П'!I427</f>
        <v>0</v>
      </c>
      <c r="J431" s="471">
        <f>'d3'!J432-'d3-П'!J427</f>
        <v>0</v>
      </c>
      <c r="K431" s="471">
        <f>'d3'!K432-'d3-П'!K427</f>
        <v>0</v>
      </c>
      <c r="L431" s="471">
        <f>'d3'!L432-'d3-П'!L427</f>
        <v>0</v>
      </c>
      <c r="M431" s="471">
        <f>'d3'!M432-'d3-П'!M427</f>
        <v>0</v>
      </c>
      <c r="N431" s="471">
        <f>'d3'!N432-'d3-П'!N427</f>
        <v>0</v>
      </c>
      <c r="O431" s="471">
        <f>'d3'!O432-'d3-П'!O427</f>
        <v>0</v>
      </c>
      <c r="P431" s="471">
        <f>'d3'!P432-'d3-П'!P427</f>
        <v>22000</v>
      </c>
      <c r="Q431" s="45"/>
      <c r="R431" s="44"/>
    </row>
    <row r="432" spans="1:18" ht="155.25" customHeight="1" thickTop="1" thickBot="1" x14ac:dyDescent="0.25">
      <c r="A432" s="94" t="s">
        <v>411</v>
      </c>
      <c r="B432" s="94" t="s">
        <v>231</v>
      </c>
      <c r="C432" s="94" t="s">
        <v>229</v>
      </c>
      <c r="D432" s="94" t="s">
        <v>1515</v>
      </c>
      <c r="E432" s="471">
        <f>'d3'!E433-'d3-П'!E428</f>
        <v>22000</v>
      </c>
      <c r="F432" s="471">
        <f>'d3'!F433-'d3-П'!F428</f>
        <v>22000</v>
      </c>
      <c r="G432" s="471">
        <f>'d3'!G433-'d3-П'!G428</f>
        <v>0</v>
      </c>
      <c r="H432" s="471">
        <f>'d3'!H433-'d3-П'!H428</f>
        <v>0</v>
      </c>
      <c r="I432" s="471">
        <f>'d3'!I433-'d3-П'!I428</f>
        <v>0</v>
      </c>
      <c r="J432" s="471">
        <f>'d3'!J433-'d3-П'!J428</f>
        <v>0</v>
      </c>
      <c r="K432" s="471">
        <f>'d3'!K433-'d3-П'!K428</f>
        <v>0</v>
      </c>
      <c r="L432" s="471">
        <f>'d3'!L433-'d3-П'!L428</f>
        <v>0</v>
      </c>
      <c r="M432" s="471">
        <f>'d3'!M433-'d3-П'!M428</f>
        <v>0</v>
      </c>
      <c r="N432" s="471">
        <f>'d3'!N433-'d3-П'!N428</f>
        <v>0</v>
      </c>
      <c r="O432" s="471">
        <f>'d3'!O433-'d3-П'!O428</f>
        <v>0</v>
      </c>
      <c r="P432" s="471">
        <f>'d3'!P433-'d3-П'!P428</f>
        <v>22000</v>
      </c>
      <c r="Q432" s="45"/>
      <c r="R432" s="44"/>
    </row>
    <row r="433" spans="1:18" ht="93" hidden="1" thickTop="1" thickBot="1" x14ac:dyDescent="0.25">
      <c r="A433" s="39" t="s">
        <v>606</v>
      </c>
      <c r="B433" s="39" t="s">
        <v>352</v>
      </c>
      <c r="C433" s="39" t="s">
        <v>598</v>
      </c>
      <c r="D433" s="39" t="s">
        <v>599</v>
      </c>
      <c r="E433" s="471">
        <f>'d3'!E434-'d3-П'!E429</f>
        <v>0</v>
      </c>
      <c r="F433" s="471">
        <f>'d3'!F434-'d3-П'!F429</f>
        <v>0</v>
      </c>
      <c r="G433" s="471">
        <f>'d3'!G434-'d3-П'!G429</f>
        <v>0</v>
      </c>
      <c r="H433" s="471">
        <f>'d3'!H434-'d3-П'!H429</f>
        <v>0</v>
      </c>
      <c r="I433" s="471">
        <f>'d3'!I434-'d3-П'!I429</f>
        <v>0</v>
      </c>
      <c r="J433" s="471">
        <f>'d3'!J434-'d3-П'!J429</f>
        <v>0</v>
      </c>
      <c r="K433" s="471">
        <f>'d3'!K434-'d3-П'!K429</f>
        <v>0</v>
      </c>
      <c r="L433" s="471">
        <f>'d3'!L434-'d3-П'!L429</f>
        <v>0</v>
      </c>
      <c r="M433" s="471">
        <f>'d3'!M434-'d3-П'!M429</f>
        <v>0</v>
      </c>
      <c r="N433" s="471">
        <f>'d3'!N434-'d3-П'!N429</f>
        <v>0</v>
      </c>
      <c r="O433" s="471">
        <f>'d3'!O434-'d3-П'!O429</f>
        <v>0</v>
      </c>
      <c r="P433" s="471">
        <f>'d3'!P434-'d3-П'!P429</f>
        <v>0</v>
      </c>
      <c r="Q433" s="45"/>
      <c r="R433" s="44"/>
    </row>
    <row r="434" spans="1:18" ht="135" customHeight="1" thickTop="1" thickBot="1" x14ac:dyDescent="0.25">
      <c r="A434" s="239" t="s">
        <v>1779</v>
      </c>
      <c r="B434" s="239" t="s">
        <v>707</v>
      </c>
      <c r="C434" s="239"/>
      <c r="D434" s="542" t="s">
        <v>708</v>
      </c>
      <c r="E434" s="471">
        <f>'d3'!E435-0</f>
        <v>3842306</v>
      </c>
      <c r="F434" s="471">
        <f>'d3'!F435-0</f>
        <v>3842306</v>
      </c>
      <c r="G434" s="471">
        <f>'d3'!G435-0</f>
        <v>0</v>
      </c>
      <c r="H434" s="471">
        <f>'d3'!H435-0</f>
        <v>0</v>
      </c>
      <c r="I434" s="471">
        <f>'d3'!I435-0</f>
        <v>0</v>
      </c>
      <c r="J434" s="471">
        <f>'d3'!J435-0</f>
        <v>0</v>
      </c>
      <c r="K434" s="471">
        <f>'d3'!K435-0</f>
        <v>0</v>
      </c>
      <c r="L434" s="471">
        <f>'d3'!L435-0</f>
        <v>0</v>
      </c>
      <c r="M434" s="471">
        <f>'d3'!M435-0</f>
        <v>0</v>
      </c>
      <c r="N434" s="471">
        <f>'d3'!N435-0</f>
        <v>0</v>
      </c>
      <c r="O434" s="471">
        <f>'d3'!O435-0</f>
        <v>0</v>
      </c>
      <c r="P434" s="471">
        <f>'d3'!P435-0</f>
        <v>3842306</v>
      </c>
      <c r="Q434" s="45"/>
      <c r="R434" s="44"/>
    </row>
    <row r="435" spans="1:18" ht="116.25" customHeight="1" thickTop="1" thickBot="1" x14ac:dyDescent="0.25">
      <c r="A435" s="713" t="s">
        <v>1780</v>
      </c>
      <c r="B435" s="713" t="s">
        <v>283</v>
      </c>
      <c r="C435" s="713" t="s">
        <v>277</v>
      </c>
      <c r="D435" s="713" t="s">
        <v>1522</v>
      </c>
      <c r="E435" s="471">
        <f>'d3'!E436-0</f>
        <v>3842306</v>
      </c>
      <c r="F435" s="471">
        <f>'d3'!F436-0</f>
        <v>3842306</v>
      </c>
      <c r="G435" s="471">
        <f>'d3'!G436-0</f>
        <v>0</v>
      </c>
      <c r="H435" s="471">
        <f>'d3'!H436-0</f>
        <v>0</v>
      </c>
      <c r="I435" s="471">
        <f>'d3'!I436-0</f>
        <v>0</v>
      </c>
      <c r="J435" s="471">
        <f>'d3'!J436-0</f>
        <v>0</v>
      </c>
      <c r="K435" s="471">
        <f>'d3'!K436-0</f>
        <v>0</v>
      </c>
      <c r="L435" s="471">
        <f>'d3'!L436-0</f>
        <v>0</v>
      </c>
      <c r="M435" s="471">
        <f>'d3'!M436-0</f>
        <v>0</v>
      </c>
      <c r="N435" s="471">
        <f>'d3'!N436-0</f>
        <v>0</v>
      </c>
      <c r="O435" s="471">
        <f>'d3'!O436-0</f>
        <v>0</v>
      </c>
      <c r="P435" s="471">
        <f>'d3'!P436-0</f>
        <v>3842306</v>
      </c>
      <c r="Q435" s="45"/>
      <c r="R435" s="44"/>
    </row>
    <row r="436" spans="1:18" ht="94.5" customHeight="1" thickTop="1" thickBot="1" x14ac:dyDescent="0.25">
      <c r="A436" s="239" t="s">
        <v>794</v>
      </c>
      <c r="B436" s="239" t="s">
        <v>664</v>
      </c>
      <c r="C436" s="239"/>
      <c r="D436" s="239" t="s">
        <v>665</v>
      </c>
      <c r="E436" s="471">
        <f>'d3'!E437-'d3-П'!E430</f>
        <v>0</v>
      </c>
      <c r="F436" s="471">
        <f>'d3'!F437-'d3-П'!F430</f>
        <v>0</v>
      </c>
      <c r="G436" s="471">
        <f>'d3'!G437-'d3-П'!G430</f>
        <v>0</v>
      </c>
      <c r="H436" s="471">
        <f>'d3'!H437-'d3-П'!H430</f>
        <v>0</v>
      </c>
      <c r="I436" s="471">
        <f>'d3'!I437-'d3-П'!I430</f>
        <v>0</v>
      </c>
      <c r="J436" s="471">
        <f>'d3'!J437-'d3-П'!J430</f>
        <v>0</v>
      </c>
      <c r="K436" s="471">
        <f>'d3'!K437-'d3-П'!K430</f>
        <v>0</v>
      </c>
      <c r="L436" s="471">
        <f>'d3'!L437-'d3-П'!L430</f>
        <v>0</v>
      </c>
      <c r="M436" s="471">
        <f>'d3'!M437-'d3-П'!M430</f>
        <v>0</v>
      </c>
      <c r="N436" s="471">
        <f>'d3'!N437-'d3-П'!N430</f>
        <v>0</v>
      </c>
      <c r="O436" s="471">
        <f>'d3'!O437-'d3-П'!O430</f>
        <v>0</v>
      </c>
      <c r="P436" s="471">
        <f>'d3'!P437-'d3-П'!P430</f>
        <v>0</v>
      </c>
      <c r="Q436" s="45"/>
      <c r="R436" s="44"/>
    </row>
    <row r="437" spans="1:18" ht="103.5" customHeight="1" thickTop="1" thickBot="1" x14ac:dyDescent="0.25">
      <c r="A437" s="508" t="s">
        <v>795</v>
      </c>
      <c r="B437" s="508" t="s">
        <v>796</v>
      </c>
      <c r="C437" s="508"/>
      <c r="D437" s="508" t="s">
        <v>1567</v>
      </c>
      <c r="E437" s="471">
        <f>'d3'!E438-'d3-П'!E431</f>
        <v>0</v>
      </c>
      <c r="F437" s="471">
        <f>'d3'!F438-'d3-П'!F431</f>
        <v>0</v>
      </c>
      <c r="G437" s="471">
        <f>'d3'!G438-'d3-П'!G431</f>
        <v>0</v>
      </c>
      <c r="H437" s="471">
        <f>'d3'!H438-'d3-П'!H431</f>
        <v>0</v>
      </c>
      <c r="I437" s="471">
        <f>'d3'!I438-'d3-П'!I431</f>
        <v>0</v>
      </c>
      <c r="J437" s="471">
        <f>'d3'!J438-'d3-П'!J431</f>
        <v>0</v>
      </c>
      <c r="K437" s="471">
        <f>'d3'!K438-'d3-П'!K431</f>
        <v>0</v>
      </c>
      <c r="L437" s="471">
        <f>'d3'!L438-'d3-П'!L431</f>
        <v>0</v>
      </c>
      <c r="M437" s="471">
        <f>'d3'!M438-'d3-П'!M431</f>
        <v>0</v>
      </c>
      <c r="N437" s="471">
        <f>'d3'!N438-'d3-П'!N431</f>
        <v>0</v>
      </c>
      <c r="O437" s="471">
        <f>'d3'!O438-'d3-П'!O431</f>
        <v>0</v>
      </c>
      <c r="P437" s="471">
        <f>'d3'!P438-'d3-П'!P431</f>
        <v>0</v>
      </c>
      <c r="Q437" s="45"/>
      <c r="R437" s="44"/>
    </row>
    <row r="438" spans="1:18" ht="114" customHeight="1" thickTop="1" thickBot="1" x14ac:dyDescent="0.25">
      <c r="A438" s="94" t="s">
        <v>1028</v>
      </c>
      <c r="B438" s="94" t="s">
        <v>1029</v>
      </c>
      <c r="C438" s="94" t="s">
        <v>49</v>
      </c>
      <c r="D438" s="94" t="s">
        <v>1030</v>
      </c>
      <c r="E438" s="471">
        <f>'d3'!E439-'d3-П'!E432</f>
        <v>0</v>
      </c>
      <c r="F438" s="471">
        <f>'d3'!F439-'d3-П'!F432</f>
        <v>0</v>
      </c>
      <c r="G438" s="471">
        <f>'d3'!G439-'d3-П'!G432</f>
        <v>0</v>
      </c>
      <c r="H438" s="471">
        <f>'d3'!H439-'d3-П'!H432</f>
        <v>0</v>
      </c>
      <c r="I438" s="471">
        <f>'d3'!I439-'d3-П'!I432</f>
        <v>0</v>
      </c>
      <c r="J438" s="471">
        <f>'d3'!J439-'d3-П'!J432</f>
        <v>0</v>
      </c>
      <c r="K438" s="471">
        <f>'d3'!K439-'d3-П'!K432</f>
        <v>0</v>
      </c>
      <c r="L438" s="471">
        <f>'d3'!L439-'d3-П'!L432</f>
        <v>0</v>
      </c>
      <c r="M438" s="471">
        <f>'d3'!M439-'d3-П'!M432</f>
        <v>0</v>
      </c>
      <c r="N438" s="471">
        <f>'d3'!N439-'d3-П'!N432</f>
        <v>0</v>
      </c>
      <c r="O438" s="471">
        <f>'d3'!O439-'d3-П'!O432</f>
        <v>0</v>
      </c>
      <c r="P438" s="471">
        <f>'d3'!P439-'d3-П'!P432</f>
        <v>0</v>
      </c>
      <c r="Q438" s="546" t="b">
        <f>J438='d9'!F34</f>
        <v>0</v>
      </c>
    </row>
    <row r="439" spans="1:18" ht="87.75" customHeight="1" thickTop="1" thickBot="1" x14ac:dyDescent="0.25">
      <c r="A439" s="239" t="s">
        <v>1122</v>
      </c>
      <c r="B439" s="239" t="s">
        <v>669</v>
      </c>
      <c r="C439" s="239"/>
      <c r="D439" s="239" t="s">
        <v>670</v>
      </c>
      <c r="E439" s="471">
        <f>'d3'!E440-'d3-П'!E433</f>
        <v>0</v>
      </c>
      <c r="F439" s="471">
        <f>'d3'!F440-'d3-П'!F433</f>
        <v>0</v>
      </c>
      <c r="G439" s="471">
        <f>'d3'!G440-'d3-П'!G433</f>
        <v>0</v>
      </c>
      <c r="H439" s="471">
        <f>'d3'!H440-'d3-П'!H433</f>
        <v>0</v>
      </c>
      <c r="I439" s="471">
        <f>'d3'!I440-'d3-П'!I433</f>
        <v>0</v>
      </c>
      <c r="J439" s="471">
        <f>'d3'!J440-'d3-П'!J433</f>
        <v>0</v>
      </c>
      <c r="K439" s="471">
        <f>'d3'!K440-'d3-П'!K433</f>
        <v>0</v>
      </c>
      <c r="L439" s="471">
        <f>'d3'!L440-'d3-П'!L433</f>
        <v>0</v>
      </c>
      <c r="M439" s="471">
        <f>'d3'!M440-'d3-П'!M433</f>
        <v>0</v>
      </c>
      <c r="N439" s="471">
        <f>'d3'!N440-'d3-П'!N433</f>
        <v>0</v>
      </c>
      <c r="O439" s="471">
        <f>'d3'!O440-'d3-П'!O433</f>
        <v>0</v>
      </c>
      <c r="P439" s="471">
        <f>'d3'!P440-'d3-П'!P433</f>
        <v>0</v>
      </c>
      <c r="Q439" s="45"/>
    </row>
    <row r="440" spans="1:18" ht="179.25" customHeight="1" thickTop="1" thickBot="1" x14ac:dyDescent="0.25">
      <c r="A440" s="94" t="s">
        <v>1121</v>
      </c>
      <c r="B440" s="94" t="s">
        <v>497</v>
      </c>
      <c r="C440" s="94" t="s">
        <v>42</v>
      </c>
      <c r="D440" s="94" t="s">
        <v>498</v>
      </c>
      <c r="E440" s="471">
        <f>'d3'!E441-'d3-П'!E434</f>
        <v>0</v>
      </c>
      <c r="F440" s="471">
        <f>'d3'!F441-'d3-П'!F434</f>
        <v>0</v>
      </c>
      <c r="G440" s="471">
        <f>'d3'!G441-'d3-П'!G434</f>
        <v>0</v>
      </c>
      <c r="H440" s="471">
        <f>'d3'!H441-'d3-П'!H434</f>
        <v>0</v>
      </c>
      <c r="I440" s="471">
        <f>'d3'!I441-'d3-П'!I434</f>
        <v>0</v>
      </c>
      <c r="J440" s="471">
        <f>'d3'!J441-'d3-П'!J434</f>
        <v>0</v>
      </c>
      <c r="K440" s="471">
        <f>'d3'!K441-'d3-П'!K434</f>
        <v>0</v>
      </c>
      <c r="L440" s="471">
        <f>'d3'!L441-'d3-П'!L434</f>
        <v>0</v>
      </c>
      <c r="M440" s="471">
        <f>'d3'!M441-'d3-П'!M434</f>
        <v>0</v>
      </c>
      <c r="N440" s="471">
        <f>'d3'!N441-'d3-П'!N434</f>
        <v>0</v>
      </c>
      <c r="O440" s="471">
        <f>'d3'!O441-'d3-П'!O434</f>
        <v>0</v>
      </c>
      <c r="P440" s="471">
        <f>'d3'!P441-'d3-П'!P434</f>
        <v>0</v>
      </c>
      <c r="Q440" s="45"/>
    </row>
    <row r="441" spans="1:18" ht="151.5" customHeight="1" thickTop="1" thickBot="1" x14ac:dyDescent="0.25">
      <c r="A441" s="514" t="s">
        <v>157</v>
      </c>
      <c r="B441" s="514"/>
      <c r="C441" s="514"/>
      <c r="D441" s="515" t="s">
        <v>853</v>
      </c>
      <c r="E441" s="516">
        <f>E442</f>
        <v>239000</v>
      </c>
      <c r="F441" s="517">
        <f t="shared" ref="F441:G441" si="82">F442</f>
        <v>239000</v>
      </c>
      <c r="G441" s="517">
        <f t="shared" si="82"/>
        <v>0</v>
      </c>
      <c r="H441" s="517">
        <f>H442</f>
        <v>0</v>
      </c>
      <c r="I441" s="517">
        <f t="shared" ref="I441" si="83">I442</f>
        <v>0</v>
      </c>
      <c r="J441" s="516">
        <f>J442</f>
        <v>20000</v>
      </c>
      <c r="K441" s="517">
        <f>K442</f>
        <v>20000</v>
      </c>
      <c r="L441" s="517">
        <f>L442</f>
        <v>0</v>
      </c>
      <c r="M441" s="517">
        <f t="shared" ref="M441" si="84">M442</f>
        <v>0</v>
      </c>
      <c r="N441" s="517">
        <f>N442</f>
        <v>0</v>
      </c>
      <c r="O441" s="516">
        <f>O442</f>
        <v>20000</v>
      </c>
      <c r="P441" s="517">
        <f t="shared" ref="P441" si="85">P442</f>
        <v>259000</v>
      </c>
      <c r="Q441" s="18"/>
    </row>
    <row r="442" spans="1:18" ht="157.5" customHeight="1" thickTop="1" thickBot="1" x14ac:dyDescent="0.25">
      <c r="A442" s="511" t="s">
        <v>158</v>
      </c>
      <c r="B442" s="511"/>
      <c r="C442" s="511"/>
      <c r="D442" s="512" t="s">
        <v>852</v>
      </c>
      <c r="E442" s="513">
        <f>E443+E445</f>
        <v>239000</v>
      </c>
      <c r="F442" s="513">
        <f t="shared" ref="F442:I442" si="86">F443+F445</f>
        <v>239000</v>
      </c>
      <c r="G442" s="513">
        <f t="shared" si="86"/>
        <v>0</v>
      </c>
      <c r="H442" s="513">
        <f t="shared" si="86"/>
        <v>0</v>
      </c>
      <c r="I442" s="513">
        <f t="shared" si="86"/>
        <v>0</v>
      </c>
      <c r="J442" s="513">
        <f>L442+O442</f>
        <v>20000</v>
      </c>
      <c r="K442" s="513">
        <f t="shared" ref="K442:O442" si="87">K443+K445</f>
        <v>20000</v>
      </c>
      <c r="L442" s="513">
        <f t="shared" si="87"/>
        <v>0</v>
      </c>
      <c r="M442" s="513">
        <f t="shared" si="87"/>
        <v>0</v>
      </c>
      <c r="N442" s="513">
        <f t="shared" si="87"/>
        <v>0</v>
      </c>
      <c r="O442" s="513">
        <f t="shared" si="87"/>
        <v>20000</v>
      </c>
      <c r="P442" s="513">
        <f>E442+J442</f>
        <v>259000</v>
      </c>
      <c r="Q442" s="546" t="b">
        <f>P442=P444+P447+P449</f>
        <v>1</v>
      </c>
      <c r="R442" s="43"/>
    </row>
    <row r="443" spans="1:18" ht="141" customHeight="1" thickTop="1" thickBot="1" x14ac:dyDescent="0.25">
      <c r="A443" s="483" t="s">
        <v>797</v>
      </c>
      <c r="B443" s="483" t="s">
        <v>652</v>
      </c>
      <c r="C443" s="483"/>
      <c r="D443" s="483" t="s">
        <v>653</v>
      </c>
      <c r="E443" s="471">
        <f>'d3'!E444-'d3-П'!E437</f>
        <v>139000</v>
      </c>
      <c r="F443" s="471">
        <f>'d3'!F444-'d3-П'!F437</f>
        <v>139000</v>
      </c>
      <c r="G443" s="471">
        <f>'d3'!G444-'d3-П'!G437</f>
        <v>0</v>
      </c>
      <c r="H443" s="471">
        <f>'d3'!H444-'d3-П'!H437</f>
        <v>0</v>
      </c>
      <c r="I443" s="471">
        <f>'d3'!I444-'d3-П'!I437</f>
        <v>0</v>
      </c>
      <c r="J443" s="471">
        <f>'d3'!J444-'d3-П'!J437</f>
        <v>0</v>
      </c>
      <c r="K443" s="471">
        <f>'d3'!K444-'d3-П'!K437</f>
        <v>0</v>
      </c>
      <c r="L443" s="471">
        <f>'d3'!L444-'d3-П'!L437</f>
        <v>0</v>
      </c>
      <c r="M443" s="471">
        <f>'d3'!M444-'d3-П'!M437</f>
        <v>0</v>
      </c>
      <c r="N443" s="471">
        <f>'d3'!N444-'d3-П'!N437</f>
        <v>0</v>
      </c>
      <c r="O443" s="471">
        <f>'d3'!O444-'d3-П'!O437</f>
        <v>0</v>
      </c>
      <c r="P443" s="471">
        <f>'d3'!P444-'d3-П'!P437</f>
        <v>139000</v>
      </c>
      <c r="Q443" s="45"/>
      <c r="R443" s="43"/>
    </row>
    <row r="444" spans="1:18" ht="152.25" customHeight="1" thickTop="1" thickBot="1" x14ac:dyDescent="0.25">
      <c r="A444" s="469" t="s">
        <v>407</v>
      </c>
      <c r="B444" s="469" t="s">
        <v>231</v>
      </c>
      <c r="C444" s="469" t="s">
        <v>229</v>
      </c>
      <c r="D444" s="94" t="s">
        <v>1515</v>
      </c>
      <c r="E444" s="471">
        <f>'d3'!E445-'d3-П'!E438</f>
        <v>139000</v>
      </c>
      <c r="F444" s="471">
        <f>'d3'!F445-'d3-П'!F438</f>
        <v>139000</v>
      </c>
      <c r="G444" s="471">
        <f>'d3'!G445-'d3-П'!G438</f>
        <v>0</v>
      </c>
      <c r="H444" s="471">
        <f>'d3'!H445-'d3-П'!H438</f>
        <v>0</v>
      </c>
      <c r="I444" s="471">
        <f>'d3'!I445-'d3-П'!I438</f>
        <v>0</v>
      </c>
      <c r="J444" s="471">
        <f>'d3'!J445-'d3-П'!J438</f>
        <v>0</v>
      </c>
      <c r="K444" s="471">
        <f>'d3'!K445-'d3-П'!K438</f>
        <v>0</v>
      </c>
      <c r="L444" s="471">
        <f>'d3'!L445-'d3-П'!L438</f>
        <v>0</v>
      </c>
      <c r="M444" s="471">
        <f>'d3'!M445-'d3-П'!M438</f>
        <v>0</v>
      </c>
      <c r="N444" s="471">
        <f>'d3'!N445-'d3-П'!N438</f>
        <v>0</v>
      </c>
      <c r="O444" s="471">
        <f>'d3'!O445-'d3-П'!O438</f>
        <v>0</v>
      </c>
      <c r="P444" s="471">
        <f>'d3'!P445-'d3-П'!P438</f>
        <v>139000</v>
      </c>
      <c r="Q444" s="18"/>
      <c r="R444" s="43"/>
    </row>
    <row r="445" spans="1:18" ht="109.5" customHeight="1" thickTop="1" thickBot="1" x14ac:dyDescent="0.25">
      <c r="A445" s="239" t="s">
        <v>798</v>
      </c>
      <c r="B445" s="239" t="s">
        <v>713</v>
      </c>
      <c r="C445" s="94"/>
      <c r="D445" s="239" t="s">
        <v>757</v>
      </c>
      <c r="E445" s="471">
        <f>'d3'!E446-'d3-П'!E439</f>
        <v>100000</v>
      </c>
      <c r="F445" s="471">
        <f>'d3'!F446-'d3-П'!F439</f>
        <v>100000</v>
      </c>
      <c r="G445" s="471">
        <f>'d3'!G446-'d3-П'!G439</f>
        <v>0</v>
      </c>
      <c r="H445" s="471">
        <f>'d3'!H446-'d3-П'!H439</f>
        <v>0</v>
      </c>
      <c r="I445" s="471">
        <f>'d3'!I446-'d3-П'!I439</f>
        <v>0</v>
      </c>
      <c r="J445" s="471">
        <f>'d3'!J446-'d3-П'!J439</f>
        <v>20000</v>
      </c>
      <c r="K445" s="471">
        <f>'d3'!K446-'d3-П'!K439</f>
        <v>20000</v>
      </c>
      <c r="L445" s="471">
        <f>'d3'!L446-'d3-П'!L439</f>
        <v>0</v>
      </c>
      <c r="M445" s="471">
        <f>'d3'!M446-'d3-П'!M439</f>
        <v>0</v>
      </c>
      <c r="N445" s="471">
        <f>'d3'!N446-'d3-П'!N439</f>
        <v>0</v>
      </c>
      <c r="O445" s="471">
        <f>'d3'!O446-'d3-П'!O439</f>
        <v>20000</v>
      </c>
      <c r="P445" s="471">
        <f>'d3'!P446-'d3-П'!P439</f>
        <v>120000</v>
      </c>
      <c r="Q445" s="18"/>
      <c r="R445" s="45"/>
    </row>
    <row r="446" spans="1:18" ht="103.5" customHeight="1" thickTop="1" thickBot="1" x14ac:dyDescent="0.25">
      <c r="A446" s="508" t="s">
        <v>799</v>
      </c>
      <c r="B446" s="508" t="s">
        <v>800</v>
      </c>
      <c r="C446" s="508"/>
      <c r="D446" s="508" t="s">
        <v>801</v>
      </c>
      <c r="E446" s="471">
        <f>'d3'!E447-'d3-П'!E440</f>
        <v>100000</v>
      </c>
      <c r="F446" s="471">
        <f>'d3'!F447-'d3-П'!F440</f>
        <v>100000</v>
      </c>
      <c r="G446" s="471">
        <f>'d3'!G447-'d3-П'!G440</f>
        <v>0</v>
      </c>
      <c r="H446" s="471">
        <f>'d3'!H447-'d3-П'!H440</f>
        <v>0</v>
      </c>
      <c r="I446" s="471">
        <f>'d3'!I447-'d3-П'!I440</f>
        <v>0</v>
      </c>
      <c r="J446" s="471">
        <f>'d3'!J447-'d3-П'!J440</f>
        <v>0</v>
      </c>
      <c r="K446" s="471">
        <f>'d3'!K447-'d3-П'!K440</f>
        <v>0</v>
      </c>
      <c r="L446" s="471">
        <f>'d3'!L447-'d3-П'!L440</f>
        <v>0</v>
      </c>
      <c r="M446" s="471">
        <f>'d3'!M447-'d3-П'!M440</f>
        <v>0</v>
      </c>
      <c r="N446" s="471">
        <f>'d3'!N447-'d3-П'!N440</f>
        <v>0</v>
      </c>
      <c r="O446" s="471">
        <f>'d3'!O447-'d3-П'!O440</f>
        <v>0</v>
      </c>
      <c r="P446" s="471">
        <f>'d3'!P447-'d3-П'!P440</f>
        <v>100000</v>
      </c>
      <c r="Q446" s="18"/>
      <c r="R446" s="45"/>
    </row>
    <row r="447" spans="1:18" ht="126" customHeight="1" thickTop="1" thickBot="1" x14ac:dyDescent="0.25">
      <c r="A447" s="94" t="s">
        <v>300</v>
      </c>
      <c r="B447" s="94" t="s">
        <v>301</v>
      </c>
      <c r="C447" s="94" t="s">
        <v>302</v>
      </c>
      <c r="D447" s="94" t="s">
        <v>448</v>
      </c>
      <c r="E447" s="471">
        <f>'d3'!E448-'d3-П'!E441</f>
        <v>100000</v>
      </c>
      <c r="F447" s="471">
        <f>'d3'!F448-'d3-П'!F441</f>
        <v>100000</v>
      </c>
      <c r="G447" s="471">
        <f>'d3'!G448-'d3-П'!G441</f>
        <v>0</v>
      </c>
      <c r="H447" s="471">
        <f>'d3'!H448-'d3-П'!H441</f>
        <v>0</v>
      </c>
      <c r="I447" s="471">
        <f>'d3'!I448-'d3-П'!I441</f>
        <v>0</v>
      </c>
      <c r="J447" s="471">
        <f>'d3'!J448-'d3-П'!J441</f>
        <v>0</v>
      </c>
      <c r="K447" s="471">
        <f>'d3'!K448-'d3-П'!K441</f>
        <v>0</v>
      </c>
      <c r="L447" s="471">
        <f>'d3'!L448-'d3-П'!L441</f>
        <v>0</v>
      </c>
      <c r="M447" s="471">
        <f>'d3'!M448-'d3-П'!M441</f>
        <v>0</v>
      </c>
      <c r="N447" s="471">
        <f>'d3'!N448-'d3-П'!N441</f>
        <v>0</v>
      </c>
      <c r="O447" s="471">
        <f>'d3'!O448-'d3-П'!O441</f>
        <v>0</v>
      </c>
      <c r="P447" s="471">
        <f>'d3'!P448-'d3-П'!P441</f>
        <v>100000</v>
      </c>
      <c r="Q447" s="18"/>
      <c r="R447" s="43"/>
    </row>
    <row r="448" spans="1:18" ht="109.5" customHeight="1" thickTop="1" thickBot="1" x14ac:dyDescent="0.25">
      <c r="A448" s="508" t="s">
        <v>802</v>
      </c>
      <c r="B448" s="508" t="s">
        <v>659</v>
      </c>
      <c r="C448" s="94"/>
      <c r="D448" s="508" t="s">
        <v>657</v>
      </c>
      <c r="E448" s="471">
        <f>'d3'!E449-'d3-П'!E442</f>
        <v>0</v>
      </c>
      <c r="F448" s="471">
        <f>'d3'!F449-'d3-П'!F442</f>
        <v>0</v>
      </c>
      <c r="G448" s="471">
        <f>'d3'!G449-'d3-П'!G442</f>
        <v>0</v>
      </c>
      <c r="H448" s="471">
        <f>'d3'!H449-'d3-П'!H442</f>
        <v>0</v>
      </c>
      <c r="I448" s="471">
        <f>'d3'!I449-'d3-П'!I442</f>
        <v>0</v>
      </c>
      <c r="J448" s="471">
        <f>'d3'!J449-'d3-П'!J442</f>
        <v>20000</v>
      </c>
      <c r="K448" s="471">
        <f>'d3'!K449-'d3-П'!K442</f>
        <v>20000</v>
      </c>
      <c r="L448" s="471">
        <f>'d3'!L449-'d3-П'!L442</f>
        <v>0</v>
      </c>
      <c r="M448" s="471">
        <f>'d3'!M449-'d3-П'!M442</f>
        <v>0</v>
      </c>
      <c r="N448" s="471">
        <f>'d3'!N449-'d3-П'!N442</f>
        <v>0</v>
      </c>
      <c r="O448" s="471">
        <f>'d3'!O449-'d3-П'!O442</f>
        <v>20000</v>
      </c>
      <c r="P448" s="471">
        <f>'d3'!P449-'d3-П'!P442</f>
        <v>20000</v>
      </c>
      <c r="Q448" s="18"/>
    </row>
    <row r="449" spans="1:19" ht="116.25" customHeight="1" thickTop="1" thickBot="1" x14ac:dyDescent="0.25">
      <c r="A449" s="94" t="s">
        <v>358</v>
      </c>
      <c r="B449" s="94" t="s">
        <v>359</v>
      </c>
      <c r="C449" s="94" t="s">
        <v>165</v>
      </c>
      <c r="D449" s="94" t="s">
        <v>1787</v>
      </c>
      <c r="E449" s="471">
        <f>'d3'!E450-'d3-П'!E443</f>
        <v>0</v>
      </c>
      <c r="F449" s="471">
        <f>'d3'!F450-'d3-П'!F443</f>
        <v>0</v>
      </c>
      <c r="G449" s="471">
        <f>'d3'!G450-'d3-П'!G443</f>
        <v>0</v>
      </c>
      <c r="H449" s="471">
        <f>'d3'!H450-'d3-П'!H443</f>
        <v>0</v>
      </c>
      <c r="I449" s="471">
        <f>'d3'!I450-'d3-П'!I443</f>
        <v>0</v>
      </c>
      <c r="J449" s="471">
        <f>'d3'!J450-'d3-П'!J443</f>
        <v>20000</v>
      </c>
      <c r="K449" s="471">
        <f>'d3'!K450-'d3-П'!K443</f>
        <v>20000</v>
      </c>
      <c r="L449" s="471">
        <f>'d3'!L450-'d3-П'!L443</f>
        <v>0</v>
      </c>
      <c r="M449" s="471">
        <f>'d3'!M450-'d3-П'!M443</f>
        <v>0</v>
      </c>
      <c r="N449" s="471">
        <f>'d3'!N450-'d3-П'!N443</f>
        <v>0</v>
      </c>
      <c r="O449" s="471">
        <f>'d3'!O450-'d3-П'!O443</f>
        <v>20000</v>
      </c>
      <c r="P449" s="471">
        <f>'d3'!P450-'d3-П'!P443</f>
        <v>20000</v>
      </c>
      <c r="Q449" s="18"/>
      <c r="R449" s="43"/>
    </row>
    <row r="450" spans="1:19" ht="168.75" customHeight="1" thickTop="1" thickBot="1" x14ac:dyDescent="0.25">
      <c r="A450" s="514" t="s">
        <v>163</v>
      </c>
      <c r="B450" s="514"/>
      <c r="C450" s="514"/>
      <c r="D450" s="515" t="s">
        <v>27</v>
      </c>
      <c r="E450" s="516">
        <f>E451</f>
        <v>-3856024.4400000023</v>
      </c>
      <c r="F450" s="517">
        <f t="shared" ref="F450:G450" si="88">F451</f>
        <v>-3856024.4400000023</v>
      </c>
      <c r="G450" s="517">
        <f t="shared" si="88"/>
        <v>0</v>
      </c>
      <c r="H450" s="517">
        <f>H451</f>
        <v>0</v>
      </c>
      <c r="I450" s="517">
        <f t="shared" ref="I450" si="89">I451</f>
        <v>0</v>
      </c>
      <c r="J450" s="516">
        <f>J451</f>
        <v>0</v>
      </c>
      <c r="K450" s="517">
        <f>K451</f>
        <v>0</v>
      </c>
      <c r="L450" s="517">
        <f>L451</f>
        <v>0</v>
      </c>
      <c r="M450" s="517">
        <f t="shared" ref="M450" si="90">M451</f>
        <v>0</v>
      </c>
      <c r="N450" s="517">
        <f>N451</f>
        <v>0</v>
      </c>
      <c r="O450" s="516">
        <f>O451</f>
        <v>0</v>
      </c>
      <c r="P450" s="517">
        <f t="shared" ref="P450" si="91">P451</f>
        <v>-3856024.4400000023</v>
      </c>
      <c r="Q450" s="18"/>
    </row>
    <row r="451" spans="1:19" ht="160.5" customHeight="1" thickTop="1" thickBot="1" x14ac:dyDescent="0.25">
      <c r="A451" s="511" t="s">
        <v>164</v>
      </c>
      <c r="B451" s="511"/>
      <c r="C451" s="511"/>
      <c r="D451" s="512" t="s">
        <v>39</v>
      </c>
      <c r="E451" s="513">
        <f>E452+E458+E465+E455</f>
        <v>-3856024.4400000023</v>
      </c>
      <c r="F451" s="513">
        <f t="shared" ref="F451:P451" si="92">F452+F458+F465+F455</f>
        <v>-3856024.4400000023</v>
      </c>
      <c r="G451" s="513">
        <f t="shared" si="92"/>
        <v>0</v>
      </c>
      <c r="H451" s="513">
        <f t="shared" si="92"/>
        <v>0</v>
      </c>
      <c r="I451" s="513">
        <f t="shared" si="92"/>
        <v>0</v>
      </c>
      <c r="J451" s="513">
        <f t="shared" si="92"/>
        <v>0</v>
      </c>
      <c r="K451" s="513">
        <f t="shared" si="92"/>
        <v>0</v>
      </c>
      <c r="L451" s="513">
        <f t="shared" si="92"/>
        <v>0</v>
      </c>
      <c r="M451" s="513">
        <f t="shared" si="92"/>
        <v>0</v>
      </c>
      <c r="N451" s="513">
        <f t="shared" si="92"/>
        <v>0</v>
      </c>
      <c r="O451" s="513">
        <f t="shared" si="92"/>
        <v>0</v>
      </c>
      <c r="P451" s="513">
        <f t="shared" si="92"/>
        <v>-3856024.4400000023</v>
      </c>
      <c r="Q451" s="546" t="b">
        <f>P451=P453+P459+P461+P467</f>
        <v>1</v>
      </c>
      <c r="R451" s="43"/>
    </row>
    <row r="452" spans="1:19" ht="103.5" customHeight="1" thickTop="1" thickBot="1" x14ac:dyDescent="0.25">
      <c r="A452" s="483" t="s">
        <v>804</v>
      </c>
      <c r="B452" s="483" t="s">
        <v>652</v>
      </c>
      <c r="C452" s="483"/>
      <c r="D452" s="483" t="s">
        <v>653</v>
      </c>
      <c r="E452" s="471">
        <f>'d3'!E453-'d3-П'!E446</f>
        <v>309889.28999999911</v>
      </c>
      <c r="F452" s="471">
        <f>'d3'!F453-'d3-П'!F446</f>
        <v>309889.28999999911</v>
      </c>
      <c r="G452" s="471">
        <f>'d3'!G453-'d3-П'!G446</f>
        <v>0</v>
      </c>
      <c r="H452" s="471">
        <f>'d3'!H453-'d3-П'!H446</f>
        <v>0</v>
      </c>
      <c r="I452" s="471">
        <f>'d3'!I453-'d3-П'!I446</f>
        <v>0</v>
      </c>
      <c r="J452" s="471">
        <f>'d3'!J453-'d3-П'!J446</f>
        <v>0</v>
      </c>
      <c r="K452" s="471">
        <f>'d3'!K453-'d3-П'!K446</f>
        <v>0</v>
      </c>
      <c r="L452" s="471">
        <f>'d3'!L453-'d3-П'!L446</f>
        <v>0</v>
      </c>
      <c r="M452" s="471">
        <f>'d3'!M453-'d3-П'!M446</f>
        <v>0</v>
      </c>
      <c r="N452" s="471">
        <f>'d3'!N453-'d3-П'!N446</f>
        <v>0</v>
      </c>
      <c r="O452" s="471">
        <f>'d3'!O453-'d3-П'!O446</f>
        <v>0</v>
      </c>
      <c r="P452" s="471">
        <f>'d3'!P453-'d3-П'!P446</f>
        <v>309889.28999999911</v>
      </c>
      <c r="Q452" s="45"/>
      <c r="R452" s="48"/>
    </row>
    <row r="453" spans="1:19" ht="152.25" customHeight="1" thickTop="1" thickBot="1" x14ac:dyDescent="0.25">
      <c r="A453" s="469" t="s">
        <v>409</v>
      </c>
      <c r="B453" s="469" t="s">
        <v>231</v>
      </c>
      <c r="C453" s="469" t="s">
        <v>229</v>
      </c>
      <c r="D453" s="469" t="s">
        <v>1515</v>
      </c>
      <c r="E453" s="471">
        <f>'d3'!E454-'d3-П'!E447</f>
        <v>309889.28999999911</v>
      </c>
      <c r="F453" s="471">
        <f>'d3'!F454-'d3-П'!F447</f>
        <v>309889.28999999911</v>
      </c>
      <c r="G453" s="471">
        <f>'d3'!G454-'d3-П'!G447</f>
        <v>0</v>
      </c>
      <c r="H453" s="471">
        <f>'d3'!H454-'d3-П'!H447</f>
        <v>0</v>
      </c>
      <c r="I453" s="471">
        <f>'d3'!I454-'d3-П'!I447</f>
        <v>0</v>
      </c>
      <c r="J453" s="471">
        <f>'d3'!J454-'d3-П'!J447</f>
        <v>0</v>
      </c>
      <c r="K453" s="471">
        <f>'d3'!K454-'d3-П'!K447</f>
        <v>0</v>
      </c>
      <c r="L453" s="471">
        <f>'d3'!L454-'d3-П'!L447</f>
        <v>0</v>
      </c>
      <c r="M453" s="471">
        <f>'d3'!M454-'d3-П'!M447</f>
        <v>0</v>
      </c>
      <c r="N453" s="471">
        <f>'d3'!N454-'d3-П'!N447</f>
        <v>0</v>
      </c>
      <c r="O453" s="471">
        <f>'d3'!O454-'d3-П'!O447</f>
        <v>0</v>
      </c>
      <c r="P453" s="471">
        <f>'d3'!P454-'d3-П'!P447</f>
        <v>309889.28999999911</v>
      </c>
      <c r="Q453" s="45"/>
      <c r="R453" s="48"/>
      <c r="S453" s="45"/>
    </row>
    <row r="454" spans="1:19" ht="93" hidden="1" thickTop="1" thickBot="1" x14ac:dyDescent="0.25">
      <c r="A454" s="119" t="s">
        <v>607</v>
      </c>
      <c r="B454" s="119" t="s">
        <v>352</v>
      </c>
      <c r="C454" s="119" t="s">
        <v>598</v>
      </c>
      <c r="D454" s="119" t="s">
        <v>599</v>
      </c>
      <c r="E454" s="471">
        <f>'d3'!E455-'d3-П'!E448</f>
        <v>0</v>
      </c>
      <c r="F454" s="471">
        <f>'d3'!F455-'d3-П'!F448</f>
        <v>0</v>
      </c>
      <c r="G454" s="471">
        <f>'d3'!G455-'d3-П'!G448</f>
        <v>0</v>
      </c>
      <c r="H454" s="471">
        <f>'d3'!H455-'d3-П'!H448</f>
        <v>0</v>
      </c>
      <c r="I454" s="471">
        <f>'d3'!I455-'d3-П'!I448</f>
        <v>0</v>
      </c>
      <c r="J454" s="471">
        <f>'d3'!J455-'d3-П'!J448</f>
        <v>0</v>
      </c>
      <c r="K454" s="471">
        <f>'d3'!K455-'d3-П'!K448</f>
        <v>0</v>
      </c>
      <c r="L454" s="471">
        <f>'d3'!L455-'d3-П'!L448</f>
        <v>0</v>
      </c>
      <c r="M454" s="471">
        <f>'d3'!M455-'d3-П'!M448</f>
        <v>0</v>
      </c>
      <c r="N454" s="471">
        <f>'d3'!N455-'d3-П'!N448</f>
        <v>0</v>
      </c>
      <c r="O454" s="471">
        <f>'d3'!O455-'d3-П'!O448</f>
        <v>0</v>
      </c>
      <c r="P454" s="471">
        <f>'d3'!P455-'d3-П'!P448</f>
        <v>0</v>
      </c>
      <c r="Q454" s="45"/>
      <c r="R454" s="48"/>
    </row>
    <row r="455" spans="1:19" ht="47.25" hidden="1" thickTop="1" thickBot="1" x14ac:dyDescent="0.25">
      <c r="A455" s="127" t="s">
        <v>1084</v>
      </c>
      <c r="B455" s="127" t="s">
        <v>659</v>
      </c>
      <c r="C455" s="127"/>
      <c r="D455" s="127" t="s">
        <v>657</v>
      </c>
      <c r="E455" s="471">
        <f>'d3'!E456-'d3-П'!E449</f>
        <v>0</v>
      </c>
      <c r="F455" s="471">
        <f>'d3'!F456-'d3-П'!F449</f>
        <v>0</v>
      </c>
      <c r="G455" s="471">
        <f>'d3'!G456-'d3-П'!G449</f>
        <v>0</v>
      </c>
      <c r="H455" s="471">
        <f>'d3'!H456-'d3-П'!H449</f>
        <v>0</v>
      </c>
      <c r="I455" s="471">
        <f>'d3'!I456-'d3-П'!I449</f>
        <v>0</v>
      </c>
      <c r="J455" s="471">
        <f>'d3'!J456-'d3-П'!J449</f>
        <v>0</v>
      </c>
      <c r="K455" s="471">
        <f>'d3'!K456-'d3-П'!K449</f>
        <v>0</v>
      </c>
      <c r="L455" s="471">
        <f>'d3'!L456-'d3-П'!L449</f>
        <v>0</v>
      </c>
      <c r="M455" s="471">
        <f>'d3'!M456-'d3-П'!M449</f>
        <v>0</v>
      </c>
      <c r="N455" s="471">
        <f>'d3'!N456-'d3-П'!N449</f>
        <v>0</v>
      </c>
      <c r="O455" s="471">
        <f>'d3'!O456-'d3-П'!O449</f>
        <v>0</v>
      </c>
      <c r="P455" s="471">
        <f>'d3'!P456-'d3-П'!P449</f>
        <v>0</v>
      </c>
      <c r="Q455" s="45"/>
      <c r="R455" s="48"/>
    </row>
    <row r="456" spans="1:19" ht="47.25" hidden="1" thickTop="1" thickBot="1" x14ac:dyDescent="0.25">
      <c r="A456" s="131" t="s">
        <v>1085</v>
      </c>
      <c r="B456" s="131" t="s">
        <v>662</v>
      </c>
      <c r="C456" s="131"/>
      <c r="D456" s="131" t="s">
        <v>660</v>
      </c>
      <c r="E456" s="471">
        <f>'d3'!E457-'d3-П'!E450</f>
        <v>0</v>
      </c>
      <c r="F456" s="471">
        <f>'d3'!F457-'d3-П'!F450</f>
        <v>0</v>
      </c>
      <c r="G456" s="471">
        <f>'d3'!G457-'d3-П'!G450</f>
        <v>0</v>
      </c>
      <c r="H456" s="471">
        <f>'d3'!H457-'d3-П'!H450</f>
        <v>0</v>
      </c>
      <c r="I456" s="471">
        <f>'d3'!I457-'d3-П'!I450</f>
        <v>0</v>
      </c>
      <c r="J456" s="471">
        <f>'d3'!J457-'d3-П'!J450</f>
        <v>0</v>
      </c>
      <c r="K456" s="471">
        <f>'d3'!K457-'d3-П'!K450</f>
        <v>0</v>
      </c>
      <c r="L456" s="471">
        <f>'d3'!L457-'d3-П'!L450</f>
        <v>0</v>
      </c>
      <c r="M456" s="471">
        <f>'d3'!M457-'d3-П'!M450</f>
        <v>0</v>
      </c>
      <c r="N456" s="471">
        <f>'d3'!N457-'d3-П'!N450</f>
        <v>0</v>
      </c>
      <c r="O456" s="471">
        <f>'d3'!O457-'d3-П'!O450</f>
        <v>0</v>
      </c>
      <c r="P456" s="471">
        <f>'d3'!P457-'d3-П'!P450</f>
        <v>0</v>
      </c>
      <c r="Q456" s="45"/>
      <c r="R456" s="48"/>
    </row>
    <row r="457" spans="1:19" ht="47.25" hidden="1" thickTop="1" thickBot="1" x14ac:dyDescent="0.25">
      <c r="A457" s="119" t="s">
        <v>1086</v>
      </c>
      <c r="B457" s="119" t="s">
        <v>251</v>
      </c>
      <c r="C457" s="119" t="s">
        <v>165</v>
      </c>
      <c r="D457" s="119" t="s">
        <v>249</v>
      </c>
      <c r="E457" s="471">
        <f>'d3'!E458-'d3-П'!E451</f>
        <v>0</v>
      </c>
      <c r="F457" s="471">
        <f>'d3'!F458-'d3-П'!F451</f>
        <v>0</v>
      </c>
      <c r="G457" s="471">
        <f>'d3'!G458-'d3-П'!G451</f>
        <v>0</v>
      </c>
      <c r="H457" s="471">
        <f>'d3'!H458-'d3-П'!H451</f>
        <v>0</v>
      </c>
      <c r="I457" s="471">
        <f>'d3'!I458-'d3-П'!I451</f>
        <v>0</v>
      </c>
      <c r="J457" s="471">
        <f>'d3'!J458-'d3-П'!J451</f>
        <v>0</v>
      </c>
      <c r="K457" s="471">
        <f>'d3'!K458-'d3-П'!K451</f>
        <v>0</v>
      </c>
      <c r="L457" s="471">
        <f>'d3'!L458-'d3-П'!L451</f>
        <v>0</v>
      </c>
      <c r="M457" s="471">
        <f>'d3'!M458-'d3-П'!M451</f>
        <v>0</v>
      </c>
      <c r="N457" s="471">
        <f>'d3'!N458-'d3-П'!N451</f>
        <v>0</v>
      </c>
      <c r="O457" s="471">
        <f>'d3'!O458-'d3-П'!O451</f>
        <v>0</v>
      </c>
      <c r="P457" s="471">
        <f>'d3'!P458-'d3-П'!P451</f>
        <v>0</v>
      </c>
      <c r="Q457" s="45"/>
      <c r="R457" s="48"/>
    </row>
    <row r="458" spans="1:19" ht="90.75" customHeight="1" thickTop="1" thickBot="1" x14ac:dyDescent="0.25">
      <c r="A458" s="483" t="s">
        <v>805</v>
      </c>
      <c r="B458" s="483" t="s">
        <v>664</v>
      </c>
      <c r="C458" s="483"/>
      <c r="D458" s="483" t="s">
        <v>665</v>
      </c>
      <c r="E458" s="471">
        <f>'d3'!E459-'d3-П'!E452</f>
        <v>-4165913.7300000014</v>
      </c>
      <c r="F458" s="471">
        <f>'d3'!F459-'d3-П'!F452</f>
        <v>-4165913.7300000014</v>
      </c>
      <c r="G458" s="471">
        <f>'d3'!G459-'d3-П'!G452</f>
        <v>0</v>
      </c>
      <c r="H458" s="471">
        <f>'d3'!H459-'d3-П'!H452</f>
        <v>0</v>
      </c>
      <c r="I458" s="471">
        <f>'d3'!I459-'d3-П'!I452</f>
        <v>0</v>
      </c>
      <c r="J458" s="471">
        <f>'d3'!J459-'d3-П'!J452</f>
        <v>0</v>
      </c>
      <c r="K458" s="471">
        <f>'d3'!K459-'d3-П'!K452</f>
        <v>0</v>
      </c>
      <c r="L458" s="471">
        <f>'d3'!L459-'d3-П'!L452</f>
        <v>0</v>
      </c>
      <c r="M458" s="471">
        <f>'d3'!M459-'d3-П'!M452</f>
        <v>0</v>
      </c>
      <c r="N458" s="471">
        <f>'d3'!N459-'d3-П'!N452</f>
        <v>0</v>
      </c>
      <c r="O458" s="471">
        <f>'d3'!O459-'d3-П'!O452</f>
        <v>0</v>
      </c>
      <c r="P458" s="471">
        <f>'d3'!P459-'d3-П'!P452</f>
        <v>-4165913.7300000014</v>
      </c>
      <c r="Q458" s="45"/>
      <c r="R458" s="48"/>
    </row>
    <row r="459" spans="1:19" ht="100.5" customHeight="1" thickTop="1" thickBot="1" x14ac:dyDescent="0.25">
      <c r="A459" s="549">
        <v>3718600</v>
      </c>
      <c r="B459" s="549">
        <v>8600</v>
      </c>
      <c r="C459" s="496" t="s">
        <v>352</v>
      </c>
      <c r="D459" s="549" t="s">
        <v>441</v>
      </c>
      <c r="E459" s="471">
        <f>'d3'!E460-'d3-П'!E453</f>
        <v>0</v>
      </c>
      <c r="F459" s="471">
        <f>'d3'!F460-'d3-П'!F453</f>
        <v>0</v>
      </c>
      <c r="G459" s="471">
        <f>'d3'!G460-'d3-П'!G453</f>
        <v>0</v>
      </c>
      <c r="H459" s="471">
        <f>'d3'!H460-'d3-П'!H453</f>
        <v>0</v>
      </c>
      <c r="I459" s="471">
        <f>'d3'!I460-'d3-П'!I453</f>
        <v>0</v>
      </c>
      <c r="J459" s="471">
        <f>'d3'!J460-'d3-П'!J453</f>
        <v>0</v>
      </c>
      <c r="K459" s="471">
        <f>'d3'!K460-'d3-П'!K453</f>
        <v>0</v>
      </c>
      <c r="L459" s="471">
        <f>'d3'!L460-'d3-П'!L453</f>
        <v>0</v>
      </c>
      <c r="M459" s="471">
        <f>'d3'!M460-'d3-П'!M453</f>
        <v>0</v>
      </c>
      <c r="N459" s="471">
        <f>'d3'!N460-'d3-П'!N453</f>
        <v>0</v>
      </c>
      <c r="O459" s="471">
        <f>'d3'!O460-'d3-П'!O453</f>
        <v>0</v>
      </c>
      <c r="P459" s="471">
        <f>'d3'!P460-'d3-П'!P453</f>
        <v>0</v>
      </c>
      <c r="Q459" s="18"/>
    </row>
    <row r="460" spans="1:19" ht="116.25" customHeight="1" thickTop="1" thickBot="1" x14ac:dyDescent="0.25">
      <c r="A460" s="549">
        <v>3718700</v>
      </c>
      <c r="B460" s="549">
        <v>8700</v>
      </c>
      <c r="C460" s="496"/>
      <c r="D460" s="549" t="s">
        <v>806</v>
      </c>
      <c r="E460" s="471">
        <f>'d3'!E461-'d3-П'!E454</f>
        <v>-4165913.7300000004</v>
      </c>
      <c r="F460" s="471">
        <f>'d3'!F461-'d3-П'!F454</f>
        <v>-4165913.7300000004</v>
      </c>
      <c r="G460" s="471">
        <f>'d3'!G461-'d3-П'!G454</f>
        <v>0</v>
      </c>
      <c r="H460" s="471">
        <f>'d3'!H461-'d3-П'!H454</f>
        <v>0</v>
      </c>
      <c r="I460" s="471">
        <f>'d3'!I461-'d3-П'!I454</f>
        <v>0</v>
      </c>
      <c r="J460" s="471">
        <f>'d3'!J461-'d3-П'!J454</f>
        <v>0</v>
      </c>
      <c r="K460" s="471">
        <f>'d3'!K461-'d3-П'!K454</f>
        <v>0</v>
      </c>
      <c r="L460" s="471">
        <f>'d3'!L461-'d3-П'!L454</f>
        <v>0</v>
      </c>
      <c r="M460" s="471">
        <f>'d3'!M461-'d3-П'!M454</f>
        <v>0</v>
      </c>
      <c r="N460" s="471">
        <f>'d3'!N461-'d3-П'!N454</f>
        <v>0</v>
      </c>
      <c r="O460" s="471">
        <f>'d3'!O461-'d3-П'!O454</f>
        <v>0</v>
      </c>
      <c r="P460" s="471">
        <f>'d3'!P461-'d3-П'!P454</f>
        <v>-4165913.7300000004</v>
      </c>
      <c r="Q460" s="18"/>
    </row>
    <row r="461" spans="1:19" ht="122.25" customHeight="1" thickTop="1" thickBot="1" x14ac:dyDescent="0.25">
      <c r="A461" s="475">
        <v>3718710</v>
      </c>
      <c r="B461" s="475">
        <v>8710</v>
      </c>
      <c r="C461" s="469" t="s">
        <v>41</v>
      </c>
      <c r="D461" s="486" t="s">
        <v>612</v>
      </c>
      <c r="E461" s="471">
        <f>'d3'!E462-'d3-П'!E455</f>
        <v>-4165913.7300000004</v>
      </c>
      <c r="F461" s="471">
        <f>'d3'!F462-'d3-П'!F455</f>
        <v>-4165913.7300000004</v>
      </c>
      <c r="G461" s="471">
        <f>'d3'!G462-'d3-П'!G455</f>
        <v>0</v>
      </c>
      <c r="H461" s="471">
        <f>'d3'!H462-'d3-П'!H455</f>
        <v>0</v>
      </c>
      <c r="I461" s="471">
        <f>'d3'!I462-'d3-П'!I455</f>
        <v>0</v>
      </c>
      <c r="J461" s="471">
        <f>'d3'!J462-'d3-П'!J455</f>
        <v>0</v>
      </c>
      <c r="K461" s="471">
        <f>'d3'!K462-'d3-П'!K455</f>
        <v>0</v>
      </c>
      <c r="L461" s="471">
        <f>'d3'!L462-'d3-П'!L455</f>
        <v>0</v>
      </c>
      <c r="M461" s="471">
        <f>'d3'!M462-'d3-П'!M455</f>
        <v>0</v>
      </c>
      <c r="N461" s="471">
        <f>'d3'!N462-'d3-П'!N455</f>
        <v>0</v>
      </c>
      <c r="O461" s="471">
        <f>'d3'!O462-'d3-П'!O455</f>
        <v>0</v>
      </c>
      <c r="P461" s="471">
        <f>'d3'!P462-'d3-П'!P455</f>
        <v>-4165913.7300000004</v>
      </c>
      <c r="Q461" s="18"/>
    </row>
    <row r="462" spans="1:19" ht="47.25" hidden="1" thickTop="1" thickBot="1" x14ac:dyDescent="0.25">
      <c r="A462" s="155">
        <v>3718800</v>
      </c>
      <c r="B462" s="155">
        <v>8800</v>
      </c>
      <c r="C462" s="127"/>
      <c r="D462" s="155" t="s">
        <v>814</v>
      </c>
      <c r="E462" s="471">
        <f>'d3'!E463-'d3-П'!E456</f>
        <v>0</v>
      </c>
      <c r="F462" s="471">
        <f>'d3'!F463-'d3-П'!F456</f>
        <v>0</v>
      </c>
      <c r="G462" s="471">
        <f>'d3'!G463-'d3-П'!G456</f>
        <v>0</v>
      </c>
      <c r="H462" s="471">
        <f>'d3'!H463-'d3-П'!H456</f>
        <v>0</v>
      </c>
      <c r="I462" s="471">
        <f>'d3'!I463-'d3-П'!I456</f>
        <v>0</v>
      </c>
      <c r="J462" s="471">
        <f>'d3'!J463-'d3-П'!J456</f>
        <v>0</v>
      </c>
      <c r="K462" s="471">
        <f>'d3'!K463-'d3-П'!K456</f>
        <v>0</v>
      </c>
      <c r="L462" s="471">
        <f>'d3'!L463-'d3-П'!L456</f>
        <v>0</v>
      </c>
      <c r="M462" s="471">
        <f>'d3'!M463-'d3-П'!M456</f>
        <v>0</v>
      </c>
      <c r="N462" s="471">
        <f>'d3'!N463-'d3-П'!N456</f>
        <v>0</v>
      </c>
      <c r="O462" s="471">
        <f>'d3'!O463-'d3-П'!O456</f>
        <v>0</v>
      </c>
      <c r="P462" s="471">
        <f>'d3'!P463-'d3-П'!P456</f>
        <v>0</v>
      </c>
      <c r="Q462" s="18"/>
    </row>
    <row r="463" spans="1:19" ht="93" hidden="1" thickTop="1" thickBot="1" x14ac:dyDescent="0.25">
      <c r="A463" s="156">
        <v>3718880</v>
      </c>
      <c r="B463" s="156">
        <v>8880</v>
      </c>
      <c r="C463" s="131"/>
      <c r="D463" s="143" t="s">
        <v>1042</v>
      </c>
      <c r="E463" s="471">
        <f>'d3'!E464-'d3-П'!E457</f>
        <v>0</v>
      </c>
      <c r="F463" s="471">
        <f>'d3'!F464-'d3-П'!F457</f>
        <v>0</v>
      </c>
      <c r="G463" s="471">
        <f>'d3'!G464-'d3-П'!G457</f>
        <v>0</v>
      </c>
      <c r="H463" s="471">
        <f>'d3'!H464-'d3-П'!H457</f>
        <v>0</v>
      </c>
      <c r="I463" s="471">
        <f>'d3'!I464-'d3-П'!I457</f>
        <v>0</v>
      </c>
      <c r="J463" s="471">
        <f>'d3'!J464-'d3-П'!J457</f>
        <v>0</v>
      </c>
      <c r="K463" s="471">
        <f>'d3'!K464-'d3-П'!K457</f>
        <v>0</v>
      </c>
      <c r="L463" s="471">
        <f>'d3'!L464-'d3-П'!L457</f>
        <v>0</v>
      </c>
      <c r="M463" s="471">
        <f>'d3'!M464-'d3-П'!M457</f>
        <v>0</v>
      </c>
      <c r="N463" s="471">
        <f>'d3'!N464-'d3-П'!N457</f>
        <v>0</v>
      </c>
      <c r="O463" s="471">
        <f>'d3'!O464-'d3-П'!O457</f>
        <v>0</v>
      </c>
      <c r="P463" s="471">
        <f>'d3'!P464-'d3-П'!P457</f>
        <v>0</v>
      </c>
      <c r="Q463" s="18"/>
    </row>
    <row r="464" spans="1:19" ht="93" hidden="1" thickTop="1" thickBot="1" x14ac:dyDescent="0.25">
      <c r="A464" s="119">
        <v>3718881</v>
      </c>
      <c r="B464" s="119">
        <v>8881</v>
      </c>
      <c r="C464" s="119" t="s">
        <v>165</v>
      </c>
      <c r="D464" s="119" t="s">
        <v>1043</v>
      </c>
      <c r="E464" s="471">
        <f>'d3'!E465-'d3-П'!E458</f>
        <v>0</v>
      </c>
      <c r="F464" s="471">
        <f>'d3'!F465-'d3-П'!F458</f>
        <v>0</v>
      </c>
      <c r="G464" s="471">
        <f>'d3'!G465-'d3-П'!G458</f>
        <v>0</v>
      </c>
      <c r="H464" s="471">
        <f>'d3'!H465-'d3-П'!H458</f>
        <v>0</v>
      </c>
      <c r="I464" s="471">
        <f>'d3'!I465-'d3-П'!I458</f>
        <v>0</v>
      </c>
      <c r="J464" s="471">
        <f>'d3'!J465-'d3-П'!J458</f>
        <v>0</v>
      </c>
      <c r="K464" s="471">
        <f>'d3'!K465-'d3-П'!K458</f>
        <v>0</v>
      </c>
      <c r="L464" s="471">
        <f>'d3'!L465-'d3-П'!L458</f>
        <v>0</v>
      </c>
      <c r="M464" s="471">
        <f>'d3'!M465-'d3-П'!M458</f>
        <v>0</v>
      </c>
      <c r="N464" s="471">
        <f>'d3'!N465-'d3-П'!N458</f>
        <v>0</v>
      </c>
      <c r="O464" s="471">
        <f>'d3'!O465-'d3-П'!O458</f>
        <v>0</v>
      </c>
      <c r="P464" s="471">
        <f>'d3'!P465-'d3-П'!P458</f>
        <v>0</v>
      </c>
      <c r="Q464" s="18"/>
    </row>
    <row r="465" spans="1:17" ht="144" customHeight="1" thickTop="1" thickBot="1" x14ac:dyDescent="0.25">
      <c r="A465" s="483" t="s">
        <v>807</v>
      </c>
      <c r="B465" s="483" t="s">
        <v>669</v>
      </c>
      <c r="C465" s="483"/>
      <c r="D465" s="483" t="s">
        <v>670</v>
      </c>
      <c r="E465" s="471">
        <f>'d3'!E466-'d3-П'!E459</f>
        <v>0</v>
      </c>
      <c r="F465" s="471">
        <f>'d3'!F466-'d3-П'!F459</f>
        <v>0</v>
      </c>
      <c r="G465" s="471">
        <f>'d3'!G466-'d3-П'!G459</f>
        <v>0</v>
      </c>
      <c r="H465" s="471">
        <f>'d3'!H466-'d3-П'!H459</f>
        <v>0</v>
      </c>
      <c r="I465" s="471">
        <f>'d3'!I466-'d3-П'!I459</f>
        <v>0</v>
      </c>
      <c r="J465" s="471">
        <f>'d3'!J466-'d3-П'!J459</f>
        <v>0</v>
      </c>
      <c r="K465" s="471">
        <f>'d3'!K466-'d3-П'!K459</f>
        <v>0</v>
      </c>
      <c r="L465" s="471">
        <f>'d3'!L466-'d3-П'!L459</f>
        <v>0</v>
      </c>
      <c r="M465" s="471">
        <f>'d3'!M466-'d3-П'!M459</f>
        <v>0</v>
      </c>
      <c r="N465" s="471">
        <f>'d3'!N466-'d3-П'!N459</f>
        <v>0</v>
      </c>
      <c r="O465" s="471">
        <f>'d3'!O466-'d3-П'!O459</f>
        <v>0</v>
      </c>
      <c r="P465" s="471">
        <f>'d3'!P466-'d3-П'!P459</f>
        <v>0</v>
      </c>
      <c r="Q465" s="18"/>
    </row>
    <row r="466" spans="1:17" ht="90.75" customHeight="1" thickTop="1" thickBot="1" x14ac:dyDescent="0.25">
      <c r="A466" s="549">
        <v>3719100</v>
      </c>
      <c r="B466" s="496" t="s">
        <v>809</v>
      </c>
      <c r="C466" s="496"/>
      <c r="D466" s="496" t="s">
        <v>808</v>
      </c>
      <c r="E466" s="471">
        <f>'d3'!E467-'d3-П'!E460</f>
        <v>0</v>
      </c>
      <c r="F466" s="471">
        <f>'d3'!F467-'d3-П'!F460</f>
        <v>0</v>
      </c>
      <c r="G466" s="471">
        <f>'d3'!G467-'d3-П'!G460</f>
        <v>0</v>
      </c>
      <c r="H466" s="471">
        <f>'d3'!H467-'d3-П'!H460</f>
        <v>0</v>
      </c>
      <c r="I466" s="471">
        <f>'d3'!I467-'d3-П'!I460</f>
        <v>0</v>
      </c>
      <c r="J466" s="471">
        <f>'d3'!J467-'d3-П'!J460</f>
        <v>0</v>
      </c>
      <c r="K466" s="471">
        <f>'d3'!K467-'d3-П'!K460</f>
        <v>0</v>
      </c>
      <c r="L466" s="471">
        <f>'d3'!L467-'d3-П'!L460</f>
        <v>0</v>
      </c>
      <c r="M466" s="471">
        <f>'d3'!M467-'d3-П'!M460</f>
        <v>0</v>
      </c>
      <c r="N466" s="471">
        <f>'d3'!N467-'d3-П'!N460</f>
        <v>0</v>
      </c>
      <c r="O466" s="471">
        <f>'d3'!O467-'d3-П'!O460</f>
        <v>0</v>
      </c>
      <c r="P466" s="471">
        <f>'d3'!P467-'d3-П'!P460</f>
        <v>0</v>
      </c>
      <c r="Q466" s="18"/>
    </row>
    <row r="467" spans="1:17" ht="98.25" customHeight="1" thickTop="1" thickBot="1" x14ac:dyDescent="0.25">
      <c r="A467" s="475">
        <v>3719110</v>
      </c>
      <c r="B467" s="475">
        <v>9110</v>
      </c>
      <c r="C467" s="469" t="s">
        <v>42</v>
      </c>
      <c r="D467" s="486" t="s">
        <v>440</v>
      </c>
      <c r="E467" s="471">
        <f>'d3'!E468-'d3-П'!E461</f>
        <v>0</v>
      </c>
      <c r="F467" s="471">
        <f>'d3'!F468-'d3-П'!F461</f>
        <v>0</v>
      </c>
      <c r="G467" s="471">
        <f>'d3'!G468-'d3-П'!G461</f>
        <v>0</v>
      </c>
      <c r="H467" s="471">
        <f>'d3'!H468-'d3-П'!H461</f>
        <v>0</v>
      </c>
      <c r="I467" s="471">
        <f>'d3'!I468-'d3-П'!I461</f>
        <v>0</v>
      </c>
      <c r="J467" s="471">
        <f>'d3'!J468-'d3-П'!J461</f>
        <v>0</v>
      </c>
      <c r="K467" s="471">
        <f>'d3'!K468-'d3-П'!K461</f>
        <v>0</v>
      </c>
      <c r="L467" s="471">
        <f>'d3'!L468-'d3-П'!L461</f>
        <v>0</v>
      </c>
      <c r="M467" s="471">
        <f>'d3'!M468-'d3-П'!M461</f>
        <v>0</v>
      </c>
      <c r="N467" s="471">
        <f>'d3'!N468-'d3-П'!N461</f>
        <v>0</v>
      </c>
      <c r="O467" s="471">
        <f>'d3'!O468-'d3-П'!O461</f>
        <v>0</v>
      </c>
      <c r="P467" s="471">
        <f>'d3'!P468-'d3-П'!P461</f>
        <v>0</v>
      </c>
      <c r="Q467" s="18"/>
    </row>
    <row r="468" spans="1:17" ht="111" customHeight="1" thickTop="1" thickBot="1" x14ac:dyDescent="0.25">
      <c r="A468" s="330" t="s">
        <v>371</v>
      </c>
      <c r="B468" s="330" t="s">
        <v>371</v>
      </c>
      <c r="C468" s="330" t="s">
        <v>371</v>
      </c>
      <c r="D468" s="330" t="s">
        <v>381</v>
      </c>
      <c r="E468" s="331">
        <f t="shared" ref="E468:P468" si="93">E16+E50+E236+E118+E152+E215++E339+E377+E451+E410+E430+E442+E388+E305+E273</f>
        <v>187987421.84999985</v>
      </c>
      <c r="F468" s="331">
        <f t="shared" si="93"/>
        <v>107186571.30999999</v>
      </c>
      <c r="G468" s="331">
        <f t="shared" si="93"/>
        <v>1142143</v>
      </c>
      <c r="H468" s="331">
        <f t="shared" si="93"/>
        <v>607815</v>
      </c>
      <c r="I468" s="331">
        <f t="shared" si="93"/>
        <v>80800850.540000007</v>
      </c>
      <c r="J468" s="331">
        <f t="shared" si="93"/>
        <v>33499919.150000002</v>
      </c>
      <c r="K468" s="331">
        <f t="shared" si="93"/>
        <v>32754048.149999999</v>
      </c>
      <c r="L468" s="331">
        <f t="shared" si="93"/>
        <v>-1011643.9999999981</v>
      </c>
      <c r="M468" s="331">
        <f t="shared" si="93"/>
        <v>0</v>
      </c>
      <c r="N468" s="331">
        <f t="shared" si="93"/>
        <v>950</v>
      </c>
      <c r="O468" s="331">
        <f t="shared" si="93"/>
        <v>34511563.149999999</v>
      </c>
      <c r="P468" s="331">
        <f t="shared" si="93"/>
        <v>221487340.99999985</v>
      </c>
      <c r="Q468" s="651" t="b">
        <f>P468=J468+E468</f>
        <v>1</v>
      </c>
    </row>
    <row r="469" spans="1:17" ht="93.75" customHeight="1" thickTop="1" x14ac:dyDescent="0.2">
      <c r="A469" s="800" t="s">
        <v>1579</v>
      </c>
      <c r="B469" s="801"/>
      <c r="C469" s="801"/>
      <c r="D469" s="801"/>
      <c r="E469" s="801"/>
      <c r="F469" s="801"/>
      <c r="G469" s="801"/>
      <c r="H469" s="801"/>
      <c r="I469" s="801"/>
      <c r="J469" s="801"/>
      <c r="K469" s="801"/>
      <c r="L469" s="801"/>
      <c r="M469" s="801"/>
      <c r="N469" s="801"/>
      <c r="O469" s="801"/>
      <c r="P469" s="801"/>
      <c r="Q469" s="54"/>
    </row>
    <row r="470" spans="1:17" ht="45.75" x14ac:dyDescent="0.2">
      <c r="E470" s="70"/>
      <c r="F470" s="65"/>
    </row>
    <row r="471" spans="1:17" ht="45.75" x14ac:dyDescent="0.2">
      <c r="E471" s="70"/>
      <c r="F471" s="65"/>
    </row>
    <row r="472" spans="1:17" ht="45.75" x14ac:dyDescent="0.2">
      <c r="A472" s="19"/>
      <c r="B472" s="19"/>
      <c r="C472" s="19"/>
      <c r="D472" s="19"/>
      <c r="E472" s="70"/>
      <c r="F472" s="65"/>
      <c r="G472" s="19"/>
      <c r="H472" s="19"/>
      <c r="I472" s="19"/>
      <c r="J472" s="19"/>
      <c r="K472" s="19"/>
      <c r="L472" s="19"/>
      <c r="M472" s="19"/>
      <c r="N472" s="19"/>
      <c r="O472" s="19"/>
      <c r="P472" s="19"/>
    </row>
    <row r="473" spans="1:17" ht="45.75" x14ac:dyDescent="0.2">
      <c r="A473" s="19"/>
      <c r="B473" s="19"/>
      <c r="C473" s="19"/>
      <c r="D473" s="19"/>
      <c r="E473" s="70"/>
      <c r="F473" s="65"/>
      <c r="G473" s="19"/>
      <c r="H473" s="19"/>
      <c r="I473" s="19"/>
      <c r="J473" s="19"/>
      <c r="K473" s="19"/>
      <c r="L473" s="19"/>
      <c r="M473" s="19"/>
      <c r="N473" s="19"/>
      <c r="O473" s="19"/>
      <c r="P473" s="19"/>
    </row>
    <row r="474" spans="1:17" ht="45.75" x14ac:dyDescent="0.2">
      <c r="A474" s="19"/>
      <c r="B474" s="19"/>
      <c r="C474" s="19"/>
      <c r="D474" s="19"/>
      <c r="E474" s="70"/>
      <c r="F474" s="65"/>
      <c r="G474" s="19"/>
      <c r="H474" s="19"/>
      <c r="I474" s="19"/>
      <c r="J474" s="19"/>
      <c r="K474" s="19"/>
      <c r="L474" s="19"/>
      <c r="M474" s="19"/>
      <c r="N474" s="19"/>
      <c r="O474" s="19"/>
      <c r="P474" s="19"/>
    </row>
    <row r="475" spans="1:17" ht="45.75" x14ac:dyDescent="0.2">
      <c r="A475" s="19"/>
      <c r="B475" s="19"/>
      <c r="C475" s="19"/>
      <c r="D475" s="19"/>
      <c r="E475" s="70"/>
      <c r="F475" s="65"/>
      <c r="G475" s="19"/>
      <c r="H475" s="19"/>
      <c r="I475" s="19"/>
      <c r="J475" s="19"/>
      <c r="K475" s="19"/>
      <c r="L475" s="19"/>
      <c r="M475" s="19"/>
      <c r="N475" s="19"/>
      <c r="O475" s="19"/>
      <c r="P475" s="19"/>
    </row>
  </sheetData>
  <mergeCells count="123">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B184:B187"/>
    <mergeCell ref="C184:C187"/>
    <mergeCell ref="E184:E187"/>
    <mergeCell ref="F184:F187"/>
    <mergeCell ref="G184:G187"/>
    <mergeCell ref="H184:H187"/>
    <mergeCell ref="I184:I187"/>
    <mergeCell ref="J184:J187"/>
    <mergeCell ref="A9:B9"/>
    <mergeCell ref="A11:A13"/>
    <mergeCell ref="B11:B13"/>
    <mergeCell ref="C11:C13"/>
    <mergeCell ref="D11:D13"/>
    <mergeCell ref="E11:I11"/>
    <mergeCell ref="Q184:Q187"/>
    <mergeCell ref="R184:R187"/>
    <mergeCell ref="A188:A189"/>
    <mergeCell ref="B188:B189"/>
    <mergeCell ref="C188:C189"/>
    <mergeCell ref="E188:E189"/>
    <mergeCell ref="F188:F189"/>
    <mergeCell ref="G188:G189"/>
    <mergeCell ref="H188:H189"/>
    <mergeCell ref="I188:I189"/>
    <mergeCell ref="K184:K187"/>
    <mergeCell ref="L184:L187"/>
    <mergeCell ref="M184:M187"/>
    <mergeCell ref="N184:N187"/>
    <mergeCell ref="O184:O187"/>
    <mergeCell ref="P184:P187"/>
    <mergeCell ref="P188:P189"/>
    <mergeCell ref="R188:R189"/>
    <mergeCell ref="K188:K189"/>
    <mergeCell ref="L188:L189"/>
    <mergeCell ref="M188:M189"/>
    <mergeCell ref="N188:N189"/>
    <mergeCell ref="O188:O189"/>
    <mergeCell ref="A184:A187"/>
    <mergeCell ref="A190:A192"/>
    <mergeCell ref="B190:B192"/>
    <mergeCell ref="C190:C192"/>
    <mergeCell ref="E190:E192"/>
    <mergeCell ref="F190:F192"/>
    <mergeCell ref="G190:G192"/>
    <mergeCell ref="H190:H192"/>
    <mergeCell ref="I190:I192"/>
    <mergeCell ref="J188:J189"/>
    <mergeCell ref="J193:J195"/>
    <mergeCell ref="P190:P192"/>
    <mergeCell ref="R190:R192"/>
    <mergeCell ref="A193:A195"/>
    <mergeCell ref="B193:B195"/>
    <mergeCell ref="C193:C195"/>
    <mergeCell ref="E193:E195"/>
    <mergeCell ref="F193:F195"/>
    <mergeCell ref="G193:G195"/>
    <mergeCell ref="H193:H195"/>
    <mergeCell ref="I193:I195"/>
    <mergeCell ref="J190:J192"/>
    <mergeCell ref="K190:K192"/>
    <mergeCell ref="L190:L192"/>
    <mergeCell ref="M190:M192"/>
    <mergeCell ref="N190:N192"/>
    <mergeCell ref="O190:O192"/>
    <mergeCell ref="P193:P195"/>
    <mergeCell ref="R193:R195"/>
    <mergeCell ref="K193:K195"/>
    <mergeCell ref="L193:L195"/>
    <mergeCell ref="M193:M195"/>
    <mergeCell ref="N193:N195"/>
    <mergeCell ref="O193:O195"/>
    <mergeCell ref="O196:O197"/>
    <mergeCell ref="P196:P197"/>
    <mergeCell ref="A212:A213"/>
    <mergeCell ref="B212:B213"/>
    <mergeCell ref="C212:C213"/>
    <mergeCell ref="E212:E213"/>
    <mergeCell ref="F212:F213"/>
    <mergeCell ref="G212:G213"/>
    <mergeCell ref="H212:H213"/>
    <mergeCell ref="I212:I213"/>
    <mergeCell ref="I196:I197"/>
    <mergeCell ref="J196:J197"/>
    <mergeCell ref="K196:K197"/>
    <mergeCell ref="L196:L197"/>
    <mergeCell ref="M196:M197"/>
    <mergeCell ref="N196:N197"/>
    <mergeCell ref="A196:A197"/>
    <mergeCell ref="B196:B197"/>
    <mergeCell ref="C196:C197"/>
    <mergeCell ref="D196:D197"/>
    <mergeCell ref="E196:E197"/>
    <mergeCell ref="F196:F197"/>
    <mergeCell ref="G196:G197"/>
    <mergeCell ref="H196:H197"/>
    <mergeCell ref="A469:P469"/>
    <mergeCell ref="P212:P213"/>
    <mergeCell ref="A373:A374"/>
    <mergeCell ref="B373:B374"/>
    <mergeCell ref="C373:C374"/>
    <mergeCell ref="J212:J213"/>
    <mergeCell ref="K212:K213"/>
    <mergeCell ref="L212:L213"/>
    <mergeCell ref="M212:M213"/>
    <mergeCell ref="N212:N213"/>
    <mergeCell ref="O212:O213"/>
  </mergeCells>
  <conditionalFormatting sqref="Q377:Q386">
    <cfRule type="iconSet" priority="17">
      <iconSet iconSet="3Arrows">
        <cfvo type="percent" val="0"/>
        <cfvo type="percent" val="33"/>
        <cfvo type="percent" val="67"/>
      </iconSet>
    </cfRule>
  </conditionalFormatting>
  <conditionalFormatting sqref="Q388:Q389">
    <cfRule type="iconSet" priority="13">
      <iconSet iconSet="3Arrows">
        <cfvo type="percent" val="0"/>
        <cfvo type="percent" val="33"/>
        <cfvo type="percent" val="67"/>
      </iconSet>
    </cfRule>
  </conditionalFormatting>
  <conditionalFormatting sqref="Q390:Q408">
    <cfRule type="iconSet" priority="19">
      <iconSet iconSet="3Arrows">
        <cfvo type="percent" val="0"/>
        <cfvo type="percent" val="33"/>
        <cfvo type="percent" val="67"/>
      </iconSet>
    </cfRule>
  </conditionalFormatting>
  <conditionalFormatting sqref="Q430:Q437">
    <cfRule type="iconSet" priority="22">
      <iconSet iconSet="3Arrows">
        <cfvo type="percent" val="0"/>
        <cfvo type="percent" val="33"/>
        <cfvo type="percent" val="67"/>
      </iconSet>
    </cfRule>
  </conditionalFormatting>
  <conditionalFormatting sqref="Q438">
    <cfRule type="iconSet" priority="2">
      <iconSet iconSet="3Arrows">
        <cfvo type="percent" val="0"/>
        <cfvo type="percent" val="33"/>
        <cfvo type="percent" val="67"/>
      </iconSet>
    </cfRule>
  </conditionalFormatting>
  <conditionalFormatting sqref="Q439:Q440">
    <cfRule type="iconSet" priority="8">
      <iconSet iconSet="3Arrows">
        <cfvo type="percent" val="0"/>
        <cfvo type="percent" val="33"/>
        <cfvo type="percent" val="67"/>
      </iconSet>
    </cfRule>
  </conditionalFormatting>
  <conditionalFormatting sqref="Q442">
    <cfRule type="iconSet" priority="3">
      <iconSet iconSet="3Arrows">
        <cfvo type="percent" val="0"/>
        <cfvo type="percent" val="33"/>
        <cfvo type="percent" val="67"/>
      </iconSet>
    </cfRule>
  </conditionalFormatting>
  <conditionalFormatting sqref="Q451">
    <cfRule type="iconSet" priority="1">
      <iconSet iconSet="3Arrows">
        <cfvo type="percent" val="0"/>
        <cfvo type="percent" val="33"/>
        <cfvo type="percent" val="67"/>
      </iconSet>
    </cfRule>
  </conditionalFormatting>
  <conditionalFormatting sqref="Q452 Q454:R458 R453:S453">
    <cfRule type="iconSet" priority="16">
      <iconSet iconSet="3Arrows">
        <cfvo type="percent" val="0"/>
        <cfvo type="percent" val="33"/>
        <cfvo type="percent" val="67"/>
      </iconSet>
    </cfRule>
  </conditionalFormatting>
  <conditionalFormatting sqref="Q453">
    <cfRule type="iconSet" priority="7">
      <iconSet iconSet="3Arrows">
        <cfvo type="percent" val="0"/>
        <cfvo type="percent" val="33"/>
        <cfvo type="percent" val="67"/>
      </iconSet>
    </cfRule>
  </conditionalFormatting>
  <conditionalFormatting sqref="Q410:R417">
    <cfRule type="iconSet" priority="21">
      <iconSet iconSet="3Arrows">
        <cfvo type="percent" val="0"/>
        <cfvo type="percent" val="33"/>
        <cfvo type="percent" val="67"/>
      </iconSet>
    </cfRule>
  </conditionalFormatting>
  <conditionalFormatting sqref="R377:R378">
    <cfRule type="iconSet" priority="11">
      <iconSet iconSet="3Arrows">
        <cfvo type="percent" val="0"/>
        <cfvo type="percent" val="33"/>
        <cfvo type="percent" val="67"/>
      </iconSet>
    </cfRule>
  </conditionalFormatting>
  <conditionalFormatting sqref="R379:R386">
    <cfRule type="iconSet" priority="10">
      <iconSet iconSet="3Arrows">
        <cfvo type="percent" val="0"/>
        <cfvo type="percent" val="33"/>
        <cfvo type="percent" val="67"/>
      </iconSet>
    </cfRule>
  </conditionalFormatting>
  <conditionalFormatting sqref="R388:R389">
    <cfRule type="iconSet" priority="12">
      <iconSet iconSet="3Arrows">
        <cfvo type="percent" val="0"/>
        <cfvo type="percent" val="33"/>
        <cfvo type="percent" val="67"/>
      </iconSet>
    </cfRule>
  </conditionalFormatting>
  <conditionalFormatting sqref="R390:R408">
    <cfRule type="iconSet" priority="20">
      <iconSet iconSet="3Arrows">
        <cfvo type="percent" val="0"/>
        <cfvo type="percent" val="33"/>
        <cfvo type="percent" val="67"/>
      </iconSet>
    </cfRule>
  </conditionalFormatting>
  <conditionalFormatting sqref="R418:R428">
    <cfRule type="iconSet" priority="18">
      <iconSet iconSet="3Arrows">
        <cfvo type="percent" val="0"/>
        <cfvo type="percent" val="33"/>
        <cfvo type="percent" val="67"/>
      </iconSet>
    </cfRule>
  </conditionalFormatting>
  <conditionalFormatting sqref="R430:R431">
    <cfRule type="iconSet" priority="9">
      <iconSet iconSet="3Arrows">
        <cfvo type="percent" val="0"/>
        <cfvo type="percent" val="33"/>
        <cfvo type="percent" val="67"/>
      </iconSet>
    </cfRule>
  </conditionalFormatting>
  <conditionalFormatting sqref="R432:R437">
    <cfRule type="iconSet" priority="23">
      <iconSet iconSet="3Arrows">
        <cfvo type="percent" val="0"/>
        <cfvo type="percent" val="33"/>
        <cfvo type="percent" val="67"/>
      </iconSet>
    </cfRule>
  </conditionalFormatting>
  <conditionalFormatting sqref="R444:R446 Q443:R443 R442">
    <cfRule type="iconSet" priority="15">
      <iconSet iconSet="3Arrows">
        <cfvo type="percent" val="0"/>
        <cfvo type="percent" val="33"/>
        <cfvo type="percent" val="67"/>
      </iconSet>
    </cfRule>
  </conditionalFormatting>
  <conditionalFormatting sqref="R447">
    <cfRule type="iconSet" priority="5">
      <iconSet iconSet="3Arrows">
        <cfvo type="percent" val="0"/>
        <cfvo type="percent" val="33"/>
        <cfvo type="percent" val="67"/>
      </iconSet>
    </cfRule>
  </conditionalFormatting>
  <conditionalFormatting sqref="R449">
    <cfRule type="iconSet" priority="4">
      <iconSet iconSet="3Arrows">
        <cfvo type="percent" val="0"/>
        <cfvo type="percent" val="33"/>
        <cfvo type="percent" val="67"/>
      </iconSet>
    </cfRule>
  </conditionalFormatting>
  <conditionalFormatting sqref="R451">
    <cfRule type="iconSet" priority="6">
      <iconSet iconSet="3Arrows">
        <cfvo type="percent" val="0"/>
        <cfvo type="percent" val="33"/>
        <cfvo type="percent" val="67"/>
      </iconSet>
    </cfRule>
  </conditionalFormatting>
  <conditionalFormatting sqref="R452">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3"/>
  <sheetViews>
    <sheetView tabSelected="1" view="pageBreakPreview" topLeftCell="A9" zoomScale="130" zoomScaleSheetLayoutView="130" workbookViewId="0">
      <selection activeCell="J31" sqref="J31"/>
    </sheetView>
  </sheetViews>
  <sheetFormatPr defaultColWidth="9.140625" defaultRowHeight="12.75" x14ac:dyDescent="0.2"/>
  <cols>
    <col min="1" max="1" width="9.7109375" style="13" customWidth="1"/>
    <col min="2" max="2" width="48.28515625" style="13" customWidth="1"/>
    <col min="3"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46" t="s">
        <v>112</v>
      </c>
      <c r="F1" s="746"/>
    </row>
    <row r="2" spans="1:17" x14ac:dyDescent="0.2">
      <c r="A2"/>
      <c r="B2"/>
      <c r="C2"/>
      <c r="D2"/>
      <c r="E2" s="746" t="s">
        <v>900</v>
      </c>
      <c r="F2" s="746"/>
    </row>
    <row r="3" spans="1:17" x14ac:dyDescent="0.2">
      <c r="A3"/>
      <c r="B3"/>
      <c r="C3"/>
      <c r="D3"/>
      <c r="E3" s="746" t="s">
        <v>1712</v>
      </c>
      <c r="F3" s="746"/>
    </row>
    <row r="4" spans="1:17" x14ac:dyDescent="0.2">
      <c r="A4"/>
      <c r="B4"/>
      <c r="C4"/>
      <c r="D4"/>
      <c r="E4"/>
      <c r="F4"/>
    </row>
    <row r="5" spans="1:17" ht="18.75" x14ac:dyDescent="0.2">
      <c r="A5" s="748" t="s">
        <v>548</v>
      </c>
      <c r="B5" s="748"/>
      <c r="C5" s="748"/>
      <c r="D5" s="748"/>
      <c r="E5" s="748"/>
      <c r="F5" s="748"/>
    </row>
    <row r="6" spans="1:17" ht="18.75" x14ac:dyDescent="0.2">
      <c r="A6" s="748" t="s">
        <v>1475</v>
      </c>
      <c r="B6" s="748"/>
      <c r="C6" s="748"/>
      <c r="D6" s="748"/>
      <c r="E6" s="748"/>
      <c r="F6" s="748"/>
    </row>
    <row r="7" spans="1:17" ht="18.75" x14ac:dyDescent="0.2">
      <c r="A7" s="376"/>
      <c r="B7" s="376"/>
      <c r="C7" s="376"/>
      <c r="D7" s="376"/>
      <c r="E7" s="376"/>
      <c r="F7" s="376"/>
    </row>
    <row r="8" spans="1:17" x14ac:dyDescent="0.2">
      <c r="A8" s="749">
        <v>2256400000</v>
      </c>
      <c r="B8" s="750"/>
      <c r="C8" s="729"/>
      <c r="D8" s="729"/>
      <c r="E8" s="729"/>
      <c r="F8" s="729"/>
      <c r="G8" s="18"/>
    </row>
    <row r="9" spans="1:17" ht="15" customHeight="1" x14ac:dyDescent="0.2">
      <c r="A9" s="751" t="s">
        <v>474</v>
      </c>
      <c r="B9" s="752"/>
      <c r="C9" s="729"/>
      <c r="D9" s="729"/>
      <c r="E9" s="729"/>
      <c r="F9" s="729"/>
      <c r="G9" s="18"/>
    </row>
    <row r="10" spans="1:17" ht="13.5" thickBot="1" x14ac:dyDescent="0.25">
      <c r="A10" s="378"/>
      <c r="B10" s="378"/>
      <c r="C10"/>
      <c r="D10"/>
      <c r="E10"/>
      <c r="F10" s="379" t="s">
        <v>394</v>
      </c>
      <c r="G10" s="18"/>
    </row>
    <row r="11" spans="1:17" ht="14.25" thickTop="1" thickBot="1" x14ac:dyDescent="0.25">
      <c r="A11" s="753" t="s">
        <v>55</v>
      </c>
      <c r="B11" s="753" t="s">
        <v>368</v>
      </c>
      <c r="C11" s="753" t="s">
        <v>373</v>
      </c>
      <c r="D11" s="753" t="s">
        <v>12</v>
      </c>
      <c r="E11" s="753" t="s">
        <v>50</v>
      </c>
      <c r="F11" s="753"/>
      <c r="G11" s="18"/>
    </row>
    <row r="12" spans="1:17" ht="35.450000000000003" customHeight="1" thickTop="1" thickBot="1" x14ac:dyDescent="0.25">
      <c r="A12" s="753"/>
      <c r="B12" s="753"/>
      <c r="C12" s="753"/>
      <c r="D12" s="754"/>
      <c r="E12" s="380" t="s">
        <v>374</v>
      </c>
      <c r="F12" s="380" t="s">
        <v>375</v>
      </c>
      <c r="G12" s="18"/>
    </row>
    <row r="13" spans="1:17" ht="14.25" thickTop="1" thickBot="1" x14ac:dyDescent="0.25">
      <c r="A13" s="381">
        <v>1</v>
      </c>
      <c r="B13" s="381">
        <v>2</v>
      </c>
      <c r="C13" s="381">
        <v>3</v>
      </c>
      <c r="D13" s="381">
        <v>4</v>
      </c>
      <c r="E13" s="381">
        <v>5</v>
      </c>
      <c r="F13" s="381">
        <v>6</v>
      </c>
      <c r="G13" s="18"/>
    </row>
    <row r="14" spans="1:17" ht="30.75" customHeight="1" thickTop="1" thickBot="1" x14ac:dyDescent="0.25">
      <c r="A14" s="755" t="s">
        <v>369</v>
      </c>
      <c r="B14" s="755"/>
      <c r="C14" s="756"/>
      <c r="D14" s="756"/>
      <c r="E14" s="756"/>
      <c r="F14" s="756"/>
      <c r="G14" s="18"/>
    </row>
    <row r="15" spans="1:17" ht="28.5" customHeight="1" thickTop="1" thickBot="1" x14ac:dyDescent="0.25">
      <c r="A15" s="653" t="s">
        <v>113</v>
      </c>
      <c r="B15" s="654" t="s">
        <v>114</v>
      </c>
      <c r="C15" s="653">
        <f>C16+C27+C20</f>
        <v>248798323.53</v>
      </c>
      <c r="D15" s="653">
        <f>D16+D27+D20</f>
        <v>46054132.089999214</v>
      </c>
      <c r="E15" s="653">
        <f>E16+E27+E20</f>
        <v>202744191.4400008</v>
      </c>
      <c r="F15" s="653">
        <f>F16+F27+F20</f>
        <v>196239988.90000078</v>
      </c>
      <c r="G15" s="709">
        <f>E15-F15</f>
        <v>6504202.5400000215</v>
      </c>
      <c r="H15" s="108"/>
      <c r="I15" s="108"/>
      <c r="J15" s="108"/>
      <c r="K15" s="108"/>
      <c r="L15" s="108"/>
      <c r="M15" s="108"/>
      <c r="N15" s="108"/>
      <c r="O15" s="108"/>
      <c r="P15" s="108"/>
      <c r="Q15" s="108"/>
    </row>
    <row r="16" spans="1:17" ht="15" hidden="1" thickTop="1" thickBot="1" x14ac:dyDescent="0.25">
      <c r="A16" s="325">
        <v>202000</v>
      </c>
      <c r="B16" s="326" t="s">
        <v>905</v>
      </c>
      <c r="C16" s="270">
        <f t="shared" ref="C16:C17" si="0">SUM(D16,E16)</f>
        <v>0</v>
      </c>
      <c r="D16" s="270">
        <f t="shared" ref="D16" si="1">D17</f>
        <v>0</v>
      </c>
      <c r="E16" s="270">
        <f>E17</f>
        <v>0</v>
      </c>
      <c r="F16" s="270">
        <f t="shared" ref="F16" si="2">F17</f>
        <v>0</v>
      </c>
      <c r="G16" s="269"/>
      <c r="H16" s="108"/>
      <c r="I16" s="108"/>
      <c r="J16" s="108"/>
      <c r="K16" s="108"/>
      <c r="L16" s="108"/>
      <c r="M16" s="108"/>
      <c r="N16" s="108"/>
      <c r="O16" s="108"/>
      <c r="P16" s="108"/>
      <c r="Q16" s="108"/>
    </row>
    <row r="17" spans="1:17" ht="14.25" hidden="1" thickTop="1" thickBot="1" x14ac:dyDescent="0.25">
      <c r="A17" s="356">
        <v>202200</v>
      </c>
      <c r="B17" s="357" t="s">
        <v>907</v>
      </c>
      <c r="C17" s="249">
        <f t="shared" si="0"/>
        <v>0</v>
      </c>
      <c r="D17" s="249">
        <f>SUM(D18:D19)</f>
        <v>0</v>
      </c>
      <c r="E17" s="249">
        <f>SUM(E18:E19)</f>
        <v>0</v>
      </c>
      <c r="F17" s="249">
        <f>SUM(F18:F19)</f>
        <v>0</v>
      </c>
      <c r="G17" s="269"/>
      <c r="H17" s="108"/>
      <c r="I17" s="108"/>
      <c r="J17" s="108"/>
      <c r="K17" s="108"/>
      <c r="L17" s="108"/>
      <c r="M17" s="108"/>
      <c r="N17" s="108"/>
      <c r="O17" s="108"/>
      <c r="P17" s="108"/>
      <c r="Q17" s="108"/>
    </row>
    <row r="18" spans="1:17" ht="14.25" hidden="1" thickTop="1" thickBot="1" x14ac:dyDescent="0.25">
      <c r="A18" s="271">
        <v>202210</v>
      </c>
      <c r="B18" s="272" t="s">
        <v>906</v>
      </c>
      <c r="C18" s="250">
        <f>SUM(D18,E18)</f>
        <v>0</v>
      </c>
      <c r="D18" s="249"/>
      <c r="E18" s="250">
        <v>0</v>
      </c>
      <c r="F18" s="250">
        <v>0</v>
      </c>
      <c r="G18" s="269"/>
      <c r="H18" s="108"/>
      <c r="I18" s="108"/>
      <c r="J18" s="108"/>
      <c r="K18" s="108"/>
      <c r="L18" s="108"/>
      <c r="M18" s="108"/>
      <c r="N18" s="108"/>
      <c r="O18" s="108"/>
      <c r="P18" s="108"/>
      <c r="Q18" s="108"/>
    </row>
    <row r="19" spans="1:17" ht="14.25" hidden="1" thickTop="1" thickBot="1" x14ac:dyDescent="0.25">
      <c r="A19" s="271">
        <v>202220</v>
      </c>
      <c r="B19" s="272" t="s">
        <v>349</v>
      </c>
      <c r="C19" s="250">
        <f>SUM(D19,E19)</f>
        <v>0</v>
      </c>
      <c r="D19" s="249"/>
      <c r="E19" s="250">
        <v>0</v>
      </c>
      <c r="F19" s="250">
        <v>0</v>
      </c>
      <c r="G19" s="269"/>
      <c r="H19" s="108"/>
      <c r="I19" s="108"/>
      <c r="J19" s="108"/>
      <c r="K19" s="108"/>
      <c r="L19" s="108"/>
      <c r="M19" s="108"/>
      <c r="N19" s="108"/>
      <c r="O19" s="108"/>
      <c r="P19" s="108"/>
      <c r="Q19" s="108"/>
    </row>
    <row r="20" spans="1:17" ht="32.25" customHeight="1" thickTop="1" thickBot="1" x14ac:dyDescent="0.25">
      <c r="A20" s="655">
        <v>206000</v>
      </c>
      <c r="B20" s="656" t="s">
        <v>1776</v>
      </c>
      <c r="C20" s="657">
        <f>C21+C24</f>
        <v>0</v>
      </c>
      <c r="D20" s="657">
        <f t="shared" ref="D20:F20" si="3">D21+D24</f>
        <v>0</v>
      </c>
      <c r="E20" s="657">
        <f t="shared" si="3"/>
        <v>0</v>
      </c>
      <c r="F20" s="657">
        <f t="shared" si="3"/>
        <v>0</v>
      </c>
      <c r="G20" s="269"/>
      <c r="H20" s="108"/>
      <c r="I20" s="108"/>
      <c r="J20" s="108"/>
      <c r="K20" s="108"/>
      <c r="L20" s="108"/>
      <c r="M20" s="108"/>
      <c r="N20" s="108"/>
      <c r="O20" s="108"/>
      <c r="P20" s="108"/>
      <c r="Q20" s="108"/>
    </row>
    <row r="21" spans="1:17" ht="53.25" customHeight="1" thickTop="1" thickBot="1" x14ac:dyDescent="0.25">
      <c r="A21" s="661">
        <v>206100</v>
      </c>
      <c r="B21" s="712" t="s">
        <v>1265</v>
      </c>
      <c r="C21" s="663">
        <f>SUM(C22:C23)</f>
        <v>150000000</v>
      </c>
      <c r="D21" s="663">
        <f t="shared" ref="D21:F21" si="4">SUM(D22:D23)</f>
        <v>150000000</v>
      </c>
      <c r="E21" s="663">
        <f t="shared" si="4"/>
        <v>0</v>
      </c>
      <c r="F21" s="663">
        <f t="shared" si="4"/>
        <v>0</v>
      </c>
      <c r="G21" s="269"/>
      <c r="H21" s="108"/>
      <c r="I21" s="108"/>
      <c r="J21" s="108"/>
      <c r="K21" s="108"/>
      <c r="L21" s="108"/>
      <c r="M21" s="108"/>
      <c r="N21" s="108"/>
      <c r="O21" s="108"/>
      <c r="P21" s="108"/>
      <c r="Q21" s="108"/>
    </row>
    <row r="22" spans="1:17" ht="28.5" customHeight="1" thickTop="1" thickBot="1" x14ac:dyDescent="0.25">
      <c r="A22" s="706">
        <v>206110</v>
      </c>
      <c r="B22" s="707" t="s">
        <v>1778</v>
      </c>
      <c r="C22" s="708">
        <f>D22+E22</f>
        <v>150000000</v>
      </c>
      <c r="D22" s="708">
        <v>150000000</v>
      </c>
      <c r="E22" s="708">
        <v>0</v>
      </c>
      <c r="F22" s="708">
        <v>0</v>
      </c>
      <c r="G22" s="269"/>
      <c r="H22" s="108"/>
      <c r="I22" s="108"/>
      <c r="J22" s="108"/>
      <c r="K22" s="108"/>
      <c r="L22" s="108"/>
      <c r="M22" s="108"/>
      <c r="N22" s="108"/>
      <c r="O22" s="108"/>
      <c r="P22" s="108"/>
      <c r="Q22" s="108"/>
    </row>
    <row r="23" spans="1:17" ht="36.75" hidden="1" customHeight="1" thickTop="1" thickBot="1" x14ac:dyDescent="0.25">
      <c r="A23" s="271">
        <v>206120</v>
      </c>
      <c r="B23" s="272" t="s">
        <v>1266</v>
      </c>
      <c r="C23" s="250">
        <f>D23+E23</f>
        <v>0</v>
      </c>
      <c r="D23" s="250"/>
      <c r="E23" s="250">
        <v>0</v>
      </c>
      <c r="F23" s="250">
        <v>0</v>
      </c>
      <c r="G23" s="269"/>
      <c r="H23" s="108"/>
      <c r="I23" s="108"/>
      <c r="J23" s="108"/>
      <c r="K23" s="108"/>
      <c r="L23" s="108"/>
      <c r="M23" s="108"/>
      <c r="N23" s="108"/>
      <c r="O23" s="108"/>
      <c r="P23" s="108"/>
      <c r="Q23" s="108"/>
    </row>
    <row r="24" spans="1:17" ht="35.25" customHeight="1" thickTop="1" thickBot="1" x14ac:dyDescent="0.25">
      <c r="A24" s="661">
        <v>206200</v>
      </c>
      <c r="B24" s="712" t="s">
        <v>1268</v>
      </c>
      <c r="C24" s="663">
        <f>SUM(C25:C26)</f>
        <v>-150000000</v>
      </c>
      <c r="D24" s="663">
        <f>SUM(D25:D26)</f>
        <v>-150000000</v>
      </c>
      <c r="E24" s="663">
        <f>SUM(E25:E26)</f>
        <v>0</v>
      </c>
      <c r="F24" s="663">
        <f>SUM(F25:F26)</f>
        <v>0</v>
      </c>
      <c r="G24" s="269"/>
      <c r="H24" s="108"/>
      <c r="I24" s="108"/>
      <c r="J24" s="108"/>
      <c r="K24" s="108"/>
      <c r="L24" s="108"/>
      <c r="M24" s="108"/>
      <c r="N24" s="108"/>
      <c r="O24" s="108"/>
      <c r="P24" s="108"/>
      <c r="Q24" s="108"/>
    </row>
    <row r="25" spans="1:17" ht="28.5" customHeight="1" thickTop="1" thickBot="1" x14ac:dyDescent="0.25">
      <c r="A25" s="706">
        <v>206210</v>
      </c>
      <c r="B25" s="707" t="s">
        <v>1777</v>
      </c>
      <c r="C25" s="708">
        <f>D25+E25</f>
        <v>-150000000</v>
      </c>
      <c r="D25" s="708">
        <v>-150000000</v>
      </c>
      <c r="E25" s="708">
        <v>0</v>
      </c>
      <c r="F25" s="708">
        <v>0</v>
      </c>
      <c r="G25" s="269"/>
      <c r="H25" s="108"/>
      <c r="I25" s="108"/>
      <c r="J25" s="108"/>
      <c r="K25" s="108"/>
      <c r="L25" s="108"/>
      <c r="M25" s="108"/>
      <c r="N25" s="108"/>
      <c r="O25" s="108"/>
      <c r="P25" s="108"/>
      <c r="Q25" s="108"/>
    </row>
    <row r="26" spans="1:17" ht="14.25" hidden="1" thickTop="1" thickBot="1" x14ac:dyDescent="0.25">
      <c r="A26" s="271">
        <v>206220</v>
      </c>
      <c r="B26" s="272" t="s">
        <v>1267</v>
      </c>
      <c r="C26" s="250">
        <f>D26+E26</f>
        <v>0</v>
      </c>
      <c r="D26" s="250">
        <v>0</v>
      </c>
      <c r="E26" s="250">
        <v>0</v>
      </c>
      <c r="F26" s="250">
        <v>0</v>
      </c>
      <c r="G26" s="269"/>
      <c r="H26" s="108"/>
      <c r="I26" s="108"/>
      <c r="J26" s="108"/>
      <c r="K26" s="108"/>
      <c r="L26" s="108"/>
      <c r="M26" s="108"/>
      <c r="N26" s="108"/>
      <c r="O26" s="108"/>
      <c r="P26" s="108"/>
      <c r="Q26" s="108"/>
    </row>
    <row r="27" spans="1:17" ht="28.5" thickTop="1" thickBot="1" x14ac:dyDescent="0.25">
      <c r="A27" s="655">
        <v>208000</v>
      </c>
      <c r="B27" s="656" t="s">
        <v>909</v>
      </c>
      <c r="C27" s="657">
        <f>(C28-C29)+C33+C30</f>
        <v>248798323.53</v>
      </c>
      <c r="D27" s="657">
        <f>(D28-D29)+D33+D30</f>
        <v>46054132.089999214</v>
      </c>
      <c r="E27" s="657">
        <f>(E28-E29)+E33+E30</f>
        <v>202744191.4400008</v>
      </c>
      <c r="F27" s="657">
        <f>(F28-F29)+F33+F30</f>
        <v>196239988.90000078</v>
      </c>
      <c r="G27" s="652">
        <f>E27-F27</f>
        <v>6504202.5400000215</v>
      </c>
      <c r="H27" s="652">
        <f>D28-D29</f>
        <v>240786374.09999999</v>
      </c>
      <c r="I27" s="652">
        <f>E28-E29</f>
        <v>8011949.4300000006</v>
      </c>
      <c r="J27" s="652">
        <f>F28-F29</f>
        <v>235001.1</v>
      </c>
      <c r="K27" s="108"/>
      <c r="L27" s="108"/>
      <c r="M27" s="108"/>
      <c r="N27" s="108"/>
      <c r="O27" s="108"/>
      <c r="P27" s="108"/>
      <c r="Q27" s="108"/>
    </row>
    <row r="28" spans="1:17" ht="29.25" customHeight="1" thickTop="1" thickBot="1" x14ac:dyDescent="0.25">
      <c r="A28" s="655" t="s">
        <v>115</v>
      </c>
      <c r="B28" s="658" t="s">
        <v>116</v>
      </c>
      <c r="C28" s="657">
        <f t="shared" ref="C28:C33" si="5">SUM(D28,E28)</f>
        <v>249305818.96000001</v>
      </c>
      <c r="D28" s="657">
        <f>241209992.35</f>
        <v>241209992.34999999</v>
      </c>
      <c r="E28" s="657">
        <v>8095826.6100000003</v>
      </c>
      <c r="F28" s="657">
        <v>235001.1</v>
      </c>
      <c r="G28" s="652">
        <f>C28-C29</f>
        <v>248798323.53</v>
      </c>
      <c r="H28" s="108"/>
      <c r="I28" s="108"/>
      <c r="J28" s="108"/>
      <c r="K28" s="108"/>
      <c r="L28" s="108"/>
      <c r="M28" s="108"/>
      <c r="N28" s="108"/>
      <c r="O28" s="108"/>
      <c r="P28" s="108"/>
      <c r="Q28" s="108"/>
    </row>
    <row r="29" spans="1:17" ht="33.75" customHeight="1" thickTop="1" thickBot="1" x14ac:dyDescent="0.25">
      <c r="A29" s="655">
        <v>208200</v>
      </c>
      <c r="B29" s="658" t="s">
        <v>1419</v>
      </c>
      <c r="C29" s="657">
        <f t="shared" si="5"/>
        <v>507495.43000000005</v>
      </c>
      <c r="D29" s="657">
        <f>400000+23618.25</f>
        <v>423618.25</v>
      </c>
      <c r="E29" s="657">
        <f>(1052377.32-1000000)+6862.8+3000+21637.06</f>
        <v>83877.180000000066</v>
      </c>
      <c r="F29" s="657">
        <v>0</v>
      </c>
      <c r="G29" s="358"/>
      <c r="H29" s="108"/>
      <c r="I29" s="108"/>
      <c r="J29" s="108"/>
      <c r="K29" s="108"/>
      <c r="L29" s="108"/>
      <c r="M29" s="108"/>
      <c r="N29" s="108"/>
      <c r="O29" s="108"/>
      <c r="P29" s="108"/>
      <c r="Q29" s="108"/>
    </row>
    <row r="30" spans="1:17" ht="24.75" customHeight="1" thickTop="1" thickBot="1" x14ac:dyDescent="0.25">
      <c r="A30" s="655">
        <v>208300</v>
      </c>
      <c r="B30" s="658" t="s">
        <v>912</v>
      </c>
      <c r="C30" s="657">
        <f t="shared" si="5"/>
        <v>0</v>
      </c>
      <c r="D30" s="657">
        <f>SUM(D31:D32)</f>
        <v>1507746.8900000001</v>
      </c>
      <c r="E30" s="657">
        <f>E31</f>
        <v>-1507746.89</v>
      </c>
      <c r="F30" s="657">
        <f>F31</f>
        <v>-235001.1</v>
      </c>
      <c r="G30" s="269"/>
      <c r="H30" s="108"/>
      <c r="I30" s="108"/>
      <c r="J30" s="108"/>
      <c r="K30" s="108"/>
      <c r="L30" s="108"/>
      <c r="M30" s="108"/>
      <c r="N30" s="108"/>
      <c r="O30" s="108"/>
      <c r="P30" s="108"/>
      <c r="Q30" s="108"/>
    </row>
    <row r="31" spans="1:17" ht="27" thickTop="1" thickBot="1" x14ac:dyDescent="0.25">
      <c r="A31" s="706">
        <v>208320</v>
      </c>
      <c r="B31" s="707" t="s">
        <v>1768</v>
      </c>
      <c r="C31" s="657">
        <f t="shared" si="5"/>
        <v>0</v>
      </c>
      <c r="D31" s="708">
        <f>235001.1+1272745.79</f>
        <v>1507746.8900000001</v>
      </c>
      <c r="E31" s="708">
        <v>-1507746.89</v>
      </c>
      <c r="F31" s="708">
        <v>-235001.1</v>
      </c>
      <c r="G31" s="269"/>
      <c r="H31" s="108"/>
      <c r="I31" s="935">
        <f>'d3'!E469+'d4'!N29-'d1'!D161</f>
        <v>46054132.089999199</v>
      </c>
      <c r="J31" s="935">
        <f>'d4'!O29+'d3'!J469-'d1'!E161</f>
        <v>199747653.05999994</v>
      </c>
      <c r="K31" s="108"/>
      <c r="L31" s="108"/>
      <c r="M31" s="108"/>
      <c r="N31" s="108"/>
      <c r="O31" s="108"/>
      <c r="P31" s="108"/>
      <c r="Q31" s="108"/>
    </row>
    <row r="32" spans="1:17" ht="15" hidden="1" thickTop="1" thickBot="1" x14ac:dyDescent="0.25">
      <c r="A32" s="706">
        <v>208340</v>
      </c>
      <c r="B32" s="707" t="s">
        <v>912</v>
      </c>
      <c r="C32" s="657">
        <f t="shared" si="5"/>
        <v>0</v>
      </c>
      <c r="D32" s="708">
        <v>0</v>
      </c>
      <c r="E32" s="708">
        <v>0</v>
      </c>
      <c r="F32" s="708">
        <v>0</v>
      </c>
      <c r="G32" s="269"/>
      <c r="H32" s="108"/>
      <c r="I32" s="108"/>
      <c r="J32" s="108"/>
      <c r="K32" s="108"/>
      <c r="L32" s="108"/>
      <c r="M32" s="108"/>
      <c r="N32" s="108"/>
      <c r="O32" s="108"/>
      <c r="P32" s="108"/>
      <c r="Q32" s="108"/>
    </row>
    <row r="33" spans="1:17" ht="28.5" thickTop="1" thickBot="1" x14ac:dyDescent="0.25">
      <c r="A33" s="655">
        <v>208400</v>
      </c>
      <c r="B33" s="658" t="s">
        <v>117</v>
      </c>
      <c r="C33" s="657">
        <f t="shared" si="5"/>
        <v>0</v>
      </c>
      <c r="D33" s="657">
        <f>'d3'!E469-'d1'!D161+'d4'!N29+(-D20)+(-D28-(-D29)-D30)</f>
        <v>-196239988.90000078</v>
      </c>
      <c r="E33" s="657">
        <f>-D33</f>
        <v>196239988.90000078</v>
      </c>
      <c r="F33" s="657">
        <f>E33</f>
        <v>196239988.90000078</v>
      </c>
      <c r="G33" s="652">
        <f>('d3'!J469+'d4'!O29)-('d1'!E161+E34+E28-E29+E30)</f>
        <v>196239988.89999992</v>
      </c>
      <c r="H33" s="108">
        <f>'d3'!K469-'d1'!F161+(-'d2'!E35)</f>
        <v>195494117.90000001</v>
      </c>
      <c r="I33" s="108"/>
      <c r="J33" s="108"/>
      <c r="K33" s="108"/>
      <c r="L33" s="108"/>
      <c r="M33" s="108"/>
      <c r="N33" s="108"/>
      <c r="O33" s="108"/>
      <c r="P33" s="108"/>
      <c r="Q33" s="108"/>
    </row>
    <row r="34" spans="1:17" ht="36.75" customHeight="1" thickTop="1" thickBot="1" x14ac:dyDescent="0.25">
      <c r="A34" s="557">
        <v>300000</v>
      </c>
      <c r="B34" s="558" t="s">
        <v>346</v>
      </c>
      <c r="C34" s="559">
        <f>C35</f>
        <v>-2996538.38</v>
      </c>
      <c r="D34" s="559">
        <f>D35</f>
        <v>0</v>
      </c>
      <c r="E34" s="559">
        <f>E35</f>
        <v>-2996538.38</v>
      </c>
      <c r="F34" s="559">
        <f>F35</f>
        <v>-2996538.38</v>
      </c>
      <c r="G34" s="107"/>
      <c r="H34" s="108">
        <f>G33-H33</f>
        <v>745870.99999991059</v>
      </c>
      <c r="I34" s="108"/>
      <c r="J34" s="108"/>
      <c r="K34" s="108"/>
      <c r="L34" s="108"/>
      <c r="M34" s="108"/>
      <c r="N34" s="108"/>
      <c r="O34" s="108"/>
      <c r="P34" s="108"/>
      <c r="Q34" s="108"/>
    </row>
    <row r="35" spans="1:17" ht="43.5" customHeight="1" thickTop="1" thickBot="1" x14ac:dyDescent="0.25">
      <c r="A35" s="554">
        <v>301000</v>
      </c>
      <c r="B35" s="555" t="s">
        <v>347</v>
      </c>
      <c r="C35" s="556">
        <f>C36+C37</f>
        <v>-2996538.38</v>
      </c>
      <c r="D35" s="556">
        <f>D36+D37</f>
        <v>0</v>
      </c>
      <c r="E35" s="556">
        <f>E36+E37</f>
        <v>-2996538.38</v>
      </c>
      <c r="F35" s="556">
        <f>F36+F37</f>
        <v>-2996538.38</v>
      </c>
      <c r="G35" s="107">
        <f>'d1'!D161+'d2'!H35+D31</f>
        <v>5961619213.9900007</v>
      </c>
      <c r="H35" s="108">
        <f>D28-D29</f>
        <v>240786374.09999999</v>
      </c>
      <c r="I35" s="108">
        <f>G35-'d3'!E469</f>
        <v>196239988.90000153</v>
      </c>
      <c r="J35" s="108"/>
      <c r="K35" s="108"/>
      <c r="L35" s="108"/>
      <c r="M35" s="108"/>
      <c r="N35" s="108"/>
      <c r="O35" s="108"/>
      <c r="P35" s="108"/>
      <c r="Q35" s="108"/>
    </row>
    <row r="36" spans="1:17" ht="27.75" customHeight="1" thickTop="1" thickBot="1" x14ac:dyDescent="0.25">
      <c r="A36" s="551">
        <v>301100</v>
      </c>
      <c r="B36" s="552" t="s">
        <v>348</v>
      </c>
      <c r="C36" s="553">
        <f>SUM(D36,E36)</f>
        <v>0</v>
      </c>
      <c r="D36" s="553"/>
      <c r="E36" s="553">
        <v>0</v>
      </c>
      <c r="F36" s="553">
        <v>0</v>
      </c>
      <c r="G36" s="107"/>
      <c r="H36" s="108"/>
      <c r="I36" s="108">
        <f>E33-I35</f>
        <v>-7.4505805969238281E-7</v>
      </c>
      <c r="J36" s="108"/>
      <c r="K36" s="108"/>
      <c r="L36" s="108"/>
      <c r="M36" s="108"/>
      <c r="N36" s="108"/>
      <c r="O36" s="108"/>
      <c r="P36" s="108"/>
      <c r="Q36" s="108"/>
    </row>
    <row r="37" spans="1:17" ht="33.75" customHeight="1" thickTop="1" thickBot="1" x14ac:dyDescent="0.25">
      <c r="A37" s="551">
        <v>301200</v>
      </c>
      <c r="B37" s="552" t="s">
        <v>349</v>
      </c>
      <c r="C37" s="553">
        <f>SUM(D37,E37)</f>
        <v>-2996538.38</v>
      </c>
      <c r="D37" s="553"/>
      <c r="E37" s="553">
        <v>-2996538.38</v>
      </c>
      <c r="F37" s="553">
        <v>-2996538.38</v>
      </c>
      <c r="G37" s="107"/>
      <c r="H37" s="108"/>
      <c r="I37" s="108"/>
      <c r="J37" s="108"/>
      <c r="K37" s="108"/>
      <c r="L37" s="108"/>
      <c r="M37" s="108"/>
      <c r="N37" s="108"/>
      <c r="O37" s="108"/>
      <c r="P37" s="108"/>
      <c r="Q37" s="108"/>
    </row>
    <row r="38" spans="1:17" ht="24" customHeight="1" thickTop="1" thickBot="1" x14ac:dyDescent="0.25">
      <c r="A38" s="382" t="s">
        <v>371</v>
      </c>
      <c r="B38" s="383" t="s">
        <v>370</v>
      </c>
      <c r="C38" s="384">
        <f>C15+C34</f>
        <v>245801785.15000001</v>
      </c>
      <c r="D38" s="384">
        <f>D15+D34</f>
        <v>46054132.089999214</v>
      </c>
      <c r="E38" s="384">
        <f>E15+E34</f>
        <v>199747653.06000081</v>
      </c>
      <c r="F38" s="384">
        <f>F15+F34</f>
        <v>193243450.52000079</v>
      </c>
      <c r="G38" s="709">
        <f>E38-F38</f>
        <v>6504202.5400000215</v>
      </c>
      <c r="H38" s="108"/>
      <c r="I38" s="108"/>
      <c r="J38" s="108"/>
      <c r="K38" s="108"/>
      <c r="L38" s="108"/>
      <c r="M38" s="108"/>
      <c r="N38" s="108"/>
      <c r="O38" s="108"/>
      <c r="P38" s="108"/>
      <c r="Q38" s="108"/>
    </row>
    <row r="39" spans="1:17" ht="35.450000000000003" customHeight="1" thickTop="1" thickBot="1" x14ac:dyDescent="0.25">
      <c r="A39" s="755" t="s">
        <v>372</v>
      </c>
      <c r="B39" s="755"/>
      <c r="C39" s="756"/>
      <c r="D39" s="756"/>
      <c r="E39" s="756"/>
      <c r="F39" s="756"/>
      <c r="G39" s="107"/>
      <c r="H39" s="108"/>
      <c r="I39" s="108"/>
      <c r="J39" s="108"/>
      <c r="K39" s="108"/>
      <c r="L39" s="108"/>
      <c r="M39" s="108"/>
      <c r="N39" s="108"/>
      <c r="O39" s="108"/>
      <c r="P39" s="108"/>
      <c r="Q39" s="108"/>
    </row>
    <row r="40" spans="1:17" ht="31.5" customHeight="1" thickTop="1" thickBot="1" x14ac:dyDescent="0.25">
      <c r="A40" s="557">
        <v>400000</v>
      </c>
      <c r="B40" s="558" t="s">
        <v>118</v>
      </c>
      <c r="C40" s="559">
        <f>C41+C46</f>
        <v>-2996538.38</v>
      </c>
      <c r="D40" s="559">
        <f>D41+D46</f>
        <v>0</v>
      </c>
      <c r="E40" s="559">
        <f>E41+E46</f>
        <v>-2996538.38</v>
      </c>
      <c r="F40" s="559">
        <f>F41+F46</f>
        <v>-2996538.38</v>
      </c>
      <c r="G40" s="107"/>
      <c r="H40" s="108"/>
      <c r="I40" s="108"/>
      <c r="J40" s="108"/>
      <c r="K40" s="108"/>
      <c r="L40" s="108"/>
      <c r="M40" s="108"/>
      <c r="N40" s="108"/>
      <c r="O40" s="108"/>
      <c r="P40" s="108"/>
      <c r="Q40" s="108"/>
    </row>
    <row r="41" spans="1:17" ht="15" hidden="1" thickTop="1" thickBot="1" x14ac:dyDescent="0.25">
      <c r="A41" s="325">
        <v>401000</v>
      </c>
      <c r="B41" s="326" t="s">
        <v>119</v>
      </c>
      <c r="C41" s="270">
        <f>C42+C44</f>
        <v>0</v>
      </c>
      <c r="D41" s="270">
        <f>D42+D44</f>
        <v>0</v>
      </c>
      <c r="E41" s="270">
        <f>E42+E44</f>
        <v>0</v>
      </c>
      <c r="F41" s="270">
        <f>F42+F44</f>
        <v>0</v>
      </c>
      <c r="G41" s="107"/>
      <c r="H41" s="108"/>
      <c r="I41" s="108"/>
      <c r="J41" s="108"/>
      <c r="K41" s="108"/>
      <c r="L41" s="108"/>
      <c r="M41" s="108"/>
      <c r="N41" s="108"/>
      <c r="O41" s="108"/>
      <c r="P41" s="108"/>
      <c r="Q41" s="108"/>
    </row>
    <row r="42" spans="1:17" ht="14.25" hidden="1" thickTop="1" thickBot="1" x14ac:dyDescent="0.25">
      <c r="A42" s="273">
        <v>401100</v>
      </c>
      <c r="B42" s="275" t="s">
        <v>908</v>
      </c>
      <c r="C42" s="274">
        <f>C43</f>
        <v>0</v>
      </c>
      <c r="D42" s="274">
        <f>D43</f>
        <v>0</v>
      </c>
      <c r="E42" s="274">
        <f>E43</f>
        <v>0</v>
      </c>
      <c r="F42" s="274">
        <f>F43</f>
        <v>0</v>
      </c>
      <c r="G42" s="107"/>
      <c r="H42" s="108"/>
      <c r="I42" s="108"/>
      <c r="J42" s="108"/>
      <c r="K42" s="108"/>
      <c r="L42" s="108"/>
      <c r="M42" s="108"/>
      <c r="N42" s="108"/>
      <c r="O42" s="108"/>
      <c r="P42" s="108"/>
      <c r="Q42" s="108"/>
    </row>
    <row r="43" spans="1:17" ht="14.25" hidden="1" thickTop="1" thickBot="1" x14ac:dyDescent="0.25">
      <c r="A43" s="271">
        <v>401101</v>
      </c>
      <c r="B43" s="272" t="s">
        <v>903</v>
      </c>
      <c r="C43" s="250">
        <f>SUM(D43,E43)</f>
        <v>0</v>
      </c>
      <c r="D43" s="249"/>
      <c r="E43" s="250">
        <v>0</v>
      </c>
      <c r="F43" s="250">
        <v>0</v>
      </c>
      <c r="G43" s="107"/>
      <c r="H43" s="108"/>
      <c r="I43" s="108"/>
      <c r="J43" s="108"/>
      <c r="K43" s="108"/>
      <c r="L43" s="108"/>
      <c r="M43" s="108"/>
      <c r="N43" s="108"/>
      <c r="O43" s="108"/>
      <c r="P43" s="108"/>
      <c r="Q43" s="108"/>
    </row>
    <row r="44" spans="1:17" s="4" customFormat="1" ht="14.25" hidden="1" thickTop="1" thickBot="1" x14ac:dyDescent="0.25">
      <c r="A44" s="273">
        <v>401200</v>
      </c>
      <c r="B44" s="275" t="s">
        <v>350</v>
      </c>
      <c r="C44" s="274">
        <f>SUM(D44,E44)</f>
        <v>0</v>
      </c>
      <c r="D44" s="274"/>
      <c r="E44" s="274">
        <f>E45</f>
        <v>0</v>
      </c>
      <c r="F44" s="274">
        <f>F45</f>
        <v>0</v>
      </c>
      <c r="G44" s="112"/>
      <c r="H44" s="113"/>
      <c r="I44" s="113"/>
      <c r="J44" s="113"/>
      <c r="K44" s="113"/>
      <c r="L44" s="113"/>
      <c r="M44" s="113"/>
      <c r="N44" s="113"/>
      <c r="O44" s="113"/>
      <c r="P44" s="113"/>
      <c r="Q44" s="113"/>
    </row>
    <row r="45" spans="1:17" ht="14.25" hidden="1" thickTop="1" thickBot="1" x14ac:dyDescent="0.25">
      <c r="A45" s="271">
        <v>401201</v>
      </c>
      <c r="B45" s="272" t="s">
        <v>903</v>
      </c>
      <c r="C45" s="250">
        <f>SUM(D45,E45)</f>
        <v>0</v>
      </c>
      <c r="D45" s="249"/>
      <c r="E45" s="250">
        <f>E36</f>
        <v>0</v>
      </c>
      <c r="F45" s="250">
        <f>F36</f>
        <v>0</v>
      </c>
      <c r="G45" s="107"/>
      <c r="H45" s="108"/>
      <c r="I45" s="108"/>
      <c r="J45" s="108"/>
      <c r="K45" s="108"/>
      <c r="L45" s="108"/>
      <c r="M45" s="108"/>
      <c r="N45" s="108"/>
      <c r="O45" s="108"/>
      <c r="P45" s="108"/>
      <c r="Q45" s="108"/>
    </row>
    <row r="46" spans="1:17" s="4" customFormat="1" ht="27" customHeight="1" thickTop="1" thickBot="1" x14ac:dyDescent="0.25">
      <c r="A46" s="554">
        <v>402000</v>
      </c>
      <c r="B46" s="555" t="s">
        <v>351</v>
      </c>
      <c r="C46" s="556">
        <f>C49+C47</f>
        <v>-2996538.38</v>
      </c>
      <c r="D46" s="556">
        <f>D49+D47</f>
        <v>0</v>
      </c>
      <c r="E46" s="556">
        <f>E49+E47</f>
        <v>-2996538.38</v>
      </c>
      <c r="F46" s="556">
        <f>F49+F47</f>
        <v>-2996538.38</v>
      </c>
      <c r="G46" s="112"/>
      <c r="H46" s="113"/>
      <c r="I46" s="113"/>
      <c r="J46" s="113"/>
      <c r="K46" s="113"/>
      <c r="L46" s="113"/>
      <c r="M46" s="113"/>
      <c r="N46" s="113"/>
      <c r="O46" s="113"/>
      <c r="P46" s="113"/>
      <c r="Q46" s="113"/>
    </row>
    <row r="47" spans="1:17" s="4" customFormat="1" ht="14.25" hidden="1" thickTop="1" thickBot="1" x14ac:dyDescent="0.25">
      <c r="A47" s="273">
        <v>402100</v>
      </c>
      <c r="B47" s="275" t="s">
        <v>948</v>
      </c>
      <c r="C47" s="274">
        <f>C48</f>
        <v>0</v>
      </c>
      <c r="D47" s="274">
        <f>D48</f>
        <v>0</v>
      </c>
      <c r="E47" s="274">
        <f>E48</f>
        <v>0</v>
      </c>
      <c r="F47" s="274">
        <f>F48</f>
        <v>0</v>
      </c>
      <c r="G47" s="112"/>
      <c r="H47" s="113"/>
      <c r="I47" s="113"/>
      <c r="J47" s="113"/>
      <c r="K47" s="113"/>
      <c r="L47" s="113"/>
      <c r="M47" s="113"/>
      <c r="N47" s="113"/>
      <c r="O47" s="113"/>
      <c r="P47" s="113"/>
      <c r="Q47" s="113"/>
    </row>
    <row r="48" spans="1:17" s="4" customFormat="1" ht="14.25" hidden="1" thickTop="1" thickBot="1" x14ac:dyDescent="0.25">
      <c r="A48" s="271">
        <v>402101</v>
      </c>
      <c r="B48" s="272" t="s">
        <v>903</v>
      </c>
      <c r="C48" s="250">
        <f>SUM(D48,E48)</f>
        <v>0</v>
      </c>
      <c r="D48" s="249"/>
      <c r="E48" s="250">
        <v>0</v>
      </c>
      <c r="F48" s="250">
        <v>0</v>
      </c>
      <c r="G48" s="112"/>
      <c r="H48" s="113"/>
      <c r="I48" s="113"/>
      <c r="J48" s="113"/>
      <c r="K48" s="113"/>
      <c r="L48" s="113"/>
      <c r="M48" s="113"/>
      <c r="N48" s="113"/>
      <c r="O48" s="113"/>
      <c r="P48" s="113"/>
      <c r="Q48" s="113"/>
    </row>
    <row r="49" spans="1:17" s="4" customFormat="1" ht="23.25" customHeight="1" thickTop="1" thickBot="1" x14ac:dyDescent="0.25">
      <c r="A49" s="560">
        <v>402200</v>
      </c>
      <c r="B49" s="561" t="s">
        <v>902</v>
      </c>
      <c r="C49" s="562">
        <f>SUM(C50,C51)</f>
        <v>-2996538.38</v>
      </c>
      <c r="D49" s="562"/>
      <c r="E49" s="562">
        <f>SUM(E50,E51)</f>
        <v>-2996538.38</v>
      </c>
      <c r="F49" s="562">
        <f>SUM(F50,F51)</f>
        <v>-2996538.38</v>
      </c>
      <c r="G49" s="112"/>
      <c r="H49" s="113"/>
      <c r="I49" s="113"/>
      <c r="J49" s="113"/>
      <c r="K49" s="113"/>
      <c r="L49" s="113"/>
      <c r="M49" s="113"/>
      <c r="N49" s="113"/>
      <c r="O49" s="113"/>
      <c r="P49" s="113"/>
      <c r="Q49" s="113"/>
    </row>
    <row r="50" spans="1:17" s="4" customFormat="1" ht="19.5" customHeight="1" thickTop="1" thickBot="1" x14ac:dyDescent="0.25">
      <c r="A50" s="551">
        <v>402201</v>
      </c>
      <c r="B50" s="552" t="s">
        <v>903</v>
      </c>
      <c r="C50" s="553">
        <f>SUM(D50,E50)</f>
        <v>-2996538.38</v>
      </c>
      <c r="D50" s="559"/>
      <c r="E50" s="553">
        <f>E37</f>
        <v>-2996538.38</v>
      </c>
      <c r="F50" s="553">
        <f>F37</f>
        <v>-2996538.38</v>
      </c>
      <c r="G50" s="112"/>
      <c r="H50" s="113"/>
      <c r="I50" s="113"/>
      <c r="J50" s="113"/>
      <c r="K50" s="113"/>
      <c r="L50" s="113"/>
      <c r="M50" s="113"/>
      <c r="N50" s="113"/>
      <c r="O50" s="113"/>
      <c r="P50" s="113"/>
      <c r="Q50" s="113"/>
    </row>
    <row r="51" spans="1:17" ht="14.25" hidden="1" thickTop="1" thickBot="1" x14ac:dyDescent="0.25">
      <c r="A51" s="109">
        <v>402202</v>
      </c>
      <c r="B51" s="110" t="s">
        <v>904</v>
      </c>
      <c r="C51" s="111">
        <f>SUM(D51,E51)</f>
        <v>0</v>
      </c>
      <c r="D51" s="249"/>
      <c r="E51" s="250">
        <v>0</v>
      </c>
      <c r="F51" s="111">
        <v>0</v>
      </c>
      <c r="G51" s="107"/>
      <c r="H51" s="108"/>
      <c r="I51" s="108"/>
      <c r="J51" s="108"/>
      <c r="K51" s="108"/>
      <c r="L51" s="108"/>
      <c r="M51" s="108"/>
      <c r="N51" s="108"/>
      <c r="O51" s="108"/>
      <c r="P51" s="108"/>
      <c r="Q51" s="108"/>
    </row>
    <row r="52" spans="1:17" ht="24" customHeight="1" thickTop="1" thickBot="1" x14ac:dyDescent="0.25">
      <c r="A52" s="659" t="s">
        <v>120</v>
      </c>
      <c r="B52" s="660" t="s">
        <v>121</v>
      </c>
      <c r="C52" s="653">
        <f>C60+C53</f>
        <v>248798323.53</v>
      </c>
      <c r="D52" s="653">
        <f t="shared" ref="D52:F52" si="6">D60+D53</f>
        <v>46054132.089999214</v>
      </c>
      <c r="E52" s="653">
        <f t="shared" si="6"/>
        <v>202744191.4400008</v>
      </c>
      <c r="F52" s="653">
        <f t="shared" si="6"/>
        <v>196239988.90000078</v>
      </c>
      <c r="G52" s="107"/>
      <c r="H52" s="108"/>
      <c r="I52" s="108"/>
      <c r="J52" s="108"/>
      <c r="K52" s="108"/>
      <c r="L52" s="108"/>
      <c r="M52" s="108"/>
      <c r="N52" s="108"/>
      <c r="O52" s="108"/>
      <c r="P52" s="108"/>
      <c r="Q52" s="108"/>
    </row>
    <row r="53" spans="1:17" ht="33.75" customHeight="1" thickTop="1" thickBot="1" x14ac:dyDescent="0.25">
      <c r="A53" s="655">
        <v>601000</v>
      </c>
      <c r="B53" s="658" t="s">
        <v>1776</v>
      </c>
      <c r="C53" s="657">
        <f>C54+C57</f>
        <v>0</v>
      </c>
      <c r="D53" s="657">
        <f t="shared" ref="D53:F53" si="7">D54+D57</f>
        <v>0</v>
      </c>
      <c r="E53" s="657">
        <f t="shared" si="7"/>
        <v>0</v>
      </c>
      <c r="F53" s="657">
        <f t="shared" si="7"/>
        <v>0</v>
      </c>
      <c r="G53" s="107"/>
      <c r="H53" s="108"/>
      <c r="I53" s="108"/>
      <c r="J53" s="108"/>
      <c r="K53" s="108"/>
      <c r="L53" s="108"/>
      <c r="M53" s="108"/>
      <c r="N53" s="108"/>
      <c r="O53" s="108"/>
      <c r="P53" s="108"/>
      <c r="Q53" s="108"/>
    </row>
    <row r="54" spans="1:17" ht="39.75" thickTop="1" thickBot="1" x14ac:dyDescent="0.25">
      <c r="A54" s="661">
        <v>601100</v>
      </c>
      <c r="B54" s="662" t="s">
        <v>1265</v>
      </c>
      <c r="C54" s="663">
        <f>SUM(C55:C56)</f>
        <v>150000000</v>
      </c>
      <c r="D54" s="663">
        <f t="shared" ref="D54:F54" si="8">SUM(D55:D56)</f>
        <v>150000000</v>
      </c>
      <c r="E54" s="663">
        <f t="shared" si="8"/>
        <v>0</v>
      </c>
      <c r="F54" s="663">
        <f t="shared" si="8"/>
        <v>0</v>
      </c>
      <c r="G54" s="107"/>
      <c r="H54" s="108"/>
      <c r="I54" s="108"/>
      <c r="J54" s="108"/>
      <c r="K54" s="108"/>
      <c r="L54" s="108"/>
      <c r="M54" s="108"/>
      <c r="N54" s="108"/>
      <c r="O54" s="108"/>
      <c r="P54" s="108"/>
      <c r="Q54" s="108"/>
    </row>
    <row r="55" spans="1:17" ht="27" customHeight="1" thickTop="1" thickBot="1" x14ac:dyDescent="0.25">
      <c r="A55" s="706">
        <v>601110</v>
      </c>
      <c r="B55" s="707" t="s">
        <v>1778</v>
      </c>
      <c r="C55" s="708">
        <f>D55+E55</f>
        <v>150000000</v>
      </c>
      <c r="D55" s="708">
        <f>D22</f>
        <v>150000000</v>
      </c>
      <c r="E55" s="708">
        <f>E22</f>
        <v>0</v>
      </c>
      <c r="F55" s="708">
        <f>F22</f>
        <v>0</v>
      </c>
      <c r="G55" s="107"/>
      <c r="H55" s="108"/>
      <c r="I55" s="108"/>
      <c r="J55" s="108"/>
      <c r="K55" s="108"/>
      <c r="L55" s="108"/>
      <c r="M55" s="108"/>
      <c r="N55" s="108"/>
      <c r="O55" s="108"/>
      <c r="P55" s="108"/>
      <c r="Q55" s="108"/>
    </row>
    <row r="56" spans="1:17" ht="27" hidden="1" thickTop="1" thickBot="1" x14ac:dyDescent="0.25">
      <c r="A56" s="271">
        <v>601120</v>
      </c>
      <c r="B56" s="272" t="s">
        <v>1266</v>
      </c>
      <c r="C56" s="250">
        <f>D56+E56</f>
        <v>0</v>
      </c>
      <c r="D56" s="250">
        <v>0</v>
      </c>
      <c r="E56" s="250">
        <v>0</v>
      </c>
      <c r="F56" s="250">
        <v>0</v>
      </c>
      <c r="G56" s="107"/>
      <c r="H56" s="108"/>
      <c r="I56" s="108"/>
      <c r="J56" s="108"/>
      <c r="K56" s="108"/>
      <c r="L56" s="108"/>
      <c r="M56" s="108"/>
      <c r="N56" s="108"/>
      <c r="O56" s="108"/>
      <c r="P56" s="108"/>
      <c r="Q56" s="108"/>
    </row>
    <row r="57" spans="1:17" ht="30.75" customHeight="1" thickTop="1" thickBot="1" x14ac:dyDescent="0.25">
      <c r="A57" s="661">
        <v>601200</v>
      </c>
      <c r="B57" s="662" t="s">
        <v>1268</v>
      </c>
      <c r="C57" s="663">
        <f>SUM(C58:C59)</f>
        <v>-150000000</v>
      </c>
      <c r="D57" s="663">
        <f t="shared" ref="D57:F57" si="9">SUM(D58:D59)</f>
        <v>-150000000</v>
      </c>
      <c r="E57" s="663">
        <f t="shared" si="9"/>
        <v>0</v>
      </c>
      <c r="F57" s="663">
        <f t="shared" si="9"/>
        <v>0</v>
      </c>
      <c r="G57" s="107"/>
      <c r="H57" s="108"/>
      <c r="I57" s="108"/>
      <c r="J57" s="108"/>
      <c r="K57" s="108"/>
      <c r="L57" s="108"/>
      <c r="M57" s="108"/>
      <c r="N57" s="108"/>
      <c r="O57" s="108"/>
      <c r="P57" s="108"/>
      <c r="Q57" s="108"/>
    </row>
    <row r="58" spans="1:17" ht="27.75" customHeight="1" thickTop="1" thickBot="1" x14ac:dyDescent="0.25">
      <c r="A58" s="706">
        <v>601210</v>
      </c>
      <c r="B58" s="707" t="s">
        <v>1777</v>
      </c>
      <c r="C58" s="708">
        <f>D58+E58</f>
        <v>-150000000</v>
      </c>
      <c r="D58" s="708">
        <f>D25</f>
        <v>-150000000</v>
      </c>
      <c r="E58" s="708">
        <f>E25</f>
        <v>0</v>
      </c>
      <c r="F58" s="708">
        <f>F25</f>
        <v>0</v>
      </c>
      <c r="G58" s="107"/>
      <c r="H58" s="108"/>
      <c r="I58" s="108"/>
      <c r="J58" s="108"/>
      <c r="K58" s="108"/>
      <c r="L58" s="108"/>
      <c r="M58" s="108"/>
      <c r="N58" s="108"/>
      <c r="O58" s="108"/>
      <c r="P58" s="108"/>
      <c r="Q58" s="108"/>
    </row>
    <row r="59" spans="1:17" ht="14.25" hidden="1" thickTop="1" thickBot="1" x14ac:dyDescent="0.25">
      <c r="A59" s="271">
        <v>601220</v>
      </c>
      <c r="B59" s="272" t="s">
        <v>1269</v>
      </c>
      <c r="C59" s="250">
        <f>D59+E59</f>
        <v>0</v>
      </c>
      <c r="D59" s="250">
        <v>0</v>
      </c>
      <c r="E59" s="250">
        <v>0</v>
      </c>
      <c r="F59" s="250">
        <v>0</v>
      </c>
      <c r="G59" s="107"/>
      <c r="H59" s="108"/>
      <c r="I59" s="108"/>
      <c r="J59" s="108"/>
      <c r="K59" s="108"/>
      <c r="L59" s="108"/>
      <c r="M59" s="108"/>
      <c r="N59" s="108"/>
      <c r="O59" s="108"/>
      <c r="P59" s="108"/>
      <c r="Q59" s="108"/>
    </row>
    <row r="60" spans="1:17" ht="24" customHeight="1" thickTop="1" thickBot="1" x14ac:dyDescent="0.25">
      <c r="A60" s="655">
        <v>602000</v>
      </c>
      <c r="B60" s="658" t="s">
        <v>910</v>
      </c>
      <c r="C60" s="657">
        <f>(C61-C62)+C66+C63</f>
        <v>248798323.53</v>
      </c>
      <c r="D60" s="657">
        <f>(D61-D62)+D66+D63</f>
        <v>46054132.089999214</v>
      </c>
      <c r="E60" s="657">
        <f>(E61-E62)+E66+E63</f>
        <v>202744191.4400008</v>
      </c>
      <c r="F60" s="657">
        <f>(F61-F62)+F66+F63</f>
        <v>196239988.90000078</v>
      </c>
      <c r="G60" s="107"/>
      <c r="H60" s="108"/>
      <c r="I60" s="108"/>
      <c r="J60" s="108"/>
      <c r="K60" s="108"/>
      <c r="L60" s="108"/>
      <c r="M60" s="108"/>
      <c r="N60" s="108"/>
      <c r="O60" s="108"/>
      <c r="P60" s="108"/>
      <c r="Q60" s="108"/>
    </row>
    <row r="61" spans="1:17" ht="21" customHeight="1" thickTop="1" thickBot="1" x14ac:dyDescent="0.25">
      <c r="A61" s="661">
        <v>602100</v>
      </c>
      <c r="B61" s="662" t="s">
        <v>911</v>
      </c>
      <c r="C61" s="663">
        <f t="shared" ref="C61:C66" si="10">SUM(D61,E61)</f>
        <v>249305818.96000001</v>
      </c>
      <c r="D61" s="663">
        <f t="shared" ref="D61:F62" si="11">D28</f>
        <v>241209992.34999999</v>
      </c>
      <c r="E61" s="663">
        <f t="shared" si="11"/>
        <v>8095826.6100000003</v>
      </c>
      <c r="F61" s="663">
        <f t="shared" si="11"/>
        <v>235001.1</v>
      </c>
      <c r="G61" s="107"/>
      <c r="H61" s="108"/>
      <c r="I61" s="108"/>
      <c r="J61" s="108"/>
      <c r="K61" s="108"/>
      <c r="L61" s="108"/>
      <c r="M61" s="108"/>
      <c r="N61" s="108"/>
      <c r="O61" s="108"/>
      <c r="P61" s="108"/>
      <c r="Q61" s="108"/>
    </row>
    <row r="62" spans="1:17" ht="21" customHeight="1" thickTop="1" thickBot="1" x14ac:dyDescent="0.25">
      <c r="A62" s="661">
        <v>602200</v>
      </c>
      <c r="B62" s="662" t="s">
        <v>1420</v>
      </c>
      <c r="C62" s="663">
        <f t="shared" si="10"/>
        <v>507495.43000000005</v>
      </c>
      <c r="D62" s="663">
        <f t="shared" si="11"/>
        <v>423618.25</v>
      </c>
      <c r="E62" s="663">
        <f t="shared" si="11"/>
        <v>83877.180000000066</v>
      </c>
      <c r="F62" s="663">
        <f t="shared" si="11"/>
        <v>0</v>
      </c>
      <c r="G62" s="107"/>
      <c r="H62" s="108"/>
      <c r="I62" s="108"/>
      <c r="J62" s="108"/>
      <c r="K62" s="108"/>
      <c r="L62" s="108"/>
      <c r="M62" s="108"/>
      <c r="N62" s="108"/>
      <c r="O62" s="108"/>
      <c r="P62" s="108"/>
      <c r="Q62" s="108"/>
    </row>
    <row r="63" spans="1:17" ht="26.25" customHeight="1" thickTop="1" thickBot="1" x14ac:dyDescent="0.25">
      <c r="A63" s="661">
        <v>602300</v>
      </c>
      <c r="B63" s="662" t="s">
        <v>912</v>
      </c>
      <c r="C63" s="663">
        <f t="shared" si="10"/>
        <v>0</v>
      </c>
      <c r="D63" s="663">
        <f>SUM(D64:D65)</f>
        <v>1507746.8900000001</v>
      </c>
      <c r="E63" s="663">
        <f>SUM(E64:E65)</f>
        <v>-1507746.89</v>
      </c>
      <c r="F63" s="663">
        <f>SUM(F64:F65)</f>
        <v>-235001.1</v>
      </c>
      <c r="G63" s="107"/>
      <c r="H63" s="108"/>
      <c r="I63" s="108"/>
      <c r="J63" s="108"/>
      <c r="K63" s="108"/>
      <c r="L63" s="108"/>
      <c r="M63" s="108"/>
      <c r="N63" s="108"/>
      <c r="O63" s="108"/>
      <c r="P63" s="108"/>
      <c r="Q63" s="108"/>
    </row>
    <row r="64" spans="1:17" ht="39" customHeight="1" thickTop="1" thickBot="1" x14ac:dyDescent="0.25">
      <c r="A64" s="706">
        <v>602302</v>
      </c>
      <c r="B64" s="707" t="s">
        <v>1768</v>
      </c>
      <c r="C64" s="708">
        <f t="shared" si="10"/>
        <v>0</v>
      </c>
      <c r="D64" s="708">
        <f t="shared" ref="D64:F66" si="12">D31</f>
        <v>1507746.8900000001</v>
      </c>
      <c r="E64" s="708">
        <f t="shared" si="12"/>
        <v>-1507746.89</v>
      </c>
      <c r="F64" s="708">
        <f t="shared" si="12"/>
        <v>-235001.1</v>
      </c>
      <c r="G64" s="107"/>
      <c r="H64" s="108"/>
      <c r="I64" s="108"/>
      <c r="J64" s="108"/>
      <c r="K64" s="108"/>
      <c r="L64" s="108"/>
      <c r="M64" s="108"/>
      <c r="N64" s="108"/>
      <c r="O64" s="108"/>
      <c r="P64" s="108"/>
      <c r="Q64" s="108"/>
    </row>
    <row r="65" spans="1:17" ht="14.25" hidden="1" thickTop="1" thickBot="1" x14ac:dyDescent="0.25">
      <c r="A65" s="706">
        <v>602304</v>
      </c>
      <c r="B65" s="707" t="s">
        <v>912</v>
      </c>
      <c r="C65" s="708">
        <f t="shared" si="10"/>
        <v>0</v>
      </c>
      <c r="D65" s="708">
        <f t="shared" si="12"/>
        <v>0</v>
      </c>
      <c r="E65" s="708">
        <f t="shared" si="12"/>
        <v>0</v>
      </c>
      <c r="F65" s="708">
        <f t="shared" si="12"/>
        <v>0</v>
      </c>
      <c r="G65" s="107"/>
      <c r="H65" s="108"/>
      <c r="I65" s="108"/>
      <c r="J65" s="108"/>
      <c r="K65" s="108"/>
      <c r="L65" s="108"/>
      <c r="M65" s="108"/>
      <c r="N65" s="108"/>
      <c r="O65" s="108"/>
      <c r="P65" s="108"/>
      <c r="Q65" s="108"/>
    </row>
    <row r="66" spans="1:17" ht="35.25" customHeight="1" thickTop="1" thickBot="1" x14ac:dyDescent="0.25">
      <c r="A66" s="661">
        <v>602400</v>
      </c>
      <c r="B66" s="662" t="s">
        <v>117</v>
      </c>
      <c r="C66" s="663">
        <f t="shared" si="10"/>
        <v>0</v>
      </c>
      <c r="D66" s="663">
        <f t="shared" si="12"/>
        <v>-196239988.90000078</v>
      </c>
      <c r="E66" s="663">
        <f t="shared" si="12"/>
        <v>196239988.90000078</v>
      </c>
      <c r="F66" s="663">
        <f t="shared" si="12"/>
        <v>196239988.90000078</v>
      </c>
      <c r="G66" s="107"/>
      <c r="H66" s="108"/>
      <c r="I66" s="108"/>
      <c r="J66" s="108"/>
      <c r="K66" s="108"/>
      <c r="L66" s="108"/>
      <c r="M66" s="108"/>
      <c r="N66" s="108"/>
      <c r="O66" s="108"/>
      <c r="P66" s="108"/>
      <c r="Q66" s="108"/>
    </row>
    <row r="67" spans="1:17" ht="30" customHeight="1" thickTop="1" thickBot="1" x14ac:dyDescent="0.25">
      <c r="A67" s="382" t="s">
        <v>371</v>
      </c>
      <c r="B67" s="383" t="s">
        <v>370</v>
      </c>
      <c r="C67" s="384">
        <f>C40+C52</f>
        <v>245801785.15000001</v>
      </c>
      <c r="D67" s="384">
        <f>D40+D52</f>
        <v>46054132.089999214</v>
      </c>
      <c r="E67" s="384">
        <f>E40+E52</f>
        <v>199747653.06000081</v>
      </c>
      <c r="F67" s="384">
        <f>F40+F52</f>
        <v>193243450.52000079</v>
      </c>
      <c r="G67" s="107"/>
      <c r="H67" s="108"/>
      <c r="I67" s="108"/>
      <c r="J67" s="108"/>
      <c r="K67" s="108"/>
      <c r="L67" s="108"/>
      <c r="M67" s="108"/>
      <c r="N67" s="108"/>
      <c r="O67" s="108"/>
      <c r="P67" s="108"/>
      <c r="Q67" s="108"/>
    </row>
    <row r="68" spans="1:17" ht="13.5" thickTop="1" x14ac:dyDescent="0.2">
      <c r="A68" s="114"/>
      <c r="B68" s="114"/>
      <c r="C68" s="114"/>
      <c r="D68" s="114"/>
      <c r="E68" s="114"/>
      <c r="F68" s="114"/>
      <c r="G68" s="114"/>
      <c r="H68" s="114"/>
      <c r="I68" s="114"/>
    </row>
    <row r="69" spans="1:17" ht="45.75" x14ac:dyDescent="0.65">
      <c r="A69" s="114"/>
      <c r="B69" s="757" t="s">
        <v>1417</v>
      </c>
      <c r="C69" s="757"/>
      <c r="E69" s="670" t="s">
        <v>1418</v>
      </c>
      <c r="F69" s="267"/>
      <c r="G69" s="115"/>
      <c r="H69" s="115"/>
      <c r="I69" s="115"/>
      <c r="J69" s="115"/>
      <c r="K69" s="115"/>
      <c r="L69" s="115"/>
      <c r="M69" s="115"/>
      <c r="N69" s="115"/>
      <c r="O69" s="115"/>
    </row>
    <row r="70" spans="1:17" ht="15.75" hidden="1" x14ac:dyDescent="0.25">
      <c r="A70" s="114"/>
      <c r="B70" s="385" t="s">
        <v>1245</v>
      </c>
      <c r="C70"/>
      <c r="D70"/>
      <c r="E70" s="386" t="s">
        <v>1246</v>
      </c>
      <c r="F70" s="359"/>
      <c r="G70" s="114"/>
      <c r="H70" s="114"/>
      <c r="I70" s="114"/>
    </row>
    <row r="71" spans="1:17" ht="15.75" hidden="1" x14ac:dyDescent="0.25">
      <c r="A71" s="114"/>
      <c r="B71" s="745" t="s">
        <v>1472</v>
      </c>
      <c r="C71" s="745"/>
      <c r="E71" s="267" t="s">
        <v>1471</v>
      </c>
      <c r="F71" s="359"/>
      <c r="G71" s="114"/>
      <c r="H71" s="114"/>
      <c r="I71" s="114"/>
    </row>
    <row r="72" spans="1:17" ht="13.5" customHeight="1" x14ac:dyDescent="0.25">
      <c r="A72" s="114"/>
      <c r="B72" s="360"/>
      <c r="C72" s="360"/>
      <c r="D72" s="361"/>
      <c r="E72" s="359"/>
      <c r="F72" s="359"/>
      <c r="G72" s="114"/>
      <c r="H72" s="114"/>
      <c r="I72" s="114"/>
    </row>
    <row r="73" spans="1:17" ht="15.75" customHeight="1" x14ac:dyDescent="0.25">
      <c r="B73" s="747" t="s">
        <v>501</v>
      </c>
      <c r="C73" s="742"/>
      <c r="D73" s="742"/>
      <c r="E73" s="1" t="s">
        <v>1168</v>
      </c>
      <c r="F73" s="268"/>
    </row>
  </sheetData>
  <mergeCells count="17">
    <mergeCell ref="B69:C69"/>
    <mergeCell ref="B71:C71"/>
    <mergeCell ref="E1:F1"/>
    <mergeCell ref="E2:F2"/>
    <mergeCell ref="E3:F3"/>
    <mergeCell ref="B73:D73"/>
    <mergeCell ref="A5:F5"/>
    <mergeCell ref="A6:F6"/>
    <mergeCell ref="A8:F8"/>
    <mergeCell ref="A9:F9"/>
    <mergeCell ref="A11:A12"/>
    <mergeCell ref="B11:B12"/>
    <mergeCell ref="C11:C12"/>
    <mergeCell ref="D11:D12"/>
    <mergeCell ref="E11:F11"/>
    <mergeCell ref="A14:F14"/>
    <mergeCell ref="A39:F39"/>
  </mergeCells>
  <pageMargins left="1.1811023622047245" right="0.44" top="0.39370078740157483" bottom="0.19685039370078741" header="0.39370078740157483" footer="0.15748031496062992"/>
  <pageSetup paperSize="9" scale="5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97"/>
  <sheetViews>
    <sheetView view="pageBreakPreview" zoomScale="23" zoomScaleNormal="25" zoomScaleSheetLayoutView="23" zoomScalePageLayoutView="10" workbookViewId="0">
      <pane ySplit="14" topLeftCell="A454" activePane="bottomLeft" state="frozen"/>
      <selection activeCell="A22" sqref="A22"/>
      <selection pane="bottomLeft" activeCell="L77" sqref="L77"/>
    </sheetView>
  </sheetViews>
  <sheetFormatPr defaultColWidth="9.140625" defaultRowHeight="12.75" x14ac:dyDescent="0.2"/>
  <cols>
    <col min="1" max="1" width="48" style="16" customWidth="1"/>
    <col min="2" max="2" width="52.5703125" style="16" customWidth="1"/>
    <col min="3" max="3" width="65.7109375" style="16" customWidth="1"/>
    <col min="4" max="4" width="255.5703125" style="16" customWidth="1"/>
    <col min="5" max="5" width="89.85546875" style="55" customWidth="1"/>
    <col min="6" max="6" width="62.5703125" style="16" customWidth="1"/>
    <col min="7" max="7" width="59.7109375" style="16" customWidth="1"/>
    <col min="8" max="8" width="53.140625" style="16" customWidth="1"/>
    <col min="9" max="9" width="51.7109375" style="16" customWidth="1"/>
    <col min="10" max="10" width="56.5703125" style="55" customWidth="1"/>
    <col min="11" max="11" width="57.28515625" style="55" customWidth="1"/>
    <col min="12" max="12" width="56.140625" style="16" customWidth="1"/>
    <col min="13" max="13" width="54.85546875" style="16" customWidth="1"/>
    <col min="14" max="14" width="51" style="16" customWidth="1"/>
    <col min="15" max="15" width="56.140625" style="16" bestFit="1" customWidth="1"/>
    <col min="16" max="16" width="105.42578125" style="55" customWidth="1"/>
    <col min="17" max="17" width="52.140625" style="79" customWidth="1"/>
    <col min="18" max="18" width="33.85546875" style="18" customWidth="1"/>
    <col min="19" max="19" width="40.140625" style="19" bestFit="1" customWidth="1"/>
    <col min="20" max="20" width="43.5703125" style="19" bestFit="1" customWidth="1"/>
    <col min="21" max="16384" width="9.140625" style="19"/>
  </cols>
  <sheetData>
    <row r="1" spans="1:18" ht="45.75" x14ac:dyDescent="0.2">
      <c r="A1" s="73"/>
      <c r="B1" s="73"/>
      <c r="C1" s="73"/>
      <c r="D1" s="74"/>
      <c r="E1" s="75"/>
      <c r="F1" s="76"/>
      <c r="G1" s="75"/>
      <c r="H1" s="75"/>
      <c r="I1" s="75"/>
      <c r="J1" s="75"/>
      <c r="K1" s="75"/>
      <c r="L1" s="75"/>
      <c r="M1" s="75"/>
      <c r="N1" s="781" t="s">
        <v>477</v>
      </c>
      <c r="O1" s="782"/>
      <c r="P1" s="782"/>
      <c r="Q1" s="782"/>
    </row>
    <row r="2" spans="1:18" ht="45.75" x14ac:dyDescent="0.2">
      <c r="A2" s="74"/>
      <c r="B2" s="74"/>
      <c r="C2" s="74"/>
      <c r="D2" s="74"/>
      <c r="E2" s="75"/>
      <c r="F2" s="76"/>
      <c r="G2" s="75"/>
      <c r="H2" s="75"/>
      <c r="I2" s="75"/>
      <c r="J2" s="75"/>
      <c r="K2" s="75"/>
      <c r="L2" s="75"/>
      <c r="M2" s="75"/>
      <c r="N2" s="781" t="s">
        <v>1713</v>
      </c>
      <c r="O2" s="783"/>
      <c r="P2" s="783"/>
      <c r="Q2" s="783"/>
    </row>
    <row r="3" spans="1:18" ht="40.700000000000003" customHeight="1" x14ac:dyDescent="0.2">
      <c r="A3" s="74"/>
      <c r="B3" s="74"/>
      <c r="C3" s="74"/>
      <c r="D3" s="74"/>
      <c r="E3" s="75"/>
      <c r="F3" s="76"/>
      <c r="G3" s="75"/>
      <c r="H3" s="75"/>
      <c r="I3" s="75"/>
      <c r="J3" s="75"/>
      <c r="K3" s="75"/>
      <c r="L3" s="75"/>
      <c r="M3" s="75"/>
      <c r="N3" s="75"/>
      <c r="O3" s="781"/>
      <c r="P3" s="784"/>
      <c r="Q3" s="78"/>
    </row>
    <row r="4" spans="1:18" ht="45.75" hidden="1" x14ac:dyDescent="0.2">
      <c r="A4" s="74"/>
      <c r="B4" s="74"/>
      <c r="C4" s="74"/>
      <c r="D4" s="74"/>
      <c r="E4" s="75"/>
      <c r="F4" s="76"/>
      <c r="G4" s="75"/>
      <c r="H4" s="75"/>
      <c r="I4" s="75"/>
      <c r="J4" s="75"/>
      <c r="K4" s="75"/>
      <c r="L4" s="75"/>
      <c r="M4" s="75"/>
      <c r="N4" s="75"/>
      <c r="O4" s="74"/>
      <c r="P4" s="76"/>
      <c r="Q4" s="78"/>
    </row>
    <row r="5" spans="1:18" ht="45" x14ac:dyDescent="0.2">
      <c r="A5" s="785" t="s">
        <v>541</v>
      </c>
      <c r="B5" s="785"/>
      <c r="C5" s="785"/>
      <c r="D5" s="785"/>
      <c r="E5" s="785"/>
      <c r="F5" s="785"/>
      <c r="G5" s="785"/>
      <c r="H5" s="785"/>
      <c r="I5" s="785"/>
      <c r="J5" s="785"/>
      <c r="K5" s="785"/>
      <c r="L5" s="785"/>
      <c r="M5" s="785"/>
      <c r="N5" s="785"/>
      <c r="O5" s="785"/>
      <c r="P5" s="785"/>
      <c r="Q5" s="78"/>
    </row>
    <row r="6" spans="1:18" ht="45" x14ac:dyDescent="0.2">
      <c r="A6" s="785" t="s">
        <v>1476</v>
      </c>
      <c r="B6" s="785"/>
      <c r="C6" s="785"/>
      <c r="D6" s="785"/>
      <c r="E6" s="785"/>
      <c r="F6" s="785"/>
      <c r="G6" s="785"/>
      <c r="H6" s="785"/>
      <c r="I6" s="785"/>
      <c r="J6" s="785"/>
      <c r="K6" s="785"/>
      <c r="L6" s="785"/>
      <c r="M6" s="785"/>
      <c r="N6" s="785"/>
      <c r="O6" s="785"/>
      <c r="P6" s="785"/>
      <c r="Q6" s="78"/>
    </row>
    <row r="7" spans="1:18" ht="45" x14ac:dyDescent="0.2">
      <c r="A7" s="75"/>
      <c r="B7" s="75"/>
      <c r="C7" s="75"/>
      <c r="D7" s="75"/>
      <c r="E7" s="75"/>
      <c r="F7" s="75"/>
      <c r="G7" s="75"/>
      <c r="H7" s="75"/>
      <c r="I7" s="75"/>
      <c r="J7" s="75"/>
      <c r="K7" s="75"/>
      <c r="L7" s="75"/>
      <c r="M7" s="75"/>
      <c r="N7" s="75"/>
      <c r="O7" s="75"/>
      <c r="P7" s="75"/>
      <c r="Q7" s="78"/>
    </row>
    <row r="8" spans="1:18" ht="45.75" x14ac:dyDescent="0.65">
      <c r="A8" s="786">
        <v>2256400000</v>
      </c>
      <c r="B8" s="787"/>
      <c r="C8" s="75"/>
      <c r="D8" s="75"/>
      <c r="E8" s="75"/>
      <c r="F8" s="75"/>
      <c r="G8" s="75"/>
      <c r="H8" s="75"/>
      <c r="I8" s="75"/>
      <c r="J8" s="75"/>
      <c r="K8" s="75"/>
      <c r="L8" s="75"/>
      <c r="M8" s="75"/>
      <c r="N8" s="75"/>
      <c r="O8" s="75"/>
      <c r="P8" s="75"/>
      <c r="Q8" s="13"/>
    </row>
    <row r="9" spans="1:18" ht="45.75" x14ac:dyDescent="0.2">
      <c r="A9" s="791" t="s">
        <v>474</v>
      </c>
      <c r="B9" s="792"/>
      <c r="C9" s="75"/>
      <c r="D9" s="75"/>
      <c r="E9" s="75"/>
      <c r="F9" s="75"/>
      <c r="G9" s="75"/>
      <c r="H9" s="75"/>
      <c r="I9" s="75"/>
      <c r="J9" s="75"/>
      <c r="K9" s="75"/>
      <c r="L9" s="75"/>
      <c r="M9" s="75"/>
      <c r="N9" s="75"/>
      <c r="O9" s="75"/>
      <c r="P9" s="75"/>
      <c r="Q9" s="13"/>
    </row>
    <row r="10" spans="1:18" ht="53.45" customHeight="1" thickBot="1" x14ac:dyDescent="0.25">
      <c r="A10" s="75"/>
      <c r="B10" s="75"/>
      <c r="C10" s="75"/>
      <c r="D10" s="75"/>
      <c r="E10" s="75"/>
      <c r="F10" s="76"/>
      <c r="G10" s="75"/>
      <c r="H10" s="75"/>
      <c r="I10" s="75"/>
      <c r="J10" s="75"/>
      <c r="K10" s="75"/>
      <c r="L10" s="75"/>
      <c r="M10" s="75"/>
      <c r="N10" s="75"/>
      <c r="O10" s="75"/>
      <c r="P10" s="388" t="s">
        <v>394</v>
      </c>
      <c r="Q10" s="13"/>
    </row>
    <row r="11" spans="1:18" ht="62.45" customHeight="1" thickTop="1" thickBot="1" x14ac:dyDescent="0.25">
      <c r="A11" s="790" t="s">
        <v>475</v>
      </c>
      <c r="B11" s="790" t="s">
        <v>476</v>
      </c>
      <c r="C11" s="790" t="s">
        <v>380</v>
      </c>
      <c r="D11" s="790" t="s">
        <v>549</v>
      </c>
      <c r="E11" s="788" t="s">
        <v>12</v>
      </c>
      <c r="F11" s="788"/>
      <c r="G11" s="788"/>
      <c r="H11" s="788"/>
      <c r="I11" s="788"/>
      <c r="J11" s="788" t="s">
        <v>50</v>
      </c>
      <c r="K11" s="788"/>
      <c r="L11" s="788"/>
      <c r="M11" s="788"/>
      <c r="N11" s="788"/>
      <c r="O11" s="789"/>
      <c r="P11" s="788" t="s">
        <v>11</v>
      </c>
      <c r="Q11" s="18"/>
    </row>
    <row r="12" spans="1:18" ht="96" customHeight="1" thickTop="1" thickBot="1" x14ac:dyDescent="0.25">
      <c r="A12" s="788"/>
      <c r="B12" s="793"/>
      <c r="C12" s="793"/>
      <c r="D12" s="788"/>
      <c r="E12" s="790" t="s">
        <v>374</v>
      </c>
      <c r="F12" s="790" t="s">
        <v>51</v>
      </c>
      <c r="G12" s="790" t="s">
        <v>13</v>
      </c>
      <c r="H12" s="790"/>
      <c r="I12" s="790" t="s">
        <v>53</v>
      </c>
      <c r="J12" s="790" t="s">
        <v>374</v>
      </c>
      <c r="K12" s="790" t="s">
        <v>375</v>
      </c>
      <c r="L12" s="790" t="s">
        <v>51</v>
      </c>
      <c r="M12" s="790" t="s">
        <v>13</v>
      </c>
      <c r="N12" s="790"/>
      <c r="O12" s="790" t="s">
        <v>53</v>
      </c>
      <c r="P12" s="788"/>
      <c r="Q12" s="18"/>
    </row>
    <row r="13" spans="1:18" ht="328.7" customHeight="1" thickTop="1" thickBot="1" x14ac:dyDescent="0.25">
      <c r="A13" s="793"/>
      <c r="B13" s="793"/>
      <c r="C13" s="793"/>
      <c r="D13" s="793"/>
      <c r="E13" s="790"/>
      <c r="F13" s="790"/>
      <c r="G13" s="389" t="s">
        <v>52</v>
      </c>
      <c r="H13" s="389" t="s">
        <v>15</v>
      </c>
      <c r="I13" s="790"/>
      <c r="J13" s="790"/>
      <c r="K13" s="790"/>
      <c r="L13" s="790"/>
      <c r="M13" s="389" t="s">
        <v>52</v>
      </c>
      <c r="N13" s="389" t="s">
        <v>15</v>
      </c>
      <c r="O13" s="790"/>
      <c r="P13" s="788"/>
      <c r="Q13" s="18"/>
    </row>
    <row r="14" spans="1:18" s="22" customFormat="1" ht="47.25" thickTop="1" thickBot="1" x14ac:dyDescent="0.25">
      <c r="A14" s="239" t="s">
        <v>2</v>
      </c>
      <c r="B14" s="239" t="s">
        <v>3</v>
      </c>
      <c r="C14" s="239" t="s">
        <v>14</v>
      </c>
      <c r="D14" s="239" t="s">
        <v>5</v>
      </c>
      <c r="E14" s="239" t="s">
        <v>382</v>
      </c>
      <c r="F14" s="239" t="s">
        <v>383</v>
      </c>
      <c r="G14" s="239" t="s">
        <v>384</v>
      </c>
      <c r="H14" s="239" t="s">
        <v>385</v>
      </c>
      <c r="I14" s="239" t="s">
        <v>386</v>
      </c>
      <c r="J14" s="239" t="s">
        <v>387</v>
      </c>
      <c r="K14" s="239" t="s">
        <v>388</v>
      </c>
      <c r="L14" s="239" t="s">
        <v>389</v>
      </c>
      <c r="M14" s="239" t="s">
        <v>390</v>
      </c>
      <c r="N14" s="239" t="s">
        <v>391</v>
      </c>
      <c r="O14" s="239" t="s">
        <v>392</v>
      </c>
      <c r="P14" s="239" t="s">
        <v>393</v>
      </c>
      <c r="Q14" s="117"/>
      <c r="R14" s="21"/>
    </row>
    <row r="15" spans="1:18" s="22" customFormat="1" ht="165.75" customHeight="1" thickTop="1" thickBot="1" x14ac:dyDescent="0.25">
      <c r="A15" s="514" t="s">
        <v>143</v>
      </c>
      <c r="B15" s="514"/>
      <c r="C15" s="514"/>
      <c r="D15" s="515" t="s">
        <v>145</v>
      </c>
      <c r="E15" s="516">
        <f>E16</f>
        <v>611538439.27999997</v>
      </c>
      <c r="F15" s="517">
        <f t="shared" ref="F15:N15" si="0">F16</f>
        <v>375066280.16000003</v>
      </c>
      <c r="G15" s="517">
        <f t="shared" si="0"/>
        <v>145493793</v>
      </c>
      <c r="H15" s="517">
        <f t="shared" si="0"/>
        <v>8491600</v>
      </c>
      <c r="I15" s="517">
        <f t="shared" si="0"/>
        <v>236472159.12</v>
      </c>
      <c r="J15" s="516">
        <f t="shared" si="0"/>
        <v>6476703.200000002</v>
      </c>
      <c r="K15" s="517">
        <f t="shared" si="0"/>
        <v>0</v>
      </c>
      <c r="L15" s="517">
        <f t="shared" si="0"/>
        <v>6276703.200000002</v>
      </c>
      <c r="M15" s="517">
        <f t="shared" si="0"/>
        <v>0</v>
      </c>
      <c r="N15" s="517">
        <f t="shared" si="0"/>
        <v>0</v>
      </c>
      <c r="O15" s="516">
        <f>O16</f>
        <v>200000</v>
      </c>
      <c r="P15" s="517">
        <f t="shared" ref="P15" si="1">P16</f>
        <v>618015142.48000002</v>
      </c>
      <c r="Q15" s="23"/>
      <c r="R15" s="23"/>
    </row>
    <row r="16" spans="1:18" s="22" customFormat="1" ht="156" customHeight="1" thickTop="1" thickBot="1" x14ac:dyDescent="0.25">
      <c r="A16" s="511" t="s">
        <v>144</v>
      </c>
      <c r="B16" s="511"/>
      <c r="C16" s="511"/>
      <c r="D16" s="512" t="s">
        <v>146</v>
      </c>
      <c r="E16" s="513">
        <f>E17+E27+E38+E44+E22</f>
        <v>611538439.27999997</v>
      </c>
      <c r="F16" s="513">
        <f>F17+F27+F38+F44+F22</f>
        <v>375066280.16000003</v>
      </c>
      <c r="G16" s="513">
        <f>G17+G27+G38+G44+G22</f>
        <v>145493793</v>
      </c>
      <c r="H16" s="513">
        <f>H17+H27+H38+H44+H22</f>
        <v>8491600</v>
      </c>
      <c r="I16" s="513">
        <f>I17+I27+I38+I44+I22</f>
        <v>236472159.12</v>
      </c>
      <c r="J16" s="513">
        <f>L16+O16</f>
        <v>6476703.200000002</v>
      </c>
      <c r="K16" s="513">
        <f>K17+K27+K38+K44+K22</f>
        <v>0</v>
      </c>
      <c r="L16" s="513">
        <f>L17+L27+L38+L44+L22</f>
        <v>6276703.200000002</v>
      </c>
      <c r="M16" s="513">
        <f>M17+M27+M38+M44+M22</f>
        <v>0</v>
      </c>
      <c r="N16" s="513">
        <f>N17+N27+N38+N44+N22</f>
        <v>0</v>
      </c>
      <c r="O16" s="513">
        <f>O17+O27+O38+O44+O22</f>
        <v>200000</v>
      </c>
      <c r="P16" s="513">
        <f>E16+J16</f>
        <v>618015142.48000002</v>
      </c>
      <c r="Q16" s="597" t="b">
        <f>P16=P18+P21+P26+P29+P32+P34+P36+P37+P40+P41+P43+P46+P48+P24+P47</f>
        <v>0</v>
      </c>
      <c r="R16" s="24"/>
    </row>
    <row r="17" spans="1:18" s="26" customFormat="1" ht="156.75" customHeight="1" thickTop="1" thickBot="1" x14ac:dyDescent="0.25">
      <c r="A17" s="239" t="s">
        <v>651</v>
      </c>
      <c r="B17" s="239" t="s">
        <v>652</v>
      </c>
      <c r="C17" s="239"/>
      <c r="D17" s="239" t="s">
        <v>653</v>
      </c>
      <c r="E17" s="501">
        <f>SUM(E18:E21)</f>
        <v>234783365.80000001</v>
      </c>
      <c r="F17" s="501">
        <f>SUM(F18:F21)</f>
        <v>231938365.80000001</v>
      </c>
      <c r="G17" s="501">
        <f t="shared" ref="G17:P17" si="2">SUM(G18:G21)</f>
        <v>136793750</v>
      </c>
      <c r="H17" s="501">
        <f t="shared" si="2"/>
        <v>7915000</v>
      </c>
      <c r="I17" s="501">
        <f t="shared" si="2"/>
        <v>2845000</v>
      </c>
      <c r="J17" s="501">
        <f t="shared" si="2"/>
        <v>0</v>
      </c>
      <c r="K17" s="501">
        <f t="shared" si="2"/>
        <v>0</v>
      </c>
      <c r="L17" s="501">
        <f t="shared" si="2"/>
        <v>0</v>
      </c>
      <c r="M17" s="501">
        <f t="shared" si="2"/>
        <v>0</v>
      </c>
      <c r="N17" s="501">
        <f t="shared" si="2"/>
        <v>0</v>
      </c>
      <c r="O17" s="501">
        <f t="shared" si="2"/>
        <v>0</v>
      </c>
      <c r="P17" s="501">
        <f t="shared" si="2"/>
        <v>234783365.80000001</v>
      </c>
      <c r="Q17" s="29"/>
      <c r="R17" s="25"/>
    </row>
    <row r="18" spans="1:18" ht="251.25" customHeight="1" thickTop="1" thickBot="1" x14ac:dyDescent="0.25">
      <c r="A18" s="469" t="s">
        <v>227</v>
      </c>
      <c r="B18" s="469" t="s">
        <v>228</v>
      </c>
      <c r="C18" s="469" t="s">
        <v>229</v>
      </c>
      <c r="D18" s="469" t="s">
        <v>226</v>
      </c>
      <c r="E18" s="471">
        <f>F18+I18</f>
        <v>189460263</v>
      </c>
      <c r="F18" s="470">
        <f>((175763763)+10777500-1900000)+13000+711000+200000+500000+550000</f>
        <v>186615263</v>
      </c>
      <c r="G18" s="470">
        <f>(128593750)+8200000</f>
        <v>136793750</v>
      </c>
      <c r="H18" s="470">
        <f>(3000000+130000+3800000+400000+85000)+500000</f>
        <v>7915000</v>
      </c>
      <c r="I18" s="470">
        <f>((1000000)+940000)+500000+405000</f>
        <v>2845000</v>
      </c>
      <c r="J18" s="485">
        <f t="shared" ref="J18:J34" si="3">L18+O18</f>
        <v>0</v>
      </c>
      <c r="K18" s="470"/>
      <c r="L18" s="494"/>
      <c r="M18" s="579"/>
      <c r="N18" s="579"/>
      <c r="O18" s="488">
        <f t="shared" ref="O18:O34" si="4">K18</f>
        <v>0</v>
      </c>
      <c r="P18" s="485">
        <f>+J18+E18</f>
        <v>189460263</v>
      </c>
      <c r="Q18" s="124"/>
      <c r="R18" s="27"/>
    </row>
    <row r="19" spans="1:18" ht="93" hidden="1" thickTop="1" thickBot="1" x14ac:dyDescent="0.25">
      <c r="A19" s="119" t="s">
        <v>560</v>
      </c>
      <c r="B19" s="119" t="s">
        <v>231</v>
      </c>
      <c r="C19" s="119" t="s">
        <v>229</v>
      </c>
      <c r="D19" s="119" t="s">
        <v>230</v>
      </c>
      <c r="E19" s="118"/>
      <c r="F19" s="120"/>
      <c r="G19" s="120"/>
      <c r="H19" s="120"/>
      <c r="I19" s="120"/>
      <c r="J19" s="118">
        <f t="shared" ref="J19" si="5">L19+O19</f>
        <v>0</v>
      </c>
      <c r="K19" s="120"/>
      <c r="L19" s="121"/>
      <c r="M19" s="122"/>
      <c r="N19" s="122"/>
      <c r="O19" s="123">
        <f t="shared" si="4"/>
        <v>0</v>
      </c>
      <c r="P19" s="118">
        <f>+J19+E19</f>
        <v>0</v>
      </c>
      <c r="Q19" s="124"/>
      <c r="R19" s="27"/>
    </row>
    <row r="20" spans="1:18" ht="161.25" customHeight="1" thickTop="1" thickBot="1" x14ac:dyDescent="0.25">
      <c r="A20" s="94" t="s">
        <v>597</v>
      </c>
      <c r="B20" s="94" t="s">
        <v>352</v>
      </c>
      <c r="C20" s="94" t="s">
        <v>598</v>
      </c>
      <c r="D20" s="94" t="s">
        <v>599</v>
      </c>
      <c r="E20" s="521">
        <f>F20+I20</f>
        <v>85000</v>
      </c>
      <c r="F20" s="520">
        <v>85000</v>
      </c>
      <c r="G20" s="520"/>
      <c r="H20" s="520"/>
      <c r="I20" s="520"/>
      <c r="J20" s="501">
        <f t="shared" ref="J20" si="6">L20+O20</f>
        <v>0</v>
      </c>
      <c r="K20" s="520"/>
      <c r="L20" s="522"/>
      <c r="M20" s="711"/>
      <c r="N20" s="711"/>
      <c r="O20" s="502">
        <f t="shared" si="4"/>
        <v>0</v>
      </c>
      <c r="P20" s="501">
        <f>+J20+E20</f>
        <v>85000</v>
      </c>
      <c r="Q20" s="124"/>
      <c r="R20" s="28"/>
    </row>
    <row r="21" spans="1:18" ht="135.75" customHeight="1" thickTop="1" thickBot="1" x14ac:dyDescent="0.25">
      <c r="A21" s="94" t="s">
        <v>241</v>
      </c>
      <c r="B21" s="94" t="s">
        <v>42</v>
      </c>
      <c r="C21" s="94" t="s">
        <v>41</v>
      </c>
      <c r="D21" s="94" t="s">
        <v>242</v>
      </c>
      <c r="E21" s="471">
        <f>F21+I21</f>
        <v>45238102.800000004</v>
      </c>
      <c r="F21" s="504">
        <f>((44564256)-2973396.91)+3647243.71</f>
        <v>45238102.800000004</v>
      </c>
      <c r="G21" s="504"/>
      <c r="H21" s="504"/>
      <c r="I21" s="504"/>
      <c r="J21" s="501">
        <f t="shared" si="3"/>
        <v>0</v>
      </c>
      <c r="K21" s="504"/>
      <c r="L21" s="504"/>
      <c r="M21" s="504"/>
      <c r="N21" s="504"/>
      <c r="O21" s="502">
        <f t="shared" si="4"/>
        <v>0</v>
      </c>
      <c r="P21" s="501">
        <f>E21+J21</f>
        <v>45238102.800000004</v>
      </c>
      <c r="Q21" s="124"/>
      <c r="R21" s="28"/>
    </row>
    <row r="22" spans="1:18" ht="125.25" customHeight="1" thickTop="1" thickBot="1" x14ac:dyDescent="0.25">
      <c r="A22" s="239" t="s">
        <v>1327</v>
      </c>
      <c r="B22" s="239" t="s">
        <v>678</v>
      </c>
      <c r="C22" s="239"/>
      <c r="D22" s="239" t="s">
        <v>679</v>
      </c>
      <c r="E22" s="501">
        <f t="shared" ref="E22:P22" si="7">E25+E23</f>
        <v>12146358</v>
      </c>
      <c r="F22" s="501">
        <f t="shared" si="7"/>
        <v>11986358</v>
      </c>
      <c r="G22" s="501">
        <f t="shared" si="7"/>
        <v>8700043</v>
      </c>
      <c r="H22" s="501">
        <f t="shared" si="7"/>
        <v>576600</v>
      </c>
      <c r="I22" s="501">
        <f t="shared" si="7"/>
        <v>160000</v>
      </c>
      <c r="J22" s="501">
        <f t="shared" si="7"/>
        <v>0</v>
      </c>
      <c r="K22" s="501">
        <f t="shared" si="7"/>
        <v>0</v>
      </c>
      <c r="L22" s="501">
        <f t="shared" si="7"/>
        <v>0</v>
      </c>
      <c r="M22" s="501">
        <f t="shared" si="7"/>
        <v>0</v>
      </c>
      <c r="N22" s="501">
        <f t="shared" si="7"/>
        <v>0</v>
      </c>
      <c r="O22" s="501">
        <f t="shared" si="7"/>
        <v>0</v>
      </c>
      <c r="P22" s="501">
        <f t="shared" si="7"/>
        <v>12146358</v>
      </c>
      <c r="Q22" s="124"/>
      <c r="R22" s="28"/>
    </row>
    <row r="23" spans="1:18" ht="93.75" customHeight="1" thickTop="1" thickBot="1" x14ac:dyDescent="0.25">
      <c r="A23" s="518" t="s">
        <v>1414</v>
      </c>
      <c r="B23" s="518" t="s">
        <v>702</v>
      </c>
      <c r="C23" s="518"/>
      <c r="D23" s="518" t="s">
        <v>703</v>
      </c>
      <c r="E23" s="519">
        <f>E24</f>
        <v>6580512</v>
      </c>
      <c r="F23" s="519">
        <f t="shared" ref="F23:P25" si="8">F24</f>
        <v>6580512</v>
      </c>
      <c r="G23" s="519">
        <f t="shared" si="8"/>
        <v>5393870</v>
      </c>
      <c r="H23" s="519">
        <f t="shared" si="8"/>
        <v>0</v>
      </c>
      <c r="I23" s="519">
        <f t="shared" si="8"/>
        <v>0</v>
      </c>
      <c r="J23" s="519">
        <f t="shared" si="8"/>
        <v>0</v>
      </c>
      <c r="K23" s="519">
        <f t="shared" si="8"/>
        <v>0</v>
      </c>
      <c r="L23" s="519">
        <f t="shared" si="8"/>
        <v>0</v>
      </c>
      <c r="M23" s="519">
        <f t="shared" si="8"/>
        <v>0</v>
      </c>
      <c r="N23" s="519">
        <f t="shared" si="8"/>
        <v>0</v>
      </c>
      <c r="O23" s="519">
        <f t="shared" si="8"/>
        <v>0</v>
      </c>
      <c r="P23" s="519">
        <f t="shared" si="8"/>
        <v>6580512</v>
      </c>
      <c r="Q23" s="124"/>
      <c r="R23" s="28"/>
    </row>
    <row r="24" spans="1:18" ht="210.75" customHeight="1" thickTop="1" thickBot="1" x14ac:dyDescent="0.25">
      <c r="A24" s="94" t="s">
        <v>1411</v>
      </c>
      <c r="B24" s="94" t="s">
        <v>1412</v>
      </c>
      <c r="C24" s="94" t="s">
        <v>200</v>
      </c>
      <c r="D24" s="507" t="s">
        <v>1413</v>
      </c>
      <c r="E24" s="521">
        <f>F24+I24</f>
        <v>6580512</v>
      </c>
      <c r="F24" s="504">
        <v>6580512</v>
      </c>
      <c r="G24" s="520">
        <v>5393870</v>
      </c>
      <c r="H24" s="520"/>
      <c r="I24" s="504"/>
      <c r="J24" s="501">
        <f t="shared" ref="J24:J26" si="9">L24+O24</f>
        <v>0</v>
      </c>
      <c r="K24" s="504"/>
      <c r="L24" s="504"/>
      <c r="M24" s="504"/>
      <c r="N24" s="504"/>
      <c r="O24" s="502"/>
      <c r="P24" s="501">
        <f t="shared" ref="P24:P26" si="10">E24+J24</f>
        <v>6580512</v>
      </c>
      <c r="Q24" s="124"/>
      <c r="R24" s="28"/>
    </row>
    <row r="25" spans="1:18" ht="110.25" customHeight="1" thickTop="1" thickBot="1" x14ac:dyDescent="0.25">
      <c r="A25" s="518" t="s">
        <v>1328</v>
      </c>
      <c r="B25" s="518" t="s">
        <v>705</v>
      </c>
      <c r="C25" s="518"/>
      <c r="D25" s="518" t="s">
        <v>1520</v>
      </c>
      <c r="E25" s="519">
        <f>E26</f>
        <v>5565846</v>
      </c>
      <c r="F25" s="519">
        <f t="shared" si="8"/>
        <v>5405846</v>
      </c>
      <c r="G25" s="519">
        <f t="shared" si="8"/>
        <v>3306173</v>
      </c>
      <c r="H25" s="519">
        <f t="shared" si="8"/>
        <v>576600</v>
      </c>
      <c r="I25" s="519">
        <f t="shared" si="8"/>
        <v>160000</v>
      </c>
      <c r="J25" s="519">
        <f t="shared" si="8"/>
        <v>0</v>
      </c>
      <c r="K25" s="519">
        <f t="shared" si="8"/>
        <v>0</v>
      </c>
      <c r="L25" s="519">
        <f t="shared" si="8"/>
        <v>0</v>
      </c>
      <c r="M25" s="519">
        <f t="shared" si="8"/>
        <v>0</v>
      </c>
      <c r="N25" s="519">
        <f t="shared" si="8"/>
        <v>0</v>
      </c>
      <c r="O25" s="519">
        <f t="shared" si="8"/>
        <v>0</v>
      </c>
      <c r="P25" s="519">
        <f t="shared" si="8"/>
        <v>5565846</v>
      </c>
      <c r="Q25" s="124"/>
      <c r="R25" s="28"/>
    </row>
    <row r="26" spans="1:18" ht="171.75" customHeight="1" thickTop="1" thickBot="1" x14ac:dyDescent="0.25">
      <c r="A26" s="94" t="s">
        <v>1329</v>
      </c>
      <c r="B26" s="94" t="s">
        <v>322</v>
      </c>
      <c r="C26" s="94" t="s">
        <v>186</v>
      </c>
      <c r="D26" s="507" t="s">
        <v>1392</v>
      </c>
      <c r="E26" s="471">
        <f>F26+I26</f>
        <v>5565846</v>
      </c>
      <c r="F26" s="504">
        <f>((5071246)+95000)+399600-160000</f>
        <v>5405846</v>
      </c>
      <c r="G26" s="520">
        <v>3306173</v>
      </c>
      <c r="H26" s="520">
        <f>(491600)+85000</f>
        <v>576600</v>
      </c>
      <c r="I26" s="504">
        <f>0+160000</f>
        <v>160000</v>
      </c>
      <c r="J26" s="501">
        <f t="shared" si="9"/>
        <v>0</v>
      </c>
      <c r="K26" s="504"/>
      <c r="L26" s="504"/>
      <c r="M26" s="504"/>
      <c r="N26" s="504"/>
      <c r="O26" s="502">
        <f>(K26)</f>
        <v>0</v>
      </c>
      <c r="P26" s="501">
        <f t="shared" si="10"/>
        <v>5565846</v>
      </c>
      <c r="Q26" s="124"/>
      <c r="R26" s="28"/>
    </row>
    <row r="27" spans="1:18" s="26" customFormat="1" ht="113.25" customHeight="1" thickTop="1" thickBot="1" x14ac:dyDescent="0.3">
      <c r="A27" s="239" t="s">
        <v>712</v>
      </c>
      <c r="B27" s="239" t="s">
        <v>713</v>
      </c>
      <c r="C27" s="239"/>
      <c r="D27" s="239" t="s">
        <v>714</v>
      </c>
      <c r="E27" s="501">
        <f t="shared" ref="E27:P27" si="11">SUM(E28:E37)-E28-E31-E35</f>
        <v>18633570</v>
      </c>
      <c r="F27" s="501">
        <f t="shared" si="11"/>
        <v>12633570</v>
      </c>
      <c r="G27" s="501">
        <f t="shared" si="11"/>
        <v>0</v>
      </c>
      <c r="H27" s="501">
        <f t="shared" si="11"/>
        <v>0</v>
      </c>
      <c r="I27" s="501">
        <f t="shared" si="11"/>
        <v>6000000</v>
      </c>
      <c r="J27" s="501">
        <f t="shared" si="11"/>
        <v>6476703.200000002</v>
      </c>
      <c r="K27" s="501">
        <f t="shared" si="11"/>
        <v>0</v>
      </c>
      <c r="L27" s="501">
        <f t="shared" si="11"/>
        <v>6276703.200000002</v>
      </c>
      <c r="M27" s="501">
        <f t="shared" si="11"/>
        <v>0</v>
      </c>
      <c r="N27" s="501">
        <f t="shared" si="11"/>
        <v>0</v>
      </c>
      <c r="O27" s="501">
        <f t="shared" si="11"/>
        <v>200000</v>
      </c>
      <c r="P27" s="501">
        <f t="shared" si="11"/>
        <v>25110273.200000007</v>
      </c>
      <c r="Q27" s="126"/>
      <c r="R27" s="29"/>
    </row>
    <row r="28" spans="1:18" s="31" customFormat="1" ht="125.25" customHeight="1" thickTop="1" thickBot="1" x14ac:dyDescent="0.25">
      <c r="A28" s="508" t="s">
        <v>654</v>
      </c>
      <c r="B28" s="508" t="s">
        <v>655</v>
      </c>
      <c r="C28" s="508"/>
      <c r="D28" s="508" t="s">
        <v>656</v>
      </c>
      <c r="E28" s="524">
        <f t="shared" ref="E28:P28" si="12">SUM(E29:E30)</f>
        <v>13460060</v>
      </c>
      <c r="F28" s="524">
        <f t="shared" si="12"/>
        <v>7460060</v>
      </c>
      <c r="G28" s="524">
        <f t="shared" si="12"/>
        <v>0</v>
      </c>
      <c r="H28" s="524">
        <f t="shared" si="12"/>
        <v>0</v>
      </c>
      <c r="I28" s="524">
        <f t="shared" si="12"/>
        <v>6000000</v>
      </c>
      <c r="J28" s="524">
        <f t="shared" si="12"/>
        <v>0</v>
      </c>
      <c r="K28" s="524">
        <f t="shared" si="12"/>
        <v>0</v>
      </c>
      <c r="L28" s="524">
        <f t="shared" si="12"/>
        <v>0</v>
      </c>
      <c r="M28" s="524">
        <f t="shared" si="12"/>
        <v>0</v>
      </c>
      <c r="N28" s="524">
        <f t="shared" si="12"/>
        <v>0</v>
      </c>
      <c r="O28" s="524">
        <f t="shared" si="12"/>
        <v>0</v>
      </c>
      <c r="P28" s="524">
        <f t="shared" si="12"/>
        <v>13460060</v>
      </c>
      <c r="Q28" s="129"/>
      <c r="R28" s="30"/>
    </row>
    <row r="29" spans="1:18" ht="132" customHeight="1" thickTop="1" thickBot="1" x14ac:dyDescent="0.25">
      <c r="A29" s="94" t="s">
        <v>233</v>
      </c>
      <c r="B29" s="94" t="s">
        <v>234</v>
      </c>
      <c r="C29" s="94" t="s">
        <v>235</v>
      </c>
      <c r="D29" s="94" t="s">
        <v>232</v>
      </c>
      <c r="E29" s="521">
        <f>F29+I29</f>
        <v>13460060</v>
      </c>
      <c r="F29" s="504">
        <v>7460060</v>
      </c>
      <c r="G29" s="504"/>
      <c r="H29" s="504"/>
      <c r="I29" s="504">
        <f>(4000000)+2000000</f>
        <v>6000000</v>
      </c>
      <c r="J29" s="501">
        <f t="shared" si="3"/>
        <v>0</v>
      </c>
      <c r="K29" s="504"/>
      <c r="L29" s="504"/>
      <c r="M29" s="504"/>
      <c r="N29" s="504"/>
      <c r="O29" s="502">
        <f t="shared" si="4"/>
        <v>0</v>
      </c>
      <c r="P29" s="501">
        <f>+J29+E29</f>
        <v>13460060</v>
      </c>
      <c r="Q29" s="124"/>
      <c r="R29" s="27"/>
    </row>
    <row r="30" spans="1:18" ht="93" hidden="1" thickTop="1" thickBot="1" x14ac:dyDescent="0.25">
      <c r="A30" s="39" t="s">
        <v>915</v>
      </c>
      <c r="B30" s="39" t="s">
        <v>916</v>
      </c>
      <c r="C30" s="39" t="s">
        <v>235</v>
      </c>
      <c r="D30" s="39" t="s">
        <v>917</v>
      </c>
      <c r="E30" s="118">
        <f t="shared" ref="E30" si="13">F30</f>
        <v>0</v>
      </c>
      <c r="F30" s="125">
        <v>0</v>
      </c>
      <c r="G30" s="125"/>
      <c r="H30" s="125"/>
      <c r="I30" s="125"/>
      <c r="J30" s="118">
        <f t="shared" si="3"/>
        <v>0</v>
      </c>
      <c r="K30" s="41"/>
      <c r="L30" s="41"/>
      <c r="M30" s="41"/>
      <c r="N30" s="41"/>
      <c r="O30" s="42"/>
      <c r="P30" s="40">
        <f>+J30+E30</f>
        <v>0</v>
      </c>
      <c r="Q30" s="124"/>
      <c r="R30" s="27"/>
    </row>
    <row r="31" spans="1:18" ht="122.25" customHeight="1" thickTop="1" thickBot="1" x14ac:dyDescent="0.25">
      <c r="A31" s="508" t="s">
        <v>658</v>
      </c>
      <c r="B31" s="508" t="s">
        <v>659</v>
      </c>
      <c r="C31" s="508"/>
      <c r="D31" s="508" t="s">
        <v>657</v>
      </c>
      <c r="E31" s="524">
        <f>SUM(E34)+E35+E33+E32</f>
        <v>5173510</v>
      </c>
      <c r="F31" s="524">
        <f t="shared" ref="F31:P31" si="14">SUM(F34)+F35+F33+F32</f>
        <v>5173510</v>
      </c>
      <c r="G31" s="524">
        <f t="shared" si="14"/>
        <v>0</v>
      </c>
      <c r="H31" s="524">
        <f t="shared" si="14"/>
        <v>0</v>
      </c>
      <c r="I31" s="524">
        <f t="shared" si="14"/>
        <v>0</v>
      </c>
      <c r="J31" s="524">
        <f t="shared" si="14"/>
        <v>6476703.2000000002</v>
      </c>
      <c r="K31" s="524">
        <f t="shared" si="14"/>
        <v>0</v>
      </c>
      <c r="L31" s="524">
        <f t="shared" si="14"/>
        <v>6276703.2000000002</v>
      </c>
      <c r="M31" s="524">
        <f t="shared" si="14"/>
        <v>0</v>
      </c>
      <c r="N31" s="524">
        <f t="shared" si="14"/>
        <v>0</v>
      </c>
      <c r="O31" s="524">
        <f t="shared" si="14"/>
        <v>200000</v>
      </c>
      <c r="P31" s="524">
        <f t="shared" si="14"/>
        <v>11650213.199999999</v>
      </c>
      <c r="Q31" s="130"/>
      <c r="R31" s="32"/>
    </row>
    <row r="32" spans="1:18" ht="113.25" customHeight="1" thickTop="1" thickBot="1" x14ac:dyDescent="0.25">
      <c r="A32" s="94" t="s">
        <v>1461</v>
      </c>
      <c r="B32" s="94" t="s">
        <v>248</v>
      </c>
      <c r="C32" s="94" t="s">
        <v>208</v>
      </c>
      <c r="D32" s="94" t="s">
        <v>247</v>
      </c>
      <c r="E32" s="521">
        <f>F32+I32</f>
        <v>1087440</v>
      </c>
      <c r="F32" s="504">
        <v>1087440</v>
      </c>
      <c r="G32" s="125"/>
      <c r="H32" s="125"/>
      <c r="I32" s="125"/>
      <c r="J32" s="501">
        <f t="shared" ref="J32" si="15">L32+O32</f>
        <v>0</v>
      </c>
      <c r="K32" s="125"/>
      <c r="L32" s="125"/>
      <c r="M32" s="125"/>
      <c r="N32" s="125"/>
      <c r="O32" s="502">
        <f>K32</f>
        <v>0</v>
      </c>
      <c r="P32" s="501">
        <f t="shared" ref="P32" si="16">E32+J32</f>
        <v>1087440</v>
      </c>
      <c r="Q32" s="130"/>
      <c r="R32" s="32"/>
    </row>
    <row r="33" spans="1:18" ht="48" hidden="1" thickTop="1" thickBot="1" x14ac:dyDescent="0.25">
      <c r="A33" s="119" t="s">
        <v>1215</v>
      </c>
      <c r="B33" s="119" t="s">
        <v>207</v>
      </c>
      <c r="C33" s="119" t="s">
        <v>208</v>
      </c>
      <c r="D33" s="119" t="s">
        <v>40</v>
      </c>
      <c r="E33" s="118"/>
      <c r="F33" s="125"/>
      <c r="G33" s="125"/>
      <c r="H33" s="125"/>
      <c r="I33" s="125"/>
      <c r="J33" s="118">
        <f t="shared" si="3"/>
        <v>0</v>
      </c>
      <c r="K33" s="125"/>
      <c r="L33" s="125"/>
      <c r="M33" s="125"/>
      <c r="N33" s="125"/>
      <c r="O33" s="123">
        <f t="shared" si="4"/>
        <v>0</v>
      </c>
      <c r="P33" s="118">
        <f>+J33+E33</f>
        <v>0</v>
      </c>
      <c r="Q33" s="130"/>
      <c r="R33" s="32"/>
    </row>
    <row r="34" spans="1:18" ht="111" customHeight="1" thickTop="1" thickBot="1" x14ac:dyDescent="0.25">
      <c r="A34" s="94" t="s">
        <v>293</v>
      </c>
      <c r="B34" s="94" t="s">
        <v>294</v>
      </c>
      <c r="C34" s="94" t="s">
        <v>165</v>
      </c>
      <c r="D34" s="94" t="s">
        <v>431</v>
      </c>
      <c r="E34" s="521">
        <f>F34+I34</f>
        <v>532970</v>
      </c>
      <c r="F34" s="504">
        <v>532970</v>
      </c>
      <c r="G34" s="125"/>
      <c r="H34" s="125"/>
      <c r="I34" s="125"/>
      <c r="J34" s="501">
        <f t="shared" si="3"/>
        <v>0</v>
      </c>
      <c r="K34" s="125"/>
      <c r="L34" s="125"/>
      <c r="M34" s="125"/>
      <c r="N34" s="125"/>
      <c r="O34" s="502">
        <f t="shared" si="4"/>
        <v>0</v>
      </c>
      <c r="P34" s="501">
        <f>+J34+E34</f>
        <v>532970</v>
      </c>
      <c r="Q34" s="124"/>
      <c r="R34" s="28"/>
    </row>
    <row r="35" spans="1:18" ht="126" customHeight="1" thickTop="1" thickBot="1" x14ac:dyDescent="0.25">
      <c r="A35" s="518" t="s">
        <v>661</v>
      </c>
      <c r="B35" s="518" t="s">
        <v>662</v>
      </c>
      <c r="C35" s="518"/>
      <c r="D35" s="582" t="s">
        <v>660</v>
      </c>
      <c r="E35" s="519">
        <f t="shared" ref="E35:O35" si="17">SUM(E36:E37)</f>
        <v>3553100</v>
      </c>
      <c r="F35" s="519">
        <f t="shared" si="17"/>
        <v>3553100</v>
      </c>
      <c r="G35" s="519">
        <f t="shared" si="17"/>
        <v>0</v>
      </c>
      <c r="H35" s="519">
        <f t="shared" si="17"/>
        <v>0</v>
      </c>
      <c r="I35" s="519">
        <f t="shared" si="17"/>
        <v>0</v>
      </c>
      <c r="J35" s="519">
        <f t="shared" si="17"/>
        <v>6476703.2000000002</v>
      </c>
      <c r="K35" s="519">
        <f t="shared" si="17"/>
        <v>0</v>
      </c>
      <c r="L35" s="519">
        <f t="shared" si="17"/>
        <v>6276703.2000000002</v>
      </c>
      <c r="M35" s="519">
        <f t="shared" si="17"/>
        <v>0</v>
      </c>
      <c r="N35" s="519">
        <f t="shared" si="17"/>
        <v>0</v>
      </c>
      <c r="O35" s="519">
        <f t="shared" si="17"/>
        <v>200000</v>
      </c>
      <c r="P35" s="519">
        <f>E35+J35</f>
        <v>10029803.199999999</v>
      </c>
      <c r="Q35" s="130"/>
      <c r="R35" s="33"/>
    </row>
    <row r="36" spans="1:18" s="31" customFormat="1" ht="360" customHeight="1" thickTop="1" thickBot="1" x14ac:dyDescent="0.25">
      <c r="A36" s="94" t="s">
        <v>330</v>
      </c>
      <c r="B36" s="94" t="s">
        <v>329</v>
      </c>
      <c r="C36" s="94" t="s">
        <v>165</v>
      </c>
      <c r="D36" s="581" t="s">
        <v>1456</v>
      </c>
      <c r="E36" s="118"/>
      <c r="F36" s="207"/>
      <c r="G36" s="207"/>
      <c r="H36" s="207"/>
      <c r="I36" s="207"/>
      <c r="J36" s="584">
        <f>L36+O36</f>
        <v>6476703.2000000002</v>
      </c>
      <c r="K36" s="207"/>
      <c r="L36" s="525">
        <f>((7105000-200000)+3068946.91)-3697243.71</f>
        <v>6276703.2000000002</v>
      </c>
      <c r="M36" s="207"/>
      <c r="N36" s="207"/>
      <c r="O36" s="583">
        <v>200000</v>
      </c>
      <c r="P36" s="585">
        <f>E36+J36</f>
        <v>6476703.2000000002</v>
      </c>
      <c r="Q36" s="133"/>
      <c r="R36" s="34"/>
    </row>
    <row r="37" spans="1:18" s="31" customFormat="1" ht="120" customHeight="1" thickTop="1" thickBot="1" x14ac:dyDescent="0.25">
      <c r="A37" s="94" t="s">
        <v>870</v>
      </c>
      <c r="B37" s="94" t="s">
        <v>251</v>
      </c>
      <c r="C37" s="94" t="s">
        <v>165</v>
      </c>
      <c r="D37" s="94" t="s">
        <v>249</v>
      </c>
      <c r="E37" s="471">
        <f>F37+I37</f>
        <v>3553100</v>
      </c>
      <c r="F37" s="504">
        <v>3553100</v>
      </c>
      <c r="G37" s="504"/>
      <c r="H37" s="504"/>
      <c r="I37" s="504"/>
      <c r="J37" s="501">
        <f>L37+O37</f>
        <v>0</v>
      </c>
      <c r="K37" s="504"/>
      <c r="L37" s="504"/>
      <c r="M37" s="504"/>
      <c r="N37" s="504"/>
      <c r="O37" s="502"/>
      <c r="P37" s="501">
        <f>E37+J37</f>
        <v>3553100</v>
      </c>
      <c r="Q37" s="34"/>
      <c r="R37" s="34"/>
    </row>
    <row r="38" spans="1:18" s="31" customFormat="1" ht="99.75" customHeight="1" thickTop="1" thickBot="1" x14ac:dyDescent="0.25">
      <c r="A38" s="239" t="s">
        <v>663</v>
      </c>
      <c r="B38" s="239" t="s">
        <v>664</v>
      </c>
      <c r="C38" s="239"/>
      <c r="D38" s="239" t="s">
        <v>665</v>
      </c>
      <c r="E38" s="501">
        <f t="shared" ref="E38:P38" si="18">E42+E39</f>
        <v>105800901</v>
      </c>
      <c r="F38" s="501">
        <f t="shared" si="18"/>
        <v>40720901</v>
      </c>
      <c r="G38" s="501">
        <f t="shared" si="18"/>
        <v>0</v>
      </c>
      <c r="H38" s="501">
        <f t="shared" si="18"/>
        <v>0</v>
      </c>
      <c r="I38" s="501">
        <f t="shared" si="18"/>
        <v>65080000</v>
      </c>
      <c r="J38" s="501">
        <f t="shared" si="18"/>
        <v>0</v>
      </c>
      <c r="K38" s="501">
        <f t="shared" si="18"/>
        <v>0</v>
      </c>
      <c r="L38" s="501">
        <f t="shared" si="18"/>
        <v>0</v>
      </c>
      <c r="M38" s="501">
        <f t="shared" si="18"/>
        <v>0</v>
      </c>
      <c r="N38" s="501">
        <f t="shared" si="18"/>
        <v>0</v>
      </c>
      <c r="O38" s="501">
        <f t="shared" si="18"/>
        <v>0</v>
      </c>
      <c r="P38" s="501">
        <f t="shared" si="18"/>
        <v>105800901</v>
      </c>
      <c r="Q38" s="34"/>
      <c r="R38" s="34"/>
    </row>
    <row r="39" spans="1:18" s="31" customFormat="1" ht="107.25" customHeight="1" thickTop="1" thickBot="1" x14ac:dyDescent="0.25">
      <c r="A39" s="508" t="s">
        <v>1065</v>
      </c>
      <c r="B39" s="508" t="s">
        <v>1066</v>
      </c>
      <c r="C39" s="508"/>
      <c r="D39" s="508" t="s">
        <v>1064</v>
      </c>
      <c r="E39" s="524">
        <f t="shared" ref="E39:P39" si="19">SUM(E40:E41)</f>
        <v>93532123</v>
      </c>
      <c r="F39" s="524">
        <f t="shared" si="19"/>
        <v>28452123</v>
      </c>
      <c r="G39" s="524">
        <f t="shared" si="19"/>
        <v>0</v>
      </c>
      <c r="H39" s="524">
        <f t="shared" si="19"/>
        <v>0</v>
      </c>
      <c r="I39" s="524">
        <f t="shared" si="19"/>
        <v>65080000</v>
      </c>
      <c r="J39" s="524">
        <f t="shared" si="19"/>
        <v>0</v>
      </c>
      <c r="K39" s="524">
        <f t="shared" si="19"/>
        <v>0</v>
      </c>
      <c r="L39" s="524">
        <f t="shared" si="19"/>
        <v>0</v>
      </c>
      <c r="M39" s="524">
        <f t="shared" si="19"/>
        <v>0</v>
      </c>
      <c r="N39" s="524">
        <f t="shared" si="19"/>
        <v>0</v>
      </c>
      <c r="O39" s="524">
        <f t="shared" si="19"/>
        <v>0</v>
      </c>
      <c r="P39" s="524">
        <f t="shared" si="19"/>
        <v>93532123</v>
      </c>
      <c r="Q39" s="34"/>
      <c r="R39" s="34"/>
    </row>
    <row r="40" spans="1:18" s="31" customFormat="1" ht="104.25" customHeight="1" thickTop="1" thickBot="1" x14ac:dyDescent="0.25">
      <c r="A40" s="94" t="s">
        <v>1092</v>
      </c>
      <c r="B40" s="94" t="s">
        <v>1093</v>
      </c>
      <c r="C40" s="94" t="s">
        <v>1068</v>
      </c>
      <c r="D40" s="94" t="s">
        <v>1094</v>
      </c>
      <c r="E40" s="471">
        <f>F40+I40</f>
        <v>85130000</v>
      </c>
      <c r="F40" s="504">
        <f>(47000000-32000000)+50000+5000000</f>
        <v>20050000</v>
      </c>
      <c r="G40" s="504"/>
      <c r="H40" s="504"/>
      <c r="I40" s="504">
        <f>(((32000000)+480000+2000000+20000000+600000))+10000000</f>
        <v>65080000</v>
      </c>
      <c r="J40" s="501">
        <f>L40+O40</f>
        <v>0</v>
      </c>
      <c r="K40" s="504"/>
      <c r="L40" s="504"/>
      <c r="M40" s="504"/>
      <c r="N40" s="504"/>
      <c r="O40" s="502">
        <f>K40</f>
        <v>0</v>
      </c>
      <c r="P40" s="501">
        <f>E40+J40</f>
        <v>85130000</v>
      </c>
      <c r="Q40" s="34"/>
      <c r="R40" s="34"/>
    </row>
    <row r="41" spans="1:18" s="31" customFormat="1" ht="116.25" customHeight="1" thickTop="1" thickBot="1" x14ac:dyDescent="0.25">
      <c r="A41" s="94" t="s">
        <v>1069</v>
      </c>
      <c r="B41" s="94" t="s">
        <v>1070</v>
      </c>
      <c r="C41" s="94" t="s">
        <v>1068</v>
      </c>
      <c r="D41" s="94" t="s">
        <v>1067</v>
      </c>
      <c r="E41" s="471">
        <f>F41+I41</f>
        <v>8402123</v>
      </c>
      <c r="F41" s="504">
        <f>((7477363+620000)+115000)+189760</f>
        <v>8402123</v>
      </c>
      <c r="G41" s="504"/>
      <c r="H41" s="504"/>
      <c r="I41" s="504"/>
      <c r="J41" s="501">
        <f>L41+O41</f>
        <v>0</v>
      </c>
      <c r="K41" s="504"/>
      <c r="L41" s="504"/>
      <c r="M41" s="504"/>
      <c r="N41" s="504"/>
      <c r="O41" s="502">
        <f>K41</f>
        <v>0</v>
      </c>
      <c r="P41" s="501">
        <f>E41+J41</f>
        <v>8402123</v>
      </c>
      <c r="Q41" s="34"/>
      <c r="R41" s="34"/>
    </row>
    <row r="42" spans="1:18" s="31" customFormat="1" ht="116.25" customHeight="1" thickTop="1" thickBot="1" x14ac:dyDescent="0.25">
      <c r="A42" s="496" t="s">
        <v>666</v>
      </c>
      <c r="B42" s="496" t="s">
        <v>667</v>
      </c>
      <c r="C42" s="496"/>
      <c r="D42" s="496" t="s">
        <v>1569</v>
      </c>
      <c r="E42" s="495">
        <f>SUM(E43)</f>
        <v>12268778</v>
      </c>
      <c r="F42" s="495">
        <f t="shared" ref="F42:P42" si="20">SUM(F43)</f>
        <v>12268778</v>
      </c>
      <c r="G42" s="495">
        <f t="shared" si="20"/>
        <v>0</v>
      </c>
      <c r="H42" s="495">
        <f t="shared" si="20"/>
        <v>0</v>
      </c>
      <c r="I42" s="495">
        <f t="shared" si="20"/>
        <v>0</v>
      </c>
      <c r="J42" s="495">
        <f t="shared" si="20"/>
        <v>0</v>
      </c>
      <c r="K42" s="495">
        <f t="shared" si="20"/>
        <v>0</v>
      </c>
      <c r="L42" s="495">
        <f t="shared" si="20"/>
        <v>0</v>
      </c>
      <c r="M42" s="495">
        <f t="shared" si="20"/>
        <v>0</v>
      </c>
      <c r="N42" s="495">
        <f t="shared" si="20"/>
        <v>0</v>
      </c>
      <c r="O42" s="495">
        <f t="shared" si="20"/>
        <v>0</v>
      </c>
      <c r="P42" s="495">
        <f t="shared" si="20"/>
        <v>12268778</v>
      </c>
      <c r="Q42" s="34"/>
    </row>
    <row r="43" spans="1:18" ht="123" customHeight="1" thickTop="1" thickBot="1" x14ac:dyDescent="0.25">
      <c r="A43" s="469" t="s">
        <v>236</v>
      </c>
      <c r="B43" s="469" t="s">
        <v>237</v>
      </c>
      <c r="C43" s="469" t="s">
        <v>238</v>
      </c>
      <c r="D43" s="469" t="s">
        <v>1365</v>
      </c>
      <c r="E43" s="471">
        <f>F43+I43</f>
        <v>12268778</v>
      </c>
      <c r="F43" s="487">
        <v>12268778</v>
      </c>
      <c r="G43" s="487"/>
      <c r="H43" s="487"/>
      <c r="I43" s="487"/>
      <c r="J43" s="485">
        <f>L43+O43</f>
        <v>0</v>
      </c>
      <c r="K43" s="487"/>
      <c r="L43" s="487"/>
      <c r="M43" s="487"/>
      <c r="N43" s="487"/>
      <c r="O43" s="488">
        <f>K43</f>
        <v>0</v>
      </c>
      <c r="P43" s="485">
        <f>E43+J43</f>
        <v>12268778</v>
      </c>
      <c r="Q43" s="18"/>
    </row>
    <row r="44" spans="1:18" ht="119.25" customHeight="1" thickTop="1" thickBot="1" x14ac:dyDescent="0.25">
      <c r="A44" s="239" t="s">
        <v>668</v>
      </c>
      <c r="B44" s="239" t="s">
        <v>669</v>
      </c>
      <c r="C44" s="239"/>
      <c r="D44" s="239" t="s">
        <v>670</v>
      </c>
      <c r="E44" s="501">
        <f>E45+E48</f>
        <v>240174244.48000002</v>
      </c>
      <c r="F44" s="501">
        <f t="shared" ref="F44:P44" si="21">F45+F48</f>
        <v>77787085.359999999</v>
      </c>
      <c r="G44" s="501">
        <f t="shared" si="21"/>
        <v>0</v>
      </c>
      <c r="H44" s="501">
        <f t="shared" si="21"/>
        <v>0</v>
      </c>
      <c r="I44" s="501">
        <f t="shared" si="21"/>
        <v>162387159.12</v>
      </c>
      <c r="J44" s="501">
        <f t="shared" si="21"/>
        <v>0</v>
      </c>
      <c r="K44" s="501">
        <f t="shared" si="21"/>
        <v>0</v>
      </c>
      <c r="L44" s="501">
        <f t="shared" si="21"/>
        <v>0</v>
      </c>
      <c r="M44" s="501">
        <f t="shared" si="21"/>
        <v>0</v>
      </c>
      <c r="N44" s="501">
        <f t="shared" si="21"/>
        <v>0</v>
      </c>
      <c r="O44" s="501">
        <f t="shared" si="21"/>
        <v>0</v>
      </c>
      <c r="P44" s="501">
        <f t="shared" si="21"/>
        <v>240174244.48000002</v>
      </c>
      <c r="Q44" s="18"/>
    </row>
    <row r="45" spans="1:18" s="31" customFormat="1" ht="163.5" customHeight="1" thickTop="1" thickBot="1" x14ac:dyDescent="0.25">
      <c r="A45" s="508" t="s">
        <v>671</v>
      </c>
      <c r="B45" s="508" t="s">
        <v>672</v>
      </c>
      <c r="C45" s="508"/>
      <c r="D45" s="508" t="s">
        <v>673</v>
      </c>
      <c r="E45" s="524">
        <f>SUM(E46:E47)</f>
        <v>8159800</v>
      </c>
      <c r="F45" s="524">
        <f t="shared" ref="F45:P45" si="22">SUM(F46:F47)</f>
        <v>8159800</v>
      </c>
      <c r="G45" s="524">
        <f t="shared" si="22"/>
        <v>0</v>
      </c>
      <c r="H45" s="524">
        <f t="shared" si="22"/>
        <v>0</v>
      </c>
      <c r="I45" s="524">
        <f t="shared" si="22"/>
        <v>0</v>
      </c>
      <c r="J45" s="524">
        <f t="shared" si="22"/>
        <v>0</v>
      </c>
      <c r="K45" s="524">
        <f t="shared" si="22"/>
        <v>0</v>
      </c>
      <c r="L45" s="524">
        <f t="shared" si="22"/>
        <v>0</v>
      </c>
      <c r="M45" s="524">
        <f t="shared" si="22"/>
        <v>0</v>
      </c>
      <c r="N45" s="524">
        <f t="shared" si="22"/>
        <v>0</v>
      </c>
      <c r="O45" s="524">
        <f t="shared" si="22"/>
        <v>0</v>
      </c>
      <c r="P45" s="524">
        <f t="shared" si="22"/>
        <v>8159800</v>
      </c>
      <c r="Q45" s="34"/>
      <c r="R45" s="34"/>
    </row>
    <row r="46" spans="1:18" ht="213.75" customHeight="1" thickTop="1" thickBot="1" x14ac:dyDescent="0.25">
      <c r="A46" s="94" t="s">
        <v>239</v>
      </c>
      <c r="B46" s="94" t="s">
        <v>240</v>
      </c>
      <c r="C46" s="94" t="s">
        <v>42</v>
      </c>
      <c r="D46" s="94" t="s">
        <v>432</v>
      </c>
      <c r="E46" s="471">
        <f>F46+I46</f>
        <v>1159800</v>
      </c>
      <c r="F46" s="504">
        <v>1159800</v>
      </c>
      <c r="G46" s="125"/>
      <c r="H46" s="125"/>
      <c r="I46" s="125"/>
      <c r="J46" s="501">
        <f>L46+O46</f>
        <v>0</v>
      </c>
      <c r="K46" s="504"/>
      <c r="L46" s="504"/>
      <c r="M46" s="504"/>
      <c r="N46" s="504"/>
      <c r="O46" s="502">
        <f>K46</f>
        <v>0</v>
      </c>
      <c r="P46" s="501">
        <f>E46+J46</f>
        <v>1159800</v>
      </c>
      <c r="Q46" s="18"/>
    </row>
    <row r="47" spans="1:18" ht="171.75" customHeight="1" thickTop="1" thickBot="1" x14ac:dyDescent="0.25">
      <c r="A47" s="94" t="s">
        <v>551</v>
      </c>
      <c r="B47" s="94" t="s">
        <v>353</v>
      </c>
      <c r="C47" s="94" t="s">
        <v>42</v>
      </c>
      <c r="D47" s="94" t="s">
        <v>354</v>
      </c>
      <c r="E47" s="521">
        <f>F47+I47</f>
        <v>7000000</v>
      </c>
      <c r="F47" s="504">
        <v>7000000</v>
      </c>
      <c r="G47" s="504"/>
      <c r="H47" s="504"/>
      <c r="I47" s="504"/>
      <c r="J47" s="501">
        <f>L47+O47</f>
        <v>0</v>
      </c>
      <c r="K47" s="504">
        <f>(1000000)-1000000</f>
        <v>0</v>
      </c>
      <c r="L47" s="504"/>
      <c r="M47" s="504"/>
      <c r="N47" s="504"/>
      <c r="O47" s="502">
        <f>K47</f>
        <v>0</v>
      </c>
      <c r="P47" s="501">
        <f>E47+J47</f>
        <v>7000000</v>
      </c>
      <c r="Q47" s="18"/>
    </row>
    <row r="48" spans="1:18" ht="161.25" customHeight="1" thickTop="1" thickBot="1" x14ac:dyDescent="0.25">
      <c r="A48" s="94" t="s">
        <v>496</v>
      </c>
      <c r="B48" s="94" t="s">
        <v>497</v>
      </c>
      <c r="C48" s="94" t="s">
        <v>42</v>
      </c>
      <c r="D48" s="94" t="s">
        <v>498</v>
      </c>
      <c r="E48" s="471">
        <f>F48+I48</f>
        <v>232014444.48000002</v>
      </c>
      <c r="F48" s="504">
        <f>((23947078.28+39338916-108000)-11529708.92+1000000)+16979000</f>
        <v>69627285.359999999</v>
      </c>
      <c r="G48" s="504"/>
      <c r="H48" s="504"/>
      <c r="I48" s="504">
        <f>((59714005.72+108000)+62105153.4+126000+1900000-1600000)+40034000</f>
        <v>162387159.12</v>
      </c>
      <c r="J48" s="501">
        <f>L48+O48</f>
        <v>0</v>
      </c>
      <c r="K48" s="504"/>
      <c r="L48" s="504"/>
      <c r="M48" s="504"/>
      <c r="N48" s="504"/>
      <c r="O48" s="502">
        <f>K48</f>
        <v>0</v>
      </c>
      <c r="P48" s="501">
        <f>E48+J48</f>
        <v>232014444.48000002</v>
      </c>
      <c r="Q48" s="18"/>
      <c r="R48" s="24"/>
    </row>
    <row r="49" spans="1:20" ht="165.75" customHeight="1" thickTop="1" thickBot="1" x14ac:dyDescent="0.25">
      <c r="A49" s="514" t="s">
        <v>147</v>
      </c>
      <c r="B49" s="514"/>
      <c r="C49" s="514"/>
      <c r="D49" s="515" t="s">
        <v>0</v>
      </c>
      <c r="E49" s="516">
        <f>E50</f>
        <v>2686671420.7899995</v>
      </c>
      <c r="F49" s="517">
        <f t="shared" ref="F49" si="23">F50</f>
        <v>2665509594.1999998</v>
      </c>
      <c r="G49" s="517">
        <f>G50</f>
        <v>1755282420</v>
      </c>
      <c r="H49" s="517">
        <f>H50</f>
        <v>206073200.80000001</v>
      </c>
      <c r="I49" s="517">
        <f t="shared" ref="I49" si="24">I50</f>
        <v>21161826.59</v>
      </c>
      <c r="J49" s="516">
        <f>J50</f>
        <v>280946970.14999998</v>
      </c>
      <c r="K49" s="517">
        <f>K50</f>
        <v>22608879.149999999</v>
      </c>
      <c r="L49" s="517">
        <f>L50</f>
        <v>252543441</v>
      </c>
      <c r="M49" s="517">
        <f t="shared" ref="M49" si="25">M50</f>
        <v>80103220</v>
      </c>
      <c r="N49" s="517">
        <f>N50</f>
        <v>20220010</v>
      </c>
      <c r="O49" s="516">
        <f>O50</f>
        <v>28403529.149999999</v>
      </c>
      <c r="P49" s="517">
        <f t="shared" ref="P49" si="26">P50</f>
        <v>2967618390.9399996</v>
      </c>
      <c r="Q49" s="517">
        <f>O50-K50</f>
        <v>5794650</v>
      </c>
    </row>
    <row r="50" spans="1:20" ht="159.75" customHeight="1" thickTop="1" thickBot="1" x14ac:dyDescent="0.25">
      <c r="A50" s="511" t="s">
        <v>148</v>
      </c>
      <c r="B50" s="511"/>
      <c r="C50" s="511"/>
      <c r="D50" s="512" t="s">
        <v>1</v>
      </c>
      <c r="E50" s="513">
        <f>E51+E100+E114+E104+E109</f>
        <v>2686671420.7899995</v>
      </c>
      <c r="F50" s="513">
        <f>F51+F100+F114+F104+F109</f>
        <v>2665509594.1999998</v>
      </c>
      <c r="G50" s="513">
        <f>G51+G100+G114+G104+G109</f>
        <v>1755282420</v>
      </c>
      <c r="H50" s="513">
        <f>H51+H100+H114+H104+H109</f>
        <v>206073200.80000001</v>
      </c>
      <c r="I50" s="513">
        <f>I51+I100+I114+I104+I109</f>
        <v>21161826.59</v>
      </c>
      <c r="J50" s="513">
        <f>L50+O50</f>
        <v>280946970.14999998</v>
      </c>
      <c r="K50" s="513">
        <f>K51+K100+K114+K104+K109</f>
        <v>22608879.149999999</v>
      </c>
      <c r="L50" s="513">
        <f>L51+L100+L114+L104+L109</f>
        <v>252543441</v>
      </c>
      <c r="M50" s="513">
        <f>M51+M100+M114+M104+M109</f>
        <v>80103220</v>
      </c>
      <c r="N50" s="513">
        <f>N51+N100+N114+N104+N109</f>
        <v>20220010</v>
      </c>
      <c r="O50" s="513">
        <f>O51+O100+O114+O104+O109</f>
        <v>28403529.149999999</v>
      </c>
      <c r="P50" s="513">
        <f>E50+J50</f>
        <v>2967618390.9399996</v>
      </c>
      <c r="Q50" s="597" t="b">
        <f>P50=P52+P54+P55+P56+P62+P64+P67+P68+P70+P72+P95+P101+P103+P108+P58+P59+P65+P71+P76+P77+P78+P99+P98+P89+P90</f>
        <v>1</v>
      </c>
      <c r="R50" s="24"/>
    </row>
    <row r="51" spans="1:20" ht="105.75" customHeight="1" thickTop="1" thickBot="1" x14ac:dyDescent="0.25">
      <c r="A51" s="239" t="s">
        <v>674</v>
      </c>
      <c r="B51" s="239" t="s">
        <v>675</v>
      </c>
      <c r="C51" s="239"/>
      <c r="D51" s="239" t="s">
        <v>676</v>
      </c>
      <c r="E51" s="501">
        <f t="shared" ref="E51:P51" si="27">E52+E53+E57+E62+E63+E66+E69+E72+E73+E78+E60+E79+E80+E83+E86+E92+E96+E95+E98+E99</f>
        <v>2677506420.7899995</v>
      </c>
      <c r="F51" s="501">
        <f t="shared" si="27"/>
        <v>2662944594.1999998</v>
      </c>
      <c r="G51" s="501">
        <f t="shared" si="27"/>
        <v>1755282420</v>
      </c>
      <c r="H51" s="501">
        <f t="shared" si="27"/>
        <v>206073200.80000001</v>
      </c>
      <c r="I51" s="501">
        <f t="shared" si="27"/>
        <v>14561826.59</v>
      </c>
      <c r="J51" s="501">
        <f t="shared" si="27"/>
        <v>280946970.14999998</v>
      </c>
      <c r="K51" s="501">
        <f t="shared" si="27"/>
        <v>22608879.149999999</v>
      </c>
      <c r="L51" s="501">
        <f t="shared" si="27"/>
        <v>252543441</v>
      </c>
      <c r="M51" s="501">
        <f t="shared" si="27"/>
        <v>80103220</v>
      </c>
      <c r="N51" s="501">
        <f t="shared" si="27"/>
        <v>20220010</v>
      </c>
      <c r="O51" s="501">
        <f t="shared" si="27"/>
        <v>28403529.149999999</v>
      </c>
      <c r="P51" s="501">
        <f t="shared" si="27"/>
        <v>2958453390.9399996</v>
      </c>
      <c r="Q51" s="28"/>
      <c r="R51" s="24"/>
    </row>
    <row r="52" spans="1:20" ht="90.75" customHeight="1" thickTop="1" thickBot="1" x14ac:dyDescent="0.6">
      <c r="A52" s="94" t="s">
        <v>193</v>
      </c>
      <c r="B52" s="94" t="s">
        <v>194</v>
      </c>
      <c r="C52" s="94" t="s">
        <v>196</v>
      </c>
      <c r="D52" s="94" t="s">
        <v>197</v>
      </c>
      <c r="E52" s="471">
        <f>F52+I52</f>
        <v>845138922.3499999</v>
      </c>
      <c r="F52" s="504">
        <f>((610226465+6909960+104820+69187285+6091282+37526812+2937831+29629730+1448941+986605.04+1643561+158180+650+99930+184825+32040+104500)+71672400+174107+500000+52700+50000+22000+155321+306990+8354+41969+39515.51+110000+162000)+786450.58+1064933+145857.53+156000+1400+72865.01+30000+192068+349768+317430+156000+70000+349768</f>
        <v>844261313.66999996</v>
      </c>
      <c r="G52" s="504">
        <f>(500185627)+58750000</f>
        <v>558935627</v>
      </c>
      <c r="H52" s="504">
        <f>37526812+2937831+29629730+1448941+986605.04+1643561</f>
        <v>74173480.040000007</v>
      </c>
      <c r="I52" s="504">
        <f>(((500000)+31302+27900+150000)-250100.32)+80000+338507</f>
        <v>877608.67999999993</v>
      </c>
      <c r="J52" s="501">
        <f t="shared" ref="J52:J76" si="28">L52+O52</f>
        <v>115891490</v>
      </c>
      <c r="K52" s="125"/>
      <c r="L52" s="504">
        <f>(112473500)+870300+171080+176560+77790+85610+14640+16940</f>
        <v>113886420</v>
      </c>
      <c r="M52" s="504">
        <f>(26498520)+870300</f>
        <v>27368820</v>
      </c>
      <c r="N52" s="504">
        <f>(4269610)+85610+14640+16940</f>
        <v>4386800</v>
      </c>
      <c r="O52" s="502">
        <f>(K52+1930070)+75000</f>
        <v>2005070</v>
      </c>
      <c r="P52" s="501">
        <f t="shared" ref="P52:P64" si="29">E52+J52</f>
        <v>961030412.3499999</v>
      </c>
      <c r="Q52" s="134"/>
      <c r="R52" s="24"/>
    </row>
    <row r="53" spans="1:20" ht="93.75" customHeight="1" thickTop="1" thickBot="1" x14ac:dyDescent="0.6">
      <c r="A53" s="518" t="s">
        <v>198</v>
      </c>
      <c r="B53" s="518" t="s">
        <v>195</v>
      </c>
      <c r="C53" s="518"/>
      <c r="D53" s="518" t="s">
        <v>615</v>
      </c>
      <c r="E53" s="519">
        <f>E54+E55+E56</f>
        <v>647976324.13999987</v>
      </c>
      <c r="F53" s="519">
        <f>F54+F55+F56</f>
        <v>635189242.38999987</v>
      </c>
      <c r="G53" s="519">
        <f t="shared" ref="G53:I53" si="30">G54+G55+G56</f>
        <v>346572442</v>
      </c>
      <c r="H53" s="519">
        <f t="shared" si="30"/>
        <v>102568086.8</v>
      </c>
      <c r="I53" s="519">
        <f t="shared" si="30"/>
        <v>12787081.75</v>
      </c>
      <c r="J53" s="519">
        <f t="shared" ref="J53" si="31">J54+J55+J56</f>
        <v>110684930</v>
      </c>
      <c r="K53" s="519">
        <f t="shared" ref="K53" si="32">K54+K55+K56</f>
        <v>0</v>
      </c>
      <c r="L53" s="519">
        <f t="shared" ref="L53" si="33">L54+L55+L56</f>
        <v>108069050</v>
      </c>
      <c r="M53" s="519">
        <f t="shared" ref="M53" si="34">M54+M55+M56</f>
        <v>44372460</v>
      </c>
      <c r="N53" s="519">
        <f t="shared" ref="N53" si="35">N54+N55+N56</f>
        <v>5337400</v>
      </c>
      <c r="O53" s="519">
        <f t="shared" ref="O53" si="36">O54+O55+O56</f>
        <v>2615880</v>
      </c>
      <c r="P53" s="519">
        <f>E53+J53</f>
        <v>758661254.13999987</v>
      </c>
      <c r="Q53" s="134"/>
      <c r="R53" s="35"/>
    </row>
    <row r="54" spans="1:20" ht="155.25" customHeight="1" thickTop="1" thickBot="1" x14ac:dyDescent="0.6">
      <c r="A54" s="94" t="s">
        <v>613</v>
      </c>
      <c r="B54" s="94" t="s">
        <v>614</v>
      </c>
      <c r="C54" s="94" t="s">
        <v>199</v>
      </c>
      <c r="D54" s="94" t="s">
        <v>1137</v>
      </c>
      <c r="E54" s="471">
        <f>F54+I54</f>
        <v>583464076.36999989</v>
      </c>
      <c r="F54" s="504">
        <f>((361766525+17535780+1200000+600000+300000+225592+57957200+8669689+588000+52322520+2686149+33035285+4967507+3161798.72+323420+31840+1061020+1540+1098000+337242+688628.67+100000+99000)+12440500-90950+90950-493680+522307+500000+499750+500000+220000+27203+9000+60000+633057.47+183896.1+199846+195974.15+47026.8+101750+162000)+500000+1246299.55+70000+1687569.6+398577.85+197997.09+321246.55+754889.64+150000+423265.43-9000-21072+282050+137977+89846+3720+10450+155550-133035-132204</f>
        <v>570699494.61999989</v>
      </c>
      <c r="G54" s="504">
        <f>(296529770)+10203250</f>
        <v>306733020</v>
      </c>
      <c r="H54" s="504">
        <f>52322520+2686149+33035285+4967507+3161798.72</f>
        <v>96173259.719999999</v>
      </c>
      <c r="I54" s="504">
        <f>((1200000+300000+500000+240000+952641.5+857000+997500+500000+500000+500000)+300000-500000+50000+32580+42000+99000+1146359.41)-500000-193791.75+323163.29+300000+1300000+3484549.3-282050+50052+100339+346000-166000+265239+20000</f>
        <v>12764581.75</v>
      </c>
      <c r="J54" s="501">
        <f t="shared" si="28"/>
        <v>110512230</v>
      </c>
      <c r="K54" s="125"/>
      <c r="L54" s="504">
        <f>(104126550)+2874480+626090+45640+5000+40150+30540+116780+4500+26620</f>
        <v>107896350</v>
      </c>
      <c r="M54" s="504">
        <f>(41497980)+2874480</f>
        <v>44372460</v>
      </c>
      <c r="N54" s="504">
        <f>(5064830)+40150+30540+116780+4500</f>
        <v>5256800</v>
      </c>
      <c r="O54" s="502">
        <f>(K54+2533580)+82300</f>
        <v>2615880</v>
      </c>
      <c r="P54" s="501">
        <f t="shared" si="29"/>
        <v>693976306.36999989</v>
      </c>
      <c r="Q54" s="134"/>
      <c r="R54" s="24"/>
      <c r="T54" s="36"/>
    </row>
    <row r="55" spans="1:20" ht="252.75" customHeight="1" thickTop="1" thickBot="1" x14ac:dyDescent="0.25">
      <c r="A55" s="94" t="s">
        <v>621</v>
      </c>
      <c r="B55" s="94" t="s">
        <v>622</v>
      </c>
      <c r="C55" s="94" t="s">
        <v>202</v>
      </c>
      <c r="D55" s="94" t="s">
        <v>1369</v>
      </c>
      <c r="E55" s="471">
        <f>F55+I55</f>
        <v>40171973.359999999</v>
      </c>
      <c r="F55" s="504">
        <f>((29763768+391568+10300+2239400+338118+1661682+34167+406440+7254.12+14690+26992+46892.24+11000)+5100000+62850+2750+4500)+34602</f>
        <v>40156973.359999999</v>
      </c>
      <c r="G55" s="504">
        <f>(24396531)+4180000</f>
        <v>28576531</v>
      </c>
      <c r="H55" s="504">
        <f>1661682+34167+406440+7254.12</f>
        <v>2109543.12</v>
      </c>
      <c r="I55" s="504">
        <f>15000</f>
        <v>15000</v>
      </c>
      <c r="J55" s="501">
        <f t="shared" si="28"/>
        <v>172700</v>
      </c>
      <c r="K55" s="125"/>
      <c r="L55" s="504">
        <v>172700</v>
      </c>
      <c r="M55" s="504"/>
      <c r="N55" s="504">
        <v>80600</v>
      </c>
      <c r="O55" s="502">
        <f>K55+0</f>
        <v>0</v>
      </c>
      <c r="P55" s="501">
        <f t="shared" si="29"/>
        <v>40344673.359999999</v>
      </c>
      <c r="Q55" s="18"/>
      <c r="R55" s="25"/>
    </row>
    <row r="56" spans="1:20" ht="93" thickTop="1" thickBot="1" x14ac:dyDescent="0.25">
      <c r="A56" s="94" t="s">
        <v>932</v>
      </c>
      <c r="B56" s="94" t="s">
        <v>933</v>
      </c>
      <c r="C56" s="94" t="s">
        <v>202</v>
      </c>
      <c r="D56" s="94" t="s">
        <v>1578</v>
      </c>
      <c r="E56" s="471">
        <f>F56+I56</f>
        <v>24340274.41</v>
      </c>
      <c r="F56" s="504">
        <f>(13740729+528134+15150+4100000+243108+301480+2673411+171490+1428880+11502.96+6230+2960+89369.47+500000+300000+5500+26035+2750+4500)+181544.98</f>
        <v>24332774.41</v>
      </c>
      <c r="G56" s="504">
        <f>11262891</f>
        <v>11262891</v>
      </c>
      <c r="H56" s="504">
        <f>2673411+171490+1428880+11502.96</f>
        <v>4285283.96</v>
      </c>
      <c r="I56" s="504">
        <f>7500</f>
        <v>7500</v>
      </c>
      <c r="J56" s="501">
        <f t="shared" ref="J56" si="37">L56+O56</f>
        <v>0</v>
      </c>
      <c r="K56" s="125"/>
      <c r="L56" s="125"/>
      <c r="M56" s="125"/>
      <c r="N56" s="125"/>
      <c r="O56" s="502">
        <f>K56</f>
        <v>0</v>
      </c>
      <c r="P56" s="501">
        <f t="shared" ref="P56" si="38">E56+J56</f>
        <v>24340274.41</v>
      </c>
      <c r="Q56" s="18"/>
      <c r="R56" s="25"/>
    </row>
    <row r="57" spans="1:20" ht="113.25" customHeight="1" thickTop="1" thickBot="1" x14ac:dyDescent="0.25">
      <c r="A57" s="518" t="s">
        <v>482</v>
      </c>
      <c r="B57" s="518" t="s">
        <v>200</v>
      </c>
      <c r="C57" s="518"/>
      <c r="D57" s="518" t="s">
        <v>627</v>
      </c>
      <c r="E57" s="519">
        <f>SUM(E58:E59)</f>
        <v>718065068</v>
      </c>
      <c r="F57" s="519">
        <f>SUM(F58:F59)</f>
        <v>718065068</v>
      </c>
      <c r="G57" s="519">
        <f>SUM(G58:G59)</f>
        <v>583772289</v>
      </c>
      <c r="H57" s="519">
        <f>SUM(H58:H59)</f>
        <v>0</v>
      </c>
      <c r="I57" s="519">
        <f>SUM(I58:I59)</f>
        <v>0</v>
      </c>
      <c r="J57" s="519">
        <f t="shared" ref="J57:P57" si="39">SUM(J58:J59)</f>
        <v>0</v>
      </c>
      <c r="K57" s="519">
        <f t="shared" si="39"/>
        <v>0</v>
      </c>
      <c r="L57" s="519">
        <f t="shared" si="39"/>
        <v>0</v>
      </c>
      <c r="M57" s="519">
        <f t="shared" si="39"/>
        <v>0</v>
      </c>
      <c r="N57" s="519">
        <f t="shared" si="39"/>
        <v>0</v>
      </c>
      <c r="O57" s="519">
        <f t="shared" si="39"/>
        <v>0</v>
      </c>
      <c r="P57" s="519">
        <f t="shared" si="39"/>
        <v>718065068</v>
      </c>
      <c r="Q57" s="18"/>
      <c r="R57" s="35"/>
    </row>
    <row r="58" spans="1:20" ht="138.75" customHeight="1" thickTop="1" thickBot="1" x14ac:dyDescent="0.25">
      <c r="A58" s="94" t="s">
        <v>628</v>
      </c>
      <c r="B58" s="94" t="s">
        <v>629</v>
      </c>
      <c r="C58" s="94" t="s">
        <v>199</v>
      </c>
      <c r="D58" s="94" t="s">
        <v>1138</v>
      </c>
      <c r="E58" s="471">
        <f t="shared" ref="E58:E59" si="40">F58+I58</f>
        <v>707788184</v>
      </c>
      <c r="F58" s="504">
        <f>(701826084)+5962100</f>
        <v>707788184</v>
      </c>
      <c r="G58" s="504">
        <v>575278998</v>
      </c>
      <c r="H58" s="504"/>
      <c r="I58" s="504"/>
      <c r="J58" s="501">
        <f t="shared" ref="J58:J59" si="41">L58+O58</f>
        <v>0</v>
      </c>
      <c r="K58" s="504"/>
      <c r="L58" s="504"/>
      <c r="M58" s="504"/>
      <c r="N58" s="504"/>
      <c r="O58" s="502">
        <f>K58</f>
        <v>0</v>
      </c>
      <c r="P58" s="501">
        <f t="shared" ref="P58:P61" si="42">E58+J58</f>
        <v>707788184</v>
      </c>
      <c r="Q58" s="18"/>
      <c r="R58" s="24"/>
    </row>
    <row r="59" spans="1:20" ht="135.75" customHeight="1" thickTop="1" thickBot="1" x14ac:dyDescent="0.25">
      <c r="A59" s="94" t="s">
        <v>1031</v>
      </c>
      <c r="B59" s="689" t="s">
        <v>1032</v>
      </c>
      <c r="C59" s="94" t="s">
        <v>202</v>
      </c>
      <c r="D59" s="94" t="s">
        <v>1139</v>
      </c>
      <c r="E59" s="521">
        <f t="shared" si="40"/>
        <v>10276884</v>
      </c>
      <c r="F59" s="688">
        <v>10276884</v>
      </c>
      <c r="G59" s="688">
        <v>8493291</v>
      </c>
      <c r="H59" s="688"/>
      <c r="I59" s="688"/>
      <c r="J59" s="501">
        <f t="shared" si="41"/>
        <v>0</v>
      </c>
      <c r="K59" s="688"/>
      <c r="L59" s="688"/>
      <c r="M59" s="688"/>
      <c r="N59" s="688"/>
      <c r="O59" s="583"/>
      <c r="P59" s="501">
        <f t="shared" si="42"/>
        <v>10276884</v>
      </c>
      <c r="Q59" s="18"/>
      <c r="R59" s="24"/>
    </row>
    <row r="60" spans="1:20" ht="184.5" hidden="1" thickTop="1" thickBot="1" x14ac:dyDescent="0.25">
      <c r="A60" s="320" t="s">
        <v>881</v>
      </c>
      <c r="B60" s="320" t="s">
        <v>48</v>
      </c>
      <c r="C60" s="320"/>
      <c r="D60" s="347" t="s">
        <v>1370</v>
      </c>
      <c r="E60" s="321">
        <f t="shared" ref="E60:O60" si="43">E61</f>
        <v>0</v>
      </c>
      <c r="F60" s="321">
        <f>F61</f>
        <v>0</v>
      </c>
      <c r="G60" s="321">
        <f t="shared" si="43"/>
        <v>0</v>
      </c>
      <c r="H60" s="321">
        <f t="shared" si="43"/>
        <v>0</v>
      </c>
      <c r="I60" s="321">
        <f t="shared" si="43"/>
        <v>0</v>
      </c>
      <c r="J60" s="321">
        <f t="shared" si="43"/>
        <v>0</v>
      </c>
      <c r="K60" s="321">
        <f t="shared" si="43"/>
        <v>0</v>
      </c>
      <c r="L60" s="321">
        <f t="shared" si="43"/>
        <v>0</v>
      </c>
      <c r="M60" s="321">
        <f t="shared" si="43"/>
        <v>0</v>
      </c>
      <c r="N60" s="321">
        <f t="shared" si="43"/>
        <v>0</v>
      </c>
      <c r="O60" s="321">
        <f t="shared" si="43"/>
        <v>0</v>
      </c>
      <c r="P60" s="321">
        <f>E60+J60</f>
        <v>0</v>
      </c>
      <c r="Q60" s="18"/>
      <c r="R60" s="28"/>
    </row>
    <row r="61" spans="1:20" ht="230.25" hidden="1" thickTop="1" thickBot="1" x14ac:dyDescent="0.25">
      <c r="A61" s="119" t="s">
        <v>882</v>
      </c>
      <c r="B61" s="119" t="s">
        <v>883</v>
      </c>
      <c r="C61" s="119" t="s">
        <v>199</v>
      </c>
      <c r="D61" s="119" t="s">
        <v>1371</v>
      </c>
      <c r="E61" s="118">
        <f t="shared" ref="E61" si="44">F61</f>
        <v>0</v>
      </c>
      <c r="F61" s="125"/>
      <c r="G61" s="125"/>
      <c r="H61" s="125"/>
      <c r="I61" s="125"/>
      <c r="J61" s="118">
        <f t="shared" ref="J61" si="45">L61+O61</f>
        <v>0</v>
      </c>
      <c r="K61" s="125"/>
      <c r="L61" s="125"/>
      <c r="M61" s="125"/>
      <c r="N61" s="125"/>
      <c r="O61" s="123">
        <f>K61</f>
        <v>0</v>
      </c>
      <c r="P61" s="118">
        <f t="shared" si="42"/>
        <v>0</v>
      </c>
      <c r="Q61" s="18"/>
      <c r="R61" s="24"/>
    </row>
    <row r="62" spans="1:20" ht="122.25" customHeight="1" thickTop="1" thickBot="1" x14ac:dyDescent="0.25">
      <c r="A62" s="94" t="s">
        <v>630</v>
      </c>
      <c r="B62" s="94" t="s">
        <v>201</v>
      </c>
      <c r="C62" s="94" t="s">
        <v>176</v>
      </c>
      <c r="D62" s="94" t="s">
        <v>483</v>
      </c>
      <c r="E62" s="471">
        <f>F62+I62</f>
        <v>47585548.960000001</v>
      </c>
      <c r="F62" s="504">
        <f>(37971643+733006+19100+919917+192590+2199284+93029+1142570+85055+14974.96+11040+137620+70)+4051800+6600+2750+4500</f>
        <v>47585548.960000001</v>
      </c>
      <c r="G62" s="504">
        <f>(31124297)+3350000</f>
        <v>34474297</v>
      </c>
      <c r="H62" s="504">
        <f>2199284+93029+1142570+85055+14974.96</f>
        <v>3534912.96</v>
      </c>
      <c r="I62" s="125"/>
      <c r="J62" s="501">
        <f t="shared" si="28"/>
        <v>1708990</v>
      </c>
      <c r="K62" s="125"/>
      <c r="L62" s="504">
        <f>(1247710)+33800+7480</f>
        <v>1288990</v>
      </c>
      <c r="M62" s="504">
        <f>(94500)+33800</f>
        <v>128300</v>
      </c>
      <c r="N62" s="504">
        <v>273600</v>
      </c>
      <c r="O62" s="502">
        <f>(K62+420000)</f>
        <v>420000</v>
      </c>
      <c r="P62" s="501">
        <f t="shared" si="29"/>
        <v>49294538.960000001</v>
      </c>
      <c r="Q62" s="18"/>
      <c r="R62" s="24"/>
    </row>
    <row r="63" spans="1:20" ht="141.75" customHeight="1" thickTop="1" thickBot="1" x14ac:dyDescent="0.25">
      <c r="A63" s="518" t="s">
        <v>203</v>
      </c>
      <c r="B63" s="518" t="s">
        <v>186</v>
      </c>
      <c r="C63" s="518"/>
      <c r="D63" s="518" t="s">
        <v>1699</v>
      </c>
      <c r="E63" s="519">
        <f>E64+E65</f>
        <v>229706200.16</v>
      </c>
      <c r="F63" s="519">
        <f t="shared" ref="F63:O63" si="46">F64+F65</f>
        <v>229429064</v>
      </c>
      <c r="G63" s="519">
        <f t="shared" si="46"/>
        <v>134191102</v>
      </c>
      <c r="H63" s="519">
        <f t="shared" si="46"/>
        <v>23510824</v>
      </c>
      <c r="I63" s="519">
        <f t="shared" si="46"/>
        <v>277136.16000000003</v>
      </c>
      <c r="J63" s="519">
        <f t="shared" si="46"/>
        <v>28979330</v>
      </c>
      <c r="K63" s="519">
        <f t="shared" si="46"/>
        <v>0</v>
      </c>
      <c r="L63" s="519">
        <f t="shared" si="46"/>
        <v>28325630</v>
      </c>
      <c r="M63" s="519">
        <f t="shared" si="46"/>
        <v>8233640</v>
      </c>
      <c r="N63" s="519">
        <f t="shared" si="46"/>
        <v>10222210</v>
      </c>
      <c r="O63" s="519">
        <f t="shared" si="46"/>
        <v>653700</v>
      </c>
      <c r="P63" s="519">
        <f t="shared" si="29"/>
        <v>258685530.16</v>
      </c>
      <c r="Q63" s="18"/>
      <c r="R63" s="33"/>
    </row>
    <row r="64" spans="1:20" ht="184.5" customHeight="1" thickTop="1" thickBot="1" x14ac:dyDescent="0.25">
      <c r="A64" s="94" t="s">
        <v>631</v>
      </c>
      <c r="B64" s="94" t="s">
        <v>632</v>
      </c>
      <c r="C64" s="94" t="s">
        <v>204</v>
      </c>
      <c r="D64" s="94" t="s">
        <v>1700</v>
      </c>
      <c r="E64" s="471">
        <f>F64+I64</f>
        <v>203847868.16</v>
      </c>
      <c r="F64" s="504">
        <f>((127681654+676400+30250+4317330+857080+15520950+1166000+6600000+32150+171400+19800+33500000+1620648)+8974900+200000+30000+16500+27000)+171670+1957000</f>
        <v>203570732</v>
      </c>
      <c r="G64" s="504">
        <f>((105513635)+7360000)+122143</f>
        <v>112995778</v>
      </c>
      <c r="H64" s="504">
        <f>(15520950+1166000+6600000+32150+171400)+13948+560+5816</f>
        <v>23510824</v>
      </c>
      <c r="I64" s="504">
        <f>90000+187136.16</f>
        <v>277136.16000000003</v>
      </c>
      <c r="J64" s="501">
        <f>L64+O64</f>
        <v>28979330</v>
      </c>
      <c r="K64" s="125"/>
      <c r="L64" s="504">
        <f>(28199010)+103790+22830</f>
        <v>28325630</v>
      </c>
      <c r="M64" s="504">
        <f>(8129850)+103790</f>
        <v>8233640</v>
      </c>
      <c r="N64" s="504">
        <v>10222210</v>
      </c>
      <c r="O64" s="502">
        <f>K64+653700</f>
        <v>653700</v>
      </c>
      <c r="P64" s="501">
        <f t="shared" si="29"/>
        <v>232827198.16</v>
      </c>
      <c r="Q64" s="18"/>
      <c r="R64" s="24"/>
    </row>
    <row r="65" spans="1:18" ht="155.25" customHeight="1" thickTop="1" thickBot="1" x14ac:dyDescent="0.25">
      <c r="A65" s="94" t="s">
        <v>635</v>
      </c>
      <c r="B65" s="94" t="s">
        <v>634</v>
      </c>
      <c r="C65" s="94" t="s">
        <v>204</v>
      </c>
      <c r="D65" s="94" t="s">
        <v>1701</v>
      </c>
      <c r="E65" s="471">
        <f>F65+I65</f>
        <v>25858332</v>
      </c>
      <c r="F65" s="504">
        <v>25858332</v>
      </c>
      <c r="G65" s="504">
        <v>21195324</v>
      </c>
      <c r="H65" s="504"/>
      <c r="I65" s="504"/>
      <c r="J65" s="501">
        <f>L65+O65</f>
        <v>0</v>
      </c>
      <c r="K65" s="504"/>
      <c r="L65" s="504"/>
      <c r="M65" s="504"/>
      <c r="N65" s="504"/>
      <c r="O65" s="502"/>
      <c r="P65" s="501">
        <f t="shared" ref="P65" si="47">E65+J65</f>
        <v>25858332</v>
      </c>
      <c r="Q65" s="18"/>
      <c r="R65" s="28"/>
    </row>
    <row r="66" spans="1:18" ht="106.5" customHeight="1" thickTop="1" thickBot="1" x14ac:dyDescent="0.25">
      <c r="A66" s="518" t="s">
        <v>637</v>
      </c>
      <c r="B66" s="518" t="s">
        <v>636</v>
      </c>
      <c r="C66" s="518"/>
      <c r="D66" s="518" t="s">
        <v>638</v>
      </c>
      <c r="E66" s="519">
        <f>E67+E68</f>
        <v>34737568.18</v>
      </c>
      <c r="F66" s="519">
        <f t="shared" ref="F66:O66" si="48">F67+F68</f>
        <v>34117568.18</v>
      </c>
      <c r="G66" s="519">
        <f t="shared" si="48"/>
        <v>20789015</v>
      </c>
      <c r="H66" s="519">
        <f t="shared" si="48"/>
        <v>1821549</v>
      </c>
      <c r="I66" s="519">
        <f t="shared" si="48"/>
        <v>620000</v>
      </c>
      <c r="J66" s="519">
        <f t="shared" si="48"/>
        <v>327480</v>
      </c>
      <c r="K66" s="519">
        <f t="shared" si="48"/>
        <v>0</v>
      </c>
      <c r="L66" s="519">
        <f t="shared" si="48"/>
        <v>227480</v>
      </c>
      <c r="M66" s="519">
        <f t="shared" si="48"/>
        <v>0</v>
      </c>
      <c r="N66" s="519">
        <f t="shared" si="48"/>
        <v>0</v>
      </c>
      <c r="O66" s="519">
        <f t="shared" si="48"/>
        <v>100000</v>
      </c>
      <c r="P66" s="519">
        <f>E66+J66</f>
        <v>35065048.18</v>
      </c>
      <c r="Q66" s="18"/>
      <c r="R66" s="33"/>
    </row>
    <row r="67" spans="1:18" ht="106.5" customHeight="1" thickTop="1" thickBot="1" x14ac:dyDescent="0.25">
      <c r="A67" s="94" t="s">
        <v>639</v>
      </c>
      <c r="B67" s="94" t="s">
        <v>640</v>
      </c>
      <c r="C67" s="94" t="s">
        <v>205</v>
      </c>
      <c r="D67" s="94" t="s">
        <v>484</v>
      </c>
      <c r="E67" s="471">
        <f>F67+I67</f>
        <v>31591158.18</v>
      </c>
      <c r="F67" s="504">
        <f>((24177100+1235510+2250+2294000+1308293+26596+465523+21137+9760+50000)+1000000+416842.6+50000+22000)+512146.58</f>
        <v>31591158.18</v>
      </c>
      <c r="G67" s="504">
        <f>(19969015)+820000</f>
        <v>20789015</v>
      </c>
      <c r="H67" s="504">
        <f>1308293+26596+465523+21137</f>
        <v>1821549</v>
      </c>
      <c r="I67" s="125"/>
      <c r="J67" s="501">
        <f>L67+O67</f>
        <v>327480</v>
      </c>
      <c r="K67" s="125"/>
      <c r="L67" s="504">
        <v>227480</v>
      </c>
      <c r="M67" s="125"/>
      <c r="N67" s="125"/>
      <c r="O67" s="502">
        <f>K67+100000</f>
        <v>100000</v>
      </c>
      <c r="P67" s="501">
        <f>E67+J67</f>
        <v>31918638.18</v>
      </c>
      <c r="Q67" s="18"/>
      <c r="R67" s="28"/>
    </row>
    <row r="68" spans="1:18" ht="96.75" customHeight="1" thickTop="1" thickBot="1" x14ac:dyDescent="0.25">
      <c r="A68" s="94" t="s">
        <v>641</v>
      </c>
      <c r="B68" s="94" t="s">
        <v>642</v>
      </c>
      <c r="C68" s="94" t="s">
        <v>205</v>
      </c>
      <c r="D68" s="94" t="s">
        <v>328</v>
      </c>
      <c r="E68" s="471">
        <f>F68+I68</f>
        <v>3146410</v>
      </c>
      <c r="F68" s="504">
        <f>((559320+1870590)+87500)+9000</f>
        <v>2526410</v>
      </c>
      <c r="G68" s="125"/>
      <c r="H68" s="125"/>
      <c r="I68" s="504">
        <v>620000</v>
      </c>
      <c r="J68" s="501">
        <f>L68+O68</f>
        <v>0</v>
      </c>
      <c r="K68" s="504"/>
      <c r="L68" s="504"/>
      <c r="M68" s="504"/>
      <c r="N68" s="504"/>
      <c r="O68" s="502">
        <f>K68</f>
        <v>0</v>
      </c>
      <c r="P68" s="501">
        <f>E68+J68</f>
        <v>3146410</v>
      </c>
      <c r="Q68" s="18"/>
      <c r="R68" s="28"/>
    </row>
    <row r="69" spans="1:18" ht="96.75" customHeight="1" thickTop="1" thickBot="1" x14ac:dyDescent="0.25">
      <c r="A69" s="518" t="s">
        <v>643</v>
      </c>
      <c r="B69" s="518" t="s">
        <v>644</v>
      </c>
      <c r="C69" s="518"/>
      <c r="D69" s="518" t="s">
        <v>418</v>
      </c>
      <c r="E69" s="519">
        <f>E70+E71</f>
        <v>5628910</v>
      </c>
      <c r="F69" s="519">
        <f>F70+F71</f>
        <v>5628910</v>
      </c>
      <c r="G69" s="519">
        <f t="shared" ref="G69:O69" si="49">G70+G71</f>
        <v>3728200</v>
      </c>
      <c r="H69" s="519">
        <f t="shared" si="49"/>
        <v>375201</v>
      </c>
      <c r="I69" s="519">
        <f t="shared" si="49"/>
        <v>0</v>
      </c>
      <c r="J69" s="519">
        <f t="shared" si="49"/>
        <v>0</v>
      </c>
      <c r="K69" s="519">
        <f t="shared" si="49"/>
        <v>0</v>
      </c>
      <c r="L69" s="519">
        <f t="shared" si="49"/>
        <v>0</v>
      </c>
      <c r="M69" s="519">
        <f t="shared" si="49"/>
        <v>0</v>
      </c>
      <c r="N69" s="519">
        <f t="shared" si="49"/>
        <v>0</v>
      </c>
      <c r="O69" s="519">
        <f t="shared" si="49"/>
        <v>0</v>
      </c>
      <c r="P69" s="519">
        <f>E69+J69</f>
        <v>5628910</v>
      </c>
      <c r="Q69" s="18"/>
      <c r="R69" s="33"/>
    </row>
    <row r="70" spans="1:18" ht="129" customHeight="1" thickTop="1" thickBot="1" x14ac:dyDescent="0.25">
      <c r="A70" s="94" t="s">
        <v>645</v>
      </c>
      <c r="B70" s="94" t="s">
        <v>646</v>
      </c>
      <c r="C70" s="94" t="s">
        <v>205</v>
      </c>
      <c r="D70" s="94" t="s">
        <v>647</v>
      </c>
      <c r="E70" s="471">
        <f>F70+I70</f>
        <v>2064210</v>
      </c>
      <c r="F70" s="504">
        <f>(983686+227527+12000+107286+8600+312035+8126+50840+4200+5540)+337120+2750+4500</f>
        <v>2064210</v>
      </c>
      <c r="G70" s="504">
        <f>806300</f>
        <v>806300</v>
      </c>
      <c r="H70" s="504">
        <f>312035+8126+50840+4200</f>
        <v>375201</v>
      </c>
      <c r="I70" s="125"/>
      <c r="J70" s="501">
        <f>L70+O70</f>
        <v>0</v>
      </c>
      <c r="K70" s="504"/>
      <c r="L70" s="504"/>
      <c r="M70" s="504"/>
      <c r="N70" s="504"/>
      <c r="O70" s="502">
        <f>K70</f>
        <v>0</v>
      </c>
      <c r="P70" s="501">
        <f>E70+J70</f>
        <v>2064210</v>
      </c>
      <c r="Q70" s="18"/>
      <c r="R70" s="24"/>
    </row>
    <row r="71" spans="1:18" ht="171" customHeight="1" thickTop="1" thickBot="1" x14ac:dyDescent="0.25">
      <c r="A71" s="94" t="s">
        <v>648</v>
      </c>
      <c r="B71" s="94" t="s">
        <v>649</v>
      </c>
      <c r="C71" s="94" t="s">
        <v>205</v>
      </c>
      <c r="D71" s="94" t="s">
        <v>650</v>
      </c>
      <c r="E71" s="521">
        <f>F71+I71</f>
        <v>3564700</v>
      </c>
      <c r="F71" s="504">
        <v>3564700</v>
      </c>
      <c r="G71" s="504">
        <v>2921900</v>
      </c>
      <c r="H71" s="504"/>
      <c r="I71" s="504"/>
      <c r="J71" s="501">
        <f t="shared" ref="J71" si="50">L71+O71</f>
        <v>0</v>
      </c>
      <c r="K71" s="504"/>
      <c r="L71" s="504"/>
      <c r="M71" s="504"/>
      <c r="N71" s="504"/>
      <c r="O71" s="502">
        <f t="shared" ref="O71" si="51">K71</f>
        <v>0</v>
      </c>
      <c r="P71" s="501">
        <f t="shared" ref="P71" si="52">E71+J71</f>
        <v>3564700</v>
      </c>
      <c r="Q71" s="18"/>
      <c r="R71" s="28"/>
    </row>
    <row r="72" spans="1:18" ht="93" thickTop="1" thickBot="1" x14ac:dyDescent="0.25">
      <c r="A72" s="94" t="s">
        <v>618</v>
      </c>
      <c r="B72" s="94" t="s">
        <v>619</v>
      </c>
      <c r="C72" s="94" t="s">
        <v>205</v>
      </c>
      <c r="D72" s="94" t="s">
        <v>620</v>
      </c>
      <c r="E72" s="471">
        <f>F72+I72</f>
        <v>4352120</v>
      </c>
      <c r="F72" s="504">
        <f>(3210983+142000+182500+20000+41354+3673+43400+720+2840)+697400+2750+4500</f>
        <v>4352120</v>
      </c>
      <c r="G72" s="504">
        <f>(2631953)+572000</f>
        <v>3203953</v>
      </c>
      <c r="H72" s="504">
        <f>41354+3673+43400+720</f>
        <v>89147</v>
      </c>
      <c r="I72" s="125"/>
      <c r="J72" s="501">
        <f t="shared" ref="J72" si="53">L72+O72</f>
        <v>0</v>
      </c>
      <c r="K72" s="504"/>
      <c r="L72" s="504"/>
      <c r="M72" s="504"/>
      <c r="N72" s="504"/>
      <c r="O72" s="502">
        <f t="shared" ref="O72" si="54">K72</f>
        <v>0</v>
      </c>
      <c r="P72" s="501">
        <f t="shared" ref="P72" si="55">E72+J72</f>
        <v>4352120</v>
      </c>
      <c r="Q72" s="18"/>
      <c r="R72" s="24"/>
    </row>
    <row r="73" spans="1:18" s="31" customFormat="1" ht="158.25" customHeight="1" thickTop="1" thickBot="1" x14ac:dyDescent="0.25">
      <c r="A73" s="518" t="s">
        <v>623</v>
      </c>
      <c r="B73" s="518" t="s">
        <v>624</v>
      </c>
      <c r="C73" s="518"/>
      <c r="D73" s="518" t="s">
        <v>1337</v>
      </c>
      <c r="E73" s="519">
        <f t="shared" ref="E73:E102" si="56">F73</f>
        <v>319659</v>
      </c>
      <c r="F73" s="519">
        <f>SUM(F74:F77)</f>
        <v>319659</v>
      </c>
      <c r="G73" s="519">
        <f>SUM(G74:G77)</f>
        <v>0</v>
      </c>
      <c r="H73" s="519">
        <f>SUM(H74:H77)</f>
        <v>0</v>
      </c>
      <c r="I73" s="519">
        <f>SUM(I74:I77)</f>
        <v>0</v>
      </c>
      <c r="J73" s="519">
        <f t="shared" si="28"/>
        <v>8315913</v>
      </c>
      <c r="K73" s="519">
        <f>SUM(K74:K77)</f>
        <v>7570042</v>
      </c>
      <c r="L73" s="519">
        <f>SUM(L74:L77)</f>
        <v>745871</v>
      </c>
      <c r="M73" s="519">
        <f>SUM(M74:M77)</f>
        <v>0</v>
      </c>
      <c r="N73" s="519">
        <f>SUM(N74:N77)</f>
        <v>0</v>
      </c>
      <c r="O73" s="519">
        <f>SUM(O74:O77)</f>
        <v>7570042</v>
      </c>
      <c r="P73" s="519">
        <f t="shared" ref="P73:P76" si="57">E73+J73</f>
        <v>8635572</v>
      </c>
      <c r="Q73" s="34"/>
      <c r="R73" s="35"/>
    </row>
    <row r="74" spans="1:18" s="31" customFormat="1" ht="138.75" hidden="1" thickTop="1" thickBot="1" x14ac:dyDescent="0.25">
      <c r="A74" s="119" t="s">
        <v>625</v>
      </c>
      <c r="B74" s="119" t="s">
        <v>626</v>
      </c>
      <c r="C74" s="119" t="s">
        <v>205</v>
      </c>
      <c r="D74" s="119" t="s">
        <v>1338</v>
      </c>
      <c r="E74" s="118">
        <f t="shared" si="56"/>
        <v>0</v>
      </c>
      <c r="F74" s="125"/>
      <c r="G74" s="125"/>
      <c r="H74" s="125"/>
      <c r="I74" s="125"/>
      <c r="J74" s="118">
        <f t="shared" si="28"/>
        <v>0</v>
      </c>
      <c r="K74" s="125">
        <v>0</v>
      </c>
      <c r="L74" s="125"/>
      <c r="M74" s="125"/>
      <c r="N74" s="125"/>
      <c r="O74" s="123">
        <f t="shared" ref="O74:O76" si="58">K74</f>
        <v>0</v>
      </c>
      <c r="P74" s="118">
        <f t="shared" si="57"/>
        <v>0</v>
      </c>
      <c r="Q74" s="34"/>
      <c r="R74" s="24"/>
    </row>
    <row r="75" spans="1:18" s="31" customFormat="1" ht="138.75" hidden="1" thickTop="1" thickBot="1" x14ac:dyDescent="0.25">
      <c r="A75" s="119" t="s">
        <v>918</v>
      </c>
      <c r="B75" s="119" t="s">
        <v>919</v>
      </c>
      <c r="C75" s="119" t="s">
        <v>205</v>
      </c>
      <c r="D75" s="119" t="s">
        <v>1339</v>
      </c>
      <c r="E75" s="118">
        <f t="shared" si="56"/>
        <v>0</v>
      </c>
      <c r="F75" s="125"/>
      <c r="G75" s="125"/>
      <c r="H75" s="125"/>
      <c r="I75" s="125"/>
      <c r="J75" s="118">
        <f t="shared" si="28"/>
        <v>0</v>
      </c>
      <c r="K75" s="125">
        <v>0</v>
      </c>
      <c r="L75" s="125"/>
      <c r="M75" s="125"/>
      <c r="N75" s="125"/>
      <c r="O75" s="123">
        <f t="shared" si="58"/>
        <v>0</v>
      </c>
      <c r="P75" s="118">
        <f t="shared" si="57"/>
        <v>0</v>
      </c>
      <c r="Q75" s="34"/>
      <c r="R75" s="24"/>
    </row>
    <row r="76" spans="1:18" s="31" customFormat="1" ht="240" customHeight="1" thickTop="1" thickBot="1" x14ac:dyDescent="0.25">
      <c r="A76" s="94" t="s">
        <v>1404</v>
      </c>
      <c r="B76" s="94" t="s">
        <v>1406</v>
      </c>
      <c r="C76" s="94" t="s">
        <v>205</v>
      </c>
      <c r="D76" s="94" t="s">
        <v>1408</v>
      </c>
      <c r="E76" s="521">
        <f t="shared" ref="E76:E77" si="59">F76+I76</f>
        <v>319659</v>
      </c>
      <c r="F76" s="504">
        <f>299572+20087</f>
        <v>319659</v>
      </c>
      <c r="G76" s="504"/>
      <c r="H76" s="504"/>
      <c r="I76" s="504"/>
      <c r="J76" s="501">
        <f t="shared" si="28"/>
        <v>2271013</v>
      </c>
      <c r="K76" s="504">
        <f>(2291100)-20087</f>
        <v>2271013</v>
      </c>
      <c r="L76" s="504"/>
      <c r="M76" s="504"/>
      <c r="N76" s="504"/>
      <c r="O76" s="502">
        <f t="shared" si="58"/>
        <v>2271013</v>
      </c>
      <c r="P76" s="501">
        <f t="shared" si="57"/>
        <v>2590672</v>
      </c>
      <c r="Q76" s="34"/>
      <c r="R76" s="24"/>
    </row>
    <row r="77" spans="1:18" s="31" customFormat="1" ht="184.5" thickTop="1" thickBot="1" x14ac:dyDescent="0.25">
      <c r="A77" s="94" t="s">
        <v>1405</v>
      </c>
      <c r="B77" s="94" t="s">
        <v>1407</v>
      </c>
      <c r="C77" s="94" t="s">
        <v>205</v>
      </c>
      <c r="D77" s="94" t="s">
        <v>1409</v>
      </c>
      <c r="E77" s="521">
        <f t="shared" si="59"/>
        <v>0</v>
      </c>
      <c r="F77" s="504"/>
      <c r="G77" s="504"/>
      <c r="H77" s="504"/>
      <c r="I77" s="504"/>
      <c r="J77" s="501">
        <f t="shared" ref="J77" si="60">L77+O77</f>
        <v>6044900</v>
      </c>
      <c r="K77" s="504">
        <f>(((0)+5345900)+699000)-745871</f>
        <v>5299029</v>
      </c>
      <c r="L77" s="504">
        <v>745871</v>
      </c>
      <c r="M77" s="504"/>
      <c r="N77" s="504"/>
      <c r="O77" s="502">
        <f t="shared" ref="O77" si="61">K77</f>
        <v>5299029</v>
      </c>
      <c r="P77" s="501">
        <f t="shared" ref="P77" si="62">E77+J77</f>
        <v>6044900</v>
      </c>
      <c r="Q77" s="34"/>
      <c r="R77" s="24"/>
    </row>
    <row r="78" spans="1:18" s="31" customFormat="1" ht="269.25" customHeight="1" thickTop="1" thickBot="1" x14ac:dyDescent="0.25">
      <c r="A78" s="94" t="s">
        <v>616</v>
      </c>
      <c r="B78" s="94" t="s">
        <v>617</v>
      </c>
      <c r="C78" s="94" t="s">
        <v>205</v>
      </c>
      <c r="D78" s="94" t="s">
        <v>1400</v>
      </c>
      <c r="E78" s="471">
        <f>F78+I78</f>
        <v>5194600</v>
      </c>
      <c r="F78" s="504">
        <v>5194600</v>
      </c>
      <c r="G78" s="504">
        <v>4257870</v>
      </c>
      <c r="H78" s="504"/>
      <c r="I78" s="504"/>
      <c r="J78" s="501">
        <f t="shared" ref="J78" si="63">L78+O78</f>
        <v>0</v>
      </c>
      <c r="K78" s="504"/>
      <c r="L78" s="504"/>
      <c r="M78" s="504"/>
      <c r="N78" s="504"/>
      <c r="O78" s="502">
        <f t="shared" ref="O78" si="64">K78</f>
        <v>0</v>
      </c>
      <c r="P78" s="501">
        <f t="shared" ref="P78" si="65">E78+J78</f>
        <v>5194600</v>
      </c>
      <c r="Q78" s="34"/>
      <c r="R78" s="24"/>
    </row>
    <row r="79" spans="1:18" s="31" customFormat="1" ht="138.75" hidden="1" thickTop="1" thickBot="1" x14ac:dyDescent="0.25">
      <c r="A79" s="119" t="s">
        <v>885</v>
      </c>
      <c r="B79" s="119" t="s">
        <v>886</v>
      </c>
      <c r="C79" s="119" t="s">
        <v>205</v>
      </c>
      <c r="D79" s="119" t="s">
        <v>1249</v>
      </c>
      <c r="E79" s="118">
        <f t="shared" ref="E79" si="66">F79</f>
        <v>0</v>
      </c>
      <c r="F79" s="125"/>
      <c r="G79" s="125"/>
      <c r="H79" s="125"/>
      <c r="I79" s="125"/>
      <c r="J79" s="118">
        <f t="shared" ref="J79" si="67">L79+O79</f>
        <v>0</v>
      </c>
      <c r="K79" s="125"/>
      <c r="L79" s="125"/>
      <c r="M79" s="125"/>
      <c r="N79" s="125"/>
      <c r="O79" s="123">
        <f t="shared" ref="O79" si="68">K79</f>
        <v>0</v>
      </c>
      <c r="P79" s="118">
        <f t="shared" ref="P79" si="69">E79+J79</f>
        <v>0</v>
      </c>
      <c r="Q79" s="34"/>
      <c r="R79" s="24"/>
    </row>
    <row r="80" spans="1:18" s="31" customFormat="1" ht="93" hidden="1" thickTop="1" thickBot="1" x14ac:dyDescent="0.25">
      <c r="A80" s="131" t="s">
        <v>934</v>
      </c>
      <c r="B80" s="131" t="s">
        <v>936</v>
      </c>
      <c r="C80" s="131"/>
      <c r="D80" s="131" t="s">
        <v>1242</v>
      </c>
      <c r="E80" s="132">
        <f>F80</f>
        <v>0</v>
      </c>
      <c r="F80" s="132">
        <f>SUM(F81:F82)</f>
        <v>0</v>
      </c>
      <c r="G80" s="132">
        <f>SUM(G81:G82)</f>
        <v>0</v>
      </c>
      <c r="H80" s="132">
        <f>SUM(H81:H82)</f>
        <v>0</v>
      </c>
      <c r="I80" s="132">
        <f>SUM(I81:I82)</f>
        <v>0</v>
      </c>
      <c r="J80" s="132">
        <f>L80+O80</f>
        <v>0</v>
      </c>
      <c r="K80" s="132">
        <f>SUM(K81:K82)</f>
        <v>0</v>
      </c>
      <c r="L80" s="132">
        <f>SUM(L81:L82)</f>
        <v>0</v>
      </c>
      <c r="M80" s="132">
        <f>SUM(M81:M82)</f>
        <v>0</v>
      </c>
      <c r="N80" s="132">
        <f>SUM(N81:N82)</f>
        <v>0</v>
      </c>
      <c r="O80" s="132">
        <f>SUM(O81:O82)</f>
        <v>0</v>
      </c>
      <c r="P80" s="132">
        <f>E80+J80</f>
        <v>0</v>
      </c>
      <c r="Q80" s="34"/>
      <c r="R80" s="24"/>
    </row>
    <row r="81" spans="1:18" s="31" customFormat="1" ht="138.75" hidden="1" thickTop="1" thickBot="1" x14ac:dyDescent="0.25">
      <c r="A81" s="119" t="s">
        <v>935</v>
      </c>
      <c r="B81" s="119" t="s">
        <v>937</v>
      </c>
      <c r="C81" s="119" t="s">
        <v>205</v>
      </c>
      <c r="D81" s="119" t="s">
        <v>1124</v>
      </c>
      <c r="E81" s="118">
        <f>F81</f>
        <v>0</v>
      </c>
      <c r="F81" s="125"/>
      <c r="G81" s="125"/>
      <c r="H81" s="125"/>
      <c r="I81" s="125"/>
      <c r="J81" s="118">
        <f t="shared" ref="J81:J82" si="70">L81+O81</f>
        <v>0</v>
      </c>
      <c r="K81" s="125">
        <v>0</v>
      </c>
      <c r="L81" s="125"/>
      <c r="M81" s="125"/>
      <c r="N81" s="125"/>
      <c r="O81" s="123">
        <f t="shared" ref="O81:O82" si="71">K81</f>
        <v>0</v>
      </c>
      <c r="P81" s="118">
        <f>E81+J81</f>
        <v>0</v>
      </c>
      <c r="Q81" s="34"/>
      <c r="R81" s="24"/>
    </row>
    <row r="82" spans="1:18" s="31" customFormat="1" ht="138.75" hidden="1" thickTop="1" thickBot="1" x14ac:dyDescent="0.25">
      <c r="A82" s="119" t="s">
        <v>971</v>
      </c>
      <c r="B82" s="119" t="s">
        <v>972</v>
      </c>
      <c r="C82" s="119" t="s">
        <v>205</v>
      </c>
      <c r="D82" s="119" t="s">
        <v>1315</v>
      </c>
      <c r="E82" s="118">
        <f>F82</f>
        <v>0</v>
      </c>
      <c r="F82" s="125">
        <f>(553900)-553900</f>
        <v>0</v>
      </c>
      <c r="G82" s="125"/>
      <c r="H82" s="125"/>
      <c r="I82" s="125"/>
      <c r="J82" s="118">
        <f t="shared" si="70"/>
        <v>0</v>
      </c>
      <c r="K82" s="125">
        <v>0</v>
      </c>
      <c r="L82" s="125"/>
      <c r="M82" s="125"/>
      <c r="N82" s="125"/>
      <c r="O82" s="123">
        <f t="shared" si="71"/>
        <v>0</v>
      </c>
      <c r="P82" s="118">
        <f>E82+J82</f>
        <v>0</v>
      </c>
      <c r="Q82" s="34"/>
      <c r="R82" s="24"/>
    </row>
    <row r="83" spans="1:18" s="31" customFormat="1" ht="184.5" hidden="1" thickTop="1" thickBot="1" x14ac:dyDescent="0.25">
      <c r="A83" s="131" t="s">
        <v>1203</v>
      </c>
      <c r="B83" s="131" t="s">
        <v>1204</v>
      </c>
      <c r="C83" s="131"/>
      <c r="D83" s="131" t="s">
        <v>1386</v>
      </c>
      <c r="E83" s="132">
        <f>SUM(E84:E85)</f>
        <v>0</v>
      </c>
      <c r="F83" s="132">
        <f t="shared" ref="F83:P83" si="72">SUM(F84:F85)</f>
        <v>0</v>
      </c>
      <c r="G83" s="132">
        <f t="shared" si="72"/>
        <v>0</v>
      </c>
      <c r="H83" s="132">
        <f t="shared" si="72"/>
        <v>0</v>
      </c>
      <c r="I83" s="132">
        <f t="shared" si="72"/>
        <v>0</v>
      </c>
      <c r="J83" s="132">
        <f t="shared" si="72"/>
        <v>0</v>
      </c>
      <c r="K83" s="132">
        <f t="shared" si="72"/>
        <v>0</v>
      </c>
      <c r="L83" s="132">
        <f t="shared" si="72"/>
        <v>0</v>
      </c>
      <c r="M83" s="132">
        <f t="shared" si="72"/>
        <v>0</v>
      </c>
      <c r="N83" s="132">
        <f t="shared" si="72"/>
        <v>0</v>
      </c>
      <c r="O83" s="132">
        <f t="shared" si="72"/>
        <v>0</v>
      </c>
      <c r="P83" s="132">
        <f t="shared" si="72"/>
        <v>0</v>
      </c>
      <c r="Q83" s="34"/>
      <c r="R83" s="24"/>
    </row>
    <row r="84" spans="1:18" s="31" customFormat="1" ht="276" hidden="1" thickTop="1" thickBot="1" x14ac:dyDescent="0.25">
      <c r="A84" s="119" t="s">
        <v>1205</v>
      </c>
      <c r="B84" s="119" t="s">
        <v>1206</v>
      </c>
      <c r="C84" s="119" t="s">
        <v>205</v>
      </c>
      <c r="D84" s="119" t="s">
        <v>1387</v>
      </c>
      <c r="E84" s="118"/>
      <c r="F84" s="125"/>
      <c r="G84" s="125"/>
      <c r="H84" s="125"/>
      <c r="I84" s="125"/>
      <c r="J84" s="118">
        <f t="shared" ref="J84:J85" si="73">L84+O84</f>
        <v>0</v>
      </c>
      <c r="K84" s="125">
        <v>0</v>
      </c>
      <c r="L84" s="125"/>
      <c r="M84" s="125"/>
      <c r="N84" s="125"/>
      <c r="O84" s="123">
        <f t="shared" ref="O84:O85" si="74">K84</f>
        <v>0</v>
      </c>
      <c r="P84" s="118">
        <f>E84+J84</f>
        <v>0</v>
      </c>
      <c r="Q84" s="34"/>
      <c r="R84" s="24"/>
    </row>
    <row r="85" spans="1:18" s="31" customFormat="1" ht="138.75" hidden="1" thickTop="1" thickBot="1" x14ac:dyDescent="0.25">
      <c r="A85" s="119" t="s">
        <v>1207</v>
      </c>
      <c r="B85" s="119" t="s">
        <v>1208</v>
      </c>
      <c r="C85" s="119" t="s">
        <v>205</v>
      </c>
      <c r="D85" s="119" t="s">
        <v>1209</v>
      </c>
      <c r="E85" s="118">
        <f>F85</f>
        <v>0</v>
      </c>
      <c r="F85" s="125"/>
      <c r="G85" s="125"/>
      <c r="H85" s="125"/>
      <c r="I85" s="125"/>
      <c r="J85" s="118">
        <f t="shared" si="73"/>
        <v>0</v>
      </c>
      <c r="K85" s="125"/>
      <c r="L85" s="125"/>
      <c r="M85" s="125"/>
      <c r="N85" s="125"/>
      <c r="O85" s="123">
        <f t="shared" si="74"/>
        <v>0</v>
      </c>
      <c r="P85" s="118">
        <f>E85+J85</f>
        <v>0</v>
      </c>
      <c r="Q85" s="34"/>
      <c r="R85" s="24"/>
    </row>
    <row r="86" spans="1:18" s="31" customFormat="1" ht="138.75" thickTop="1" thickBot="1" x14ac:dyDescent="0.25">
      <c r="A86" s="518" t="s">
        <v>1256</v>
      </c>
      <c r="B86" s="518" t="s">
        <v>1255</v>
      </c>
      <c r="C86" s="518"/>
      <c r="D86" s="518" t="s">
        <v>1257</v>
      </c>
      <c r="E86" s="519">
        <f>SUM(E87:E91)</f>
        <v>120800</v>
      </c>
      <c r="F86" s="519">
        <f t="shared" ref="F86:P86" si="75">SUM(F87:F91)</f>
        <v>120800</v>
      </c>
      <c r="G86" s="519">
        <f t="shared" si="75"/>
        <v>0</v>
      </c>
      <c r="H86" s="519">
        <f t="shared" si="75"/>
        <v>0</v>
      </c>
      <c r="I86" s="519">
        <f t="shared" si="75"/>
        <v>0</v>
      </c>
      <c r="J86" s="519">
        <f t="shared" si="75"/>
        <v>659077.14999999991</v>
      </c>
      <c r="K86" s="519">
        <f t="shared" si="75"/>
        <v>659077.14999999991</v>
      </c>
      <c r="L86" s="519">
        <f t="shared" si="75"/>
        <v>0</v>
      </c>
      <c r="M86" s="519">
        <f t="shared" si="75"/>
        <v>0</v>
      </c>
      <c r="N86" s="519">
        <f t="shared" si="75"/>
        <v>0</v>
      </c>
      <c r="O86" s="519">
        <f t="shared" si="75"/>
        <v>659077.14999999991</v>
      </c>
      <c r="P86" s="519">
        <f t="shared" si="75"/>
        <v>779877.14999999991</v>
      </c>
      <c r="Q86" s="34"/>
      <c r="R86" s="24"/>
    </row>
    <row r="87" spans="1:18" s="31" customFormat="1" ht="93" hidden="1" thickTop="1" thickBot="1" x14ac:dyDescent="0.25">
      <c r="A87" s="119" t="s">
        <v>1258</v>
      </c>
      <c r="B87" s="119" t="s">
        <v>1259</v>
      </c>
      <c r="C87" s="119" t="s">
        <v>205</v>
      </c>
      <c r="D87" s="119" t="s">
        <v>1263</v>
      </c>
      <c r="E87" s="335">
        <f t="shared" ref="E87:E88" si="76">F87</f>
        <v>0</v>
      </c>
      <c r="F87" s="336">
        <v>0</v>
      </c>
      <c r="G87" s="336"/>
      <c r="H87" s="336"/>
      <c r="I87" s="336"/>
      <c r="J87" s="335">
        <f t="shared" ref="J87:J91" si="77">L87+O87</f>
        <v>0</v>
      </c>
      <c r="K87" s="336"/>
      <c r="L87" s="336"/>
      <c r="M87" s="336"/>
      <c r="N87" s="336"/>
      <c r="O87" s="337">
        <f t="shared" ref="O87" si="78">K87</f>
        <v>0</v>
      </c>
      <c r="P87" s="335">
        <f t="shared" ref="P87:P89" si="79">E87+J87</f>
        <v>0</v>
      </c>
      <c r="Q87" s="34"/>
      <c r="R87" s="24"/>
    </row>
    <row r="88" spans="1:18" s="31" customFormat="1" ht="138.75" hidden="1" thickTop="1" thickBot="1" x14ac:dyDescent="0.25">
      <c r="A88" s="119" t="s">
        <v>1260</v>
      </c>
      <c r="B88" s="119" t="s">
        <v>1261</v>
      </c>
      <c r="C88" s="119" t="s">
        <v>205</v>
      </c>
      <c r="D88" s="119" t="s">
        <v>1262</v>
      </c>
      <c r="E88" s="335">
        <f t="shared" si="76"/>
        <v>0</v>
      </c>
      <c r="F88" s="336"/>
      <c r="G88" s="336"/>
      <c r="H88" s="336"/>
      <c r="I88" s="336"/>
      <c r="J88" s="335">
        <f t="shared" si="77"/>
        <v>0</v>
      </c>
      <c r="K88" s="336"/>
      <c r="L88" s="336"/>
      <c r="M88" s="336"/>
      <c r="N88" s="336"/>
      <c r="O88" s="337">
        <f>K88</f>
        <v>0</v>
      </c>
      <c r="P88" s="335">
        <f t="shared" si="79"/>
        <v>0</v>
      </c>
      <c r="Q88" s="34"/>
      <c r="R88" s="24"/>
    </row>
    <row r="89" spans="1:18" s="31" customFormat="1" ht="298.5" customHeight="1" thickTop="1" thickBot="1" x14ac:dyDescent="0.25">
      <c r="A89" s="94" t="s">
        <v>1762</v>
      </c>
      <c r="B89" s="94" t="s">
        <v>1763</v>
      </c>
      <c r="C89" s="94" t="s">
        <v>205</v>
      </c>
      <c r="D89" s="94" t="s">
        <v>1801</v>
      </c>
      <c r="E89" s="521">
        <f>F89+I89</f>
        <v>0</v>
      </c>
      <c r="F89" s="504"/>
      <c r="G89" s="504"/>
      <c r="H89" s="504"/>
      <c r="I89" s="504"/>
      <c r="J89" s="501">
        <f t="shared" si="77"/>
        <v>321527.14999999991</v>
      </c>
      <c r="K89" s="504">
        <f>(2500000)-2178472.85</f>
        <v>321527.14999999991</v>
      </c>
      <c r="L89" s="504"/>
      <c r="M89" s="504"/>
      <c r="N89" s="504"/>
      <c r="O89" s="502">
        <f t="shared" ref="O89:O90" si="80">K89</f>
        <v>321527.14999999991</v>
      </c>
      <c r="P89" s="501">
        <f t="shared" si="79"/>
        <v>321527.14999999991</v>
      </c>
      <c r="Q89" s="34"/>
      <c r="R89" s="24"/>
    </row>
    <row r="90" spans="1:18" s="31" customFormat="1" ht="184.5" thickTop="1" thickBot="1" x14ac:dyDescent="0.25">
      <c r="A90" s="94" t="s">
        <v>1447</v>
      </c>
      <c r="B90" s="94" t="s">
        <v>1442</v>
      </c>
      <c r="C90" s="94" t="s">
        <v>205</v>
      </c>
      <c r="D90" s="94" t="s">
        <v>1800</v>
      </c>
      <c r="E90" s="521">
        <f>F90+I90</f>
        <v>120800</v>
      </c>
      <c r="F90" s="504">
        <v>120800</v>
      </c>
      <c r="G90" s="504"/>
      <c r="H90" s="504"/>
      <c r="I90" s="504"/>
      <c r="J90" s="501">
        <f t="shared" si="77"/>
        <v>337550</v>
      </c>
      <c r="K90" s="504">
        <v>337550</v>
      </c>
      <c r="L90" s="504"/>
      <c r="M90" s="504"/>
      <c r="N90" s="504"/>
      <c r="O90" s="502">
        <f t="shared" si="80"/>
        <v>337550</v>
      </c>
      <c r="P90" s="501">
        <f>E90+J90</f>
        <v>458350</v>
      </c>
      <c r="Q90" s="34"/>
      <c r="R90" s="24"/>
    </row>
    <row r="91" spans="1:18" s="31" customFormat="1" ht="138.75" hidden="1" thickTop="1" thickBot="1" x14ac:dyDescent="0.25">
      <c r="A91" s="119" t="s">
        <v>1448</v>
      </c>
      <c r="B91" s="119" t="s">
        <v>1444</v>
      </c>
      <c r="C91" s="119" t="s">
        <v>205</v>
      </c>
      <c r="D91" s="119" t="s">
        <v>1443</v>
      </c>
      <c r="E91" s="118"/>
      <c r="F91" s="125"/>
      <c r="G91" s="125"/>
      <c r="H91" s="125"/>
      <c r="I91" s="125"/>
      <c r="J91" s="118">
        <f t="shared" si="77"/>
        <v>0</v>
      </c>
      <c r="K91" s="125"/>
      <c r="L91" s="125">
        <v>0</v>
      </c>
      <c r="M91" s="125"/>
      <c r="N91" s="125"/>
      <c r="O91" s="123">
        <f>K91</f>
        <v>0</v>
      </c>
      <c r="P91" s="118">
        <f>E91+J91</f>
        <v>0</v>
      </c>
      <c r="Q91" s="34"/>
      <c r="R91" s="24"/>
    </row>
    <row r="92" spans="1:18" s="31" customFormat="1" ht="184.5" hidden="1" thickTop="1" thickBot="1" x14ac:dyDescent="0.25">
      <c r="A92" s="131" t="s">
        <v>1302</v>
      </c>
      <c r="B92" s="131" t="s">
        <v>1304</v>
      </c>
      <c r="C92" s="119"/>
      <c r="D92" s="131" t="s">
        <v>1301</v>
      </c>
      <c r="E92" s="132">
        <f>SUM(E93:E94)</f>
        <v>0</v>
      </c>
      <c r="F92" s="132">
        <f t="shared" ref="F92:O92" si="81">SUM(F93:F94)</f>
        <v>0</v>
      </c>
      <c r="G92" s="132">
        <f t="shared" si="81"/>
        <v>0</v>
      </c>
      <c r="H92" s="132">
        <f t="shared" si="81"/>
        <v>0</v>
      </c>
      <c r="I92" s="132">
        <f t="shared" si="81"/>
        <v>0</v>
      </c>
      <c r="J92" s="132">
        <f t="shared" si="81"/>
        <v>0</v>
      </c>
      <c r="K92" s="132">
        <f t="shared" si="81"/>
        <v>0</v>
      </c>
      <c r="L92" s="132">
        <f t="shared" si="81"/>
        <v>0</v>
      </c>
      <c r="M92" s="132">
        <f t="shared" si="81"/>
        <v>0</v>
      </c>
      <c r="N92" s="132">
        <f t="shared" si="81"/>
        <v>0</v>
      </c>
      <c r="O92" s="132">
        <f t="shared" si="81"/>
        <v>0</v>
      </c>
      <c r="P92" s="132">
        <f>SUM(P93:P94)</f>
        <v>0</v>
      </c>
      <c r="Q92" s="34"/>
      <c r="R92" s="24"/>
    </row>
    <row r="93" spans="1:18" s="31" customFormat="1" ht="230.25" hidden="1" thickTop="1" thickBot="1" x14ac:dyDescent="0.25">
      <c r="A93" s="119" t="s">
        <v>1305</v>
      </c>
      <c r="B93" s="119" t="s">
        <v>1303</v>
      </c>
      <c r="C93" s="119" t="s">
        <v>205</v>
      </c>
      <c r="D93" s="119" t="s">
        <v>1306</v>
      </c>
      <c r="E93" s="118"/>
      <c r="F93" s="125"/>
      <c r="G93" s="125"/>
      <c r="H93" s="125"/>
      <c r="I93" s="125"/>
      <c r="J93" s="118">
        <f t="shared" ref="J93:J95" si="82">L93+O93</f>
        <v>0</v>
      </c>
      <c r="K93" s="125">
        <v>0</v>
      </c>
      <c r="L93" s="125"/>
      <c r="M93" s="125"/>
      <c r="N93" s="125"/>
      <c r="O93" s="123">
        <f t="shared" ref="O93" si="83">K93</f>
        <v>0</v>
      </c>
      <c r="P93" s="118">
        <f>E93+J93</f>
        <v>0</v>
      </c>
      <c r="Q93" s="34"/>
      <c r="R93" s="24"/>
    </row>
    <row r="94" spans="1:18" s="31" customFormat="1" ht="184.5" hidden="1" thickTop="1" thickBot="1" x14ac:dyDescent="0.25">
      <c r="A94" s="119" t="s">
        <v>1307</v>
      </c>
      <c r="B94" s="119" t="s">
        <v>1308</v>
      </c>
      <c r="C94" s="119" t="s">
        <v>205</v>
      </c>
      <c r="D94" s="119" t="s">
        <v>1309</v>
      </c>
      <c r="E94" s="118"/>
      <c r="F94" s="125"/>
      <c r="G94" s="125"/>
      <c r="H94" s="125"/>
      <c r="I94" s="125"/>
      <c r="J94" s="118">
        <f t="shared" si="82"/>
        <v>0</v>
      </c>
      <c r="K94" s="125"/>
      <c r="L94" s="125">
        <v>0</v>
      </c>
      <c r="M94" s="125"/>
      <c r="N94" s="125"/>
      <c r="O94" s="123">
        <f>K94+0</f>
        <v>0</v>
      </c>
      <c r="P94" s="118">
        <f>E94+J94</f>
        <v>0</v>
      </c>
      <c r="Q94" s="34"/>
      <c r="R94" s="24"/>
    </row>
    <row r="95" spans="1:18" s="31" customFormat="1" ht="197.25" customHeight="1" thickTop="1" thickBot="1" x14ac:dyDescent="0.25">
      <c r="A95" s="94" t="s">
        <v>1372</v>
      </c>
      <c r="B95" s="94" t="s">
        <v>1359</v>
      </c>
      <c r="C95" s="94" t="s">
        <v>205</v>
      </c>
      <c r="D95" s="94" t="s">
        <v>1538</v>
      </c>
      <c r="E95" s="521">
        <f>F95+I95</f>
        <v>0</v>
      </c>
      <c r="F95" s="125"/>
      <c r="G95" s="125"/>
      <c r="H95" s="125"/>
      <c r="I95" s="125"/>
      <c r="J95" s="501">
        <f t="shared" si="82"/>
        <v>14379760</v>
      </c>
      <c r="K95" s="504">
        <f>(7000000+2252760+127000)+5000000</f>
        <v>14379760</v>
      </c>
      <c r="L95" s="504"/>
      <c r="M95" s="504"/>
      <c r="N95" s="504"/>
      <c r="O95" s="502">
        <f t="shared" ref="O95" si="84">K95</f>
        <v>14379760</v>
      </c>
      <c r="P95" s="501">
        <f>E95+J95</f>
        <v>14379760</v>
      </c>
      <c r="Q95" s="34"/>
      <c r="R95" s="24"/>
    </row>
    <row r="96" spans="1:18" s="31" customFormat="1" ht="93" hidden="1" thickTop="1" thickBot="1" x14ac:dyDescent="0.25">
      <c r="A96" s="131" t="s">
        <v>1342</v>
      </c>
      <c r="B96" s="131" t="s">
        <v>1345</v>
      </c>
      <c r="C96" s="119"/>
      <c r="D96" s="131" t="s">
        <v>1346</v>
      </c>
      <c r="E96" s="132">
        <f>E97</f>
        <v>0</v>
      </c>
      <c r="F96" s="132">
        <f t="shared" ref="F96:P96" si="85">F97</f>
        <v>0</v>
      </c>
      <c r="G96" s="132">
        <f t="shared" si="85"/>
        <v>0</v>
      </c>
      <c r="H96" s="132">
        <f t="shared" si="85"/>
        <v>0</v>
      </c>
      <c r="I96" s="132">
        <f t="shared" si="85"/>
        <v>0</v>
      </c>
      <c r="J96" s="132">
        <f t="shared" si="85"/>
        <v>0</v>
      </c>
      <c r="K96" s="132">
        <f t="shared" si="85"/>
        <v>0</v>
      </c>
      <c r="L96" s="132">
        <f t="shared" si="85"/>
        <v>0</v>
      </c>
      <c r="M96" s="132">
        <f t="shared" si="85"/>
        <v>0</v>
      </c>
      <c r="N96" s="132">
        <f t="shared" si="85"/>
        <v>0</v>
      </c>
      <c r="O96" s="132">
        <f t="shared" si="85"/>
        <v>0</v>
      </c>
      <c r="P96" s="132">
        <f t="shared" si="85"/>
        <v>0</v>
      </c>
      <c r="Q96" s="34"/>
      <c r="R96" s="24"/>
    </row>
    <row r="97" spans="1:18" s="31" customFormat="1" ht="138.75" hidden="1" thickTop="1" thickBot="1" x14ac:dyDescent="0.25">
      <c r="A97" s="119" t="s">
        <v>1343</v>
      </c>
      <c r="B97" s="119" t="s">
        <v>1344</v>
      </c>
      <c r="C97" s="119" t="s">
        <v>205</v>
      </c>
      <c r="D97" s="119" t="s">
        <v>1347</v>
      </c>
      <c r="E97" s="118"/>
      <c r="F97" s="125"/>
      <c r="G97" s="125"/>
      <c r="H97" s="125"/>
      <c r="I97" s="125"/>
      <c r="J97" s="118">
        <f t="shared" ref="J97" si="86">L97+O97</f>
        <v>0</v>
      </c>
      <c r="K97" s="125"/>
      <c r="L97" s="125">
        <v>0</v>
      </c>
      <c r="M97" s="125"/>
      <c r="N97" s="125"/>
      <c r="O97" s="123">
        <f t="shared" ref="O97" si="87">K97</f>
        <v>0</v>
      </c>
      <c r="P97" s="118">
        <f>E97+J97</f>
        <v>0</v>
      </c>
      <c r="Q97" s="34"/>
      <c r="R97" s="24"/>
    </row>
    <row r="98" spans="1:18" s="31" customFormat="1" ht="148.5" customHeight="1" thickTop="1" thickBot="1" x14ac:dyDescent="0.25">
      <c r="A98" s="94" t="s">
        <v>1401</v>
      </c>
      <c r="B98" s="94" t="s">
        <v>1402</v>
      </c>
      <c r="C98" s="94" t="s">
        <v>205</v>
      </c>
      <c r="D98" s="94" t="s">
        <v>1403</v>
      </c>
      <c r="E98" s="521">
        <f>F98+I98</f>
        <v>79736300</v>
      </c>
      <c r="F98" s="504">
        <v>79736300</v>
      </c>
      <c r="G98" s="504">
        <v>65357625</v>
      </c>
      <c r="H98" s="504"/>
      <c r="I98" s="504"/>
      <c r="J98" s="501">
        <f t="shared" ref="J98:J99" si="88">L98+O98</f>
        <v>0</v>
      </c>
      <c r="K98" s="504"/>
      <c r="L98" s="504"/>
      <c r="M98" s="504"/>
      <c r="N98" s="504"/>
      <c r="O98" s="502">
        <f t="shared" ref="O98" si="89">K98</f>
        <v>0</v>
      </c>
      <c r="P98" s="501">
        <f>E98+J98</f>
        <v>79736300</v>
      </c>
      <c r="Q98" s="34"/>
      <c r="R98" s="24"/>
    </row>
    <row r="99" spans="1:18" s="31" customFormat="1" ht="148.5" customHeight="1" thickTop="1" thickBot="1" x14ac:dyDescent="0.25">
      <c r="A99" s="94" t="s">
        <v>1703</v>
      </c>
      <c r="B99" s="94" t="s">
        <v>1704</v>
      </c>
      <c r="C99" s="94" t="s">
        <v>205</v>
      </c>
      <c r="D99" s="94" t="s">
        <v>1705</v>
      </c>
      <c r="E99" s="521">
        <f>F99+I99</f>
        <v>58944400</v>
      </c>
      <c r="F99" s="504">
        <v>58944400</v>
      </c>
      <c r="G99" s="504"/>
      <c r="H99" s="504"/>
      <c r="I99" s="504"/>
      <c r="J99" s="501">
        <f t="shared" si="88"/>
        <v>0</v>
      </c>
      <c r="K99" s="504"/>
      <c r="L99" s="504"/>
      <c r="M99" s="504"/>
      <c r="N99" s="504"/>
      <c r="O99" s="502"/>
      <c r="P99" s="501">
        <f>E99+J99</f>
        <v>58944400</v>
      </c>
      <c r="Q99" s="34"/>
      <c r="R99" s="24"/>
    </row>
    <row r="100" spans="1:18" s="31" customFormat="1" ht="99.75" customHeight="1" thickTop="1" thickBot="1" x14ac:dyDescent="0.25">
      <c r="A100" s="239" t="s">
        <v>677</v>
      </c>
      <c r="B100" s="239" t="s">
        <v>678</v>
      </c>
      <c r="C100" s="239"/>
      <c r="D100" s="239" t="s">
        <v>679</v>
      </c>
      <c r="E100" s="501">
        <f>SUM(E101:E103)</f>
        <v>4165000</v>
      </c>
      <c r="F100" s="501">
        <f t="shared" ref="F100:P100" si="90">SUM(F101:F103)</f>
        <v>2565000</v>
      </c>
      <c r="G100" s="501">
        <f t="shared" si="90"/>
        <v>0</v>
      </c>
      <c r="H100" s="501">
        <f t="shared" si="90"/>
        <v>0</v>
      </c>
      <c r="I100" s="501">
        <f t="shared" si="90"/>
        <v>1600000</v>
      </c>
      <c r="J100" s="501">
        <f t="shared" si="90"/>
        <v>0</v>
      </c>
      <c r="K100" s="501">
        <f t="shared" si="90"/>
        <v>0</v>
      </c>
      <c r="L100" s="501">
        <f t="shared" si="90"/>
        <v>0</v>
      </c>
      <c r="M100" s="501">
        <f t="shared" si="90"/>
        <v>0</v>
      </c>
      <c r="N100" s="501">
        <f t="shared" si="90"/>
        <v>0</v>
      </c>
      <c r="O100" s="501">
        <f t="shared" si="90"/>
        <v>0</v>
      </c>
      <c r="P100" s="501">
        <f t="shared" si="90"/>
        <v>4165000</v>
      </c>
      <c r="Q100" s="34"/>
      <c r="R100" s="24"/>
    </row>
    <row r="101" spans="1:18" s="31" customFormat="1" ht="210.75" customHeight="1" thickTop="1" thickBot="1" x14ac:dyDescent="0.25">
      <c r="A101" s="94" t="s">
        <v>420</v>
      </c>
      <c r="B101" s="94" t="s">
        <v>421</v>
      </c>
      <c r="C101" s="94" t="s">
        <v>180</v>
      </c>
      <c r="D101" s="94" t="s">
        <v>419</v>
      </c>
      <c r="E101" s="471">
        <f>F101+I101</f>
        <v>2565000</v>
      </c>
      <c r="F101" s="504">
        <f>(715000)+1850000</f>
        <v>2565000</v>
      </c>
      <c r="G101" s="125"/>
      <c r="H101" s="125"/>
      <c r="I101" s="125"/>
      <c r="J101" s="501">
        <f>L101+O101</f>
        <v>0</v>
      </c>
      <c r="K101" s="504"/>
      <c r="L101" s="504"/>
      <c r="M101" s="504"/>
      <c r="N101" s="504"/>
      <c r="O101" s="502">
        <f>K101</f>
        <v>0</v>
      </c>
      <c r="P101" s="501">
        <f>E101+J101</f>
        <v>2565000</v>
      </c>
      <c r="Q101" s="34"/>
      <c r="R101" s="37"/>
    </row>
    <row r="102" spans="1:18" s="31" customFormat="1" ht="93" hidden="1" thickTop="1" thickBot="1" x14ac:dyDescent="0.25">
      <c r="A102" s="119" t="s">
        <v>1111</v>
      </c>
      <c r="B102" s="119" t="s">
        <v>1080</v>
      </c>
      <c r="C102" s="119" t="s">
        <v>201</v>
      </c>
      <c r="D102" s="277" t="s">
        <v>1081</v>
      </c>
      <c r="E102" s="118">
        <f t="shared" si="56"/>
        <v>0</v>
      </c>
      <c r="F102" s="125"/>
      <c r="G102" s="125"/>
      <c r="H102" s="125"/>
      <c r="I102" s="125"/>
      <c r="J102" s="118">
        <f>L102+O102</f>
        <v>0</v>
      </c>
      <c r="K102" s="125"/>
      <c r="L102" s="125"/>
      <c r="M102" s="125"/>
      <c r="N102" s="125"/>
      <c r="O102" s="123">
        <f>K102</f>
        <v>0</v>
      </c>
      <c r="P102" s="118">
        <f>E102+J102</f>
        <v>0</v>
      </c>
      <c r="Q102" s="34"/>
      <c r="R102" s="37"/>
    </row>
    <row r="103" spans="1:18" s="31" customFormat="1" ht="96.75" customHeight="1" thickTop="1" thickBot="1" x14ac:dyDescent="0.25">
      <c r="A103" s="94" t="s">
        <v>1582</v>
      </c>
      <c r="B103" s="94" t="s">
        <v>323</v>
      </c>
      <c r="C103" s="94" t="s">
        <v>186</v>
      </c>
      <c r="D103" s="507" t="s">
        <v>1702</v>
      </c>
      <c r="E103" s="521">
        <f>F103+I103</f>
        <v>1600000</v>
      </c>
      <c r="F103" s="504"/>
      <c r="G103" s="504"/>
      <c r="H103" s="504"/>
      <c r="I103" s="504">
        <f>(950000)+650000</f>
        <v>1600000</v>
      </c>
      <c r="J103" s="501">
        <f t="shared" ref="J103" si="91">L103+O103</f>
        <v>0</v>
      </c>
      <c r="K103" s="504"/>
      <c r="L103" s="504"/>
      <c r="M103" s="504"/>
      <c r="N103" s="504"/>
      <c r="O103" s="502">
        <f t="shared" ref="O103" si="92">K103</f>
        <v>0</v>
      </c>
      <c r="P103" s="501">
        <f>E103+J103</f>
        <v>1600000</v>
      </c>
      <c r="Q103" s="34"/>
      <c r="R103" s="37"/>
    </row>
    <row r="104" spans="1:18" s="31" customFormat="1" ht="86.25" customHeight="1" thickTop="1" thickBot="1" x14ac:dyDescent="0.25">
      <c r="A104" s="239" t="s">
        <v>1008</v>
      </c>
      <c r="B104" s="239" t="s">
        <v>713</v>
      </c>
      <c r="C104" s="239"/>
      <c r="D104" s="239" t="s">
        <v>1007</v>
      </c>
      <c r="E104" s="501">
        <f>E107+E105</f>
        <v>5000000</v>
      </c>
      <c r="F104" s="501">
        <f t="shared" ref="F104:P104" si="93">F107+F105</f>
        <v>0</v>
      </c>
      <c r="G104" s="501">
        <f t="shared" si="93"/>
        <v>0</v>
      </c>
      <c r="H104" s="501">
        <f t="shared" si="93"/>
        <v>0</v>
      </c>
      <c r="I104" s="501">
        <f t="shared" si="93"/>
        <v>5000000</v>
      </c>
      <c r="J104" s="501">
        <f t="shared" si="93"/>
        <v>0</v>
      </c>
      <c r="K104" s="501">
        <f t="shared" si="93"/>
        <v>0</v>
      </c>
      <c r="L104" s="501">
        <f t="shared" si="93"/>
        <v>0</v>
      </c>
      <c r="M104" s="501">
        <f t="shared" si="93"/>
        <v>0</v>
      </c>
      <c r="N104" s="501">
        <f t="shared" si="93"/>
        <v>0</v>
      </c>
      <c r="O104" s="501">
        <f t="shared" si="93"/>
        <v>0</v>
      </c>
      <c r="P104" s="501">
        <f t="shared" si="93"/>
        <v>5000000</v>
      </c>
      <c r="Q104" s="34"/>
      <c r="R104" s="24"/>
    </row>
    <row r="105" spans="1:18" s="31" customFormat="1" ht="47.25" hidden="1" thickTop="1" thickBot="1" x14ac:dyDescent="0.25">
      <c r="A105" s="127" t="s">
        <v>1421</v>
      </c>
      <c r="B105" s="348" t="s">
        <v>765</v>
      </c>
      <c r="C105" s="348"/>
      <c r="D105" s="348" t="s">
        <v>1394</v>
      </c>
      <c r="E105" s="128">
        <f>E106</f>
        <v>0</v>
      </c>
      <c r="F105" s="128">
        <f t="shared" ref="F105:P107" si="94">F106</f>
        <v>0</v>
      </c>
      <c r="G105" s="128">
        <f t="shared" si="94"/>
        <v>0</v>
      </c>
      <c r="H105" s="128">
        <f t="shared" si="94"/>
        <v>0</v>
      </c>
      <c r="I105" s="128">
        <f t="shared" si="94"/>
        <v>0</v>
      </c>
      <c r="J105" s="128">
        <f t="shared" si="94"/>
        <v>0</v>
      </c>
      <c r="K105" s="128">
        <f t="shared" si="94"/>
        <v>0</v>
      </c>
      <c r="L105" s="128">
        <f t="shared" si="94"/>
        <v>0</v>
      </c>
      <c r="M105" s="128">
        <f t="shared" si="94"/>
        <v>0</v>
      </c>
      <c r="N105" s="128">
        <f t="shared" si="94"/>
        <v>0</v>
      </c>
      <c r="O105" s="128">
        <f t="shared" si="94"/>
        <v>0</v>
      </c>
      <c r="P105" s="128">
        <f t="shared" si="94"/>
        <v>0</v>
      </c>
      <c r="Q105" s="34"/>
      <c r="R105" s="24"/>
    </row>
    <row r="106" spans="1:18" s="31" customFormat="1" ht="54" hidden="1" thickTop="1" thickBot="1" x14ac:dyDescent="0.25">
      <c r="A106" s="119" t="s">
        <v>1422</v>
      </c>
      <c r="B106" s="349" t="s">
        <v>308</v>
      </c>
      <c r="C106" s="349" t="s">
        <v>298</v>
      </c>
      <c r="D106" s="349" t="s">
        <v>1279</v>
      </c>
      <c r="E106" s="118">
        <f t="shared" ref="E106" si="95">F106</f>
        <v>0</v>
      </c>
      <c r="F106" s="125"/>
      <c r="G106" s="125"/>
      <c r="H106" s="125"/>
      <c r="I106" s="125"/>
      <c r="J106" s="118">
        <f t="shared" ref="J106" si="96">L106+O106</f>
        <v>0</v>
      </c>
      <c r="K106" s="125">
        <f>1600000-1600000</f>
        <v>0</v>
      </c>
      <c r="L106" s="125"/>
      <c r="M106" s="125"/>
      <c r="N106" s="125"/>
      <c r="O106" s="123">
        <f t="shared" ref="O106" si="97">K106</f>
        <v>0</v>
      </c>
      <c r="P106" s="118">
        <f>E106+J106</f>
        <v>0</v>
      </c>
      <c r="Q106" s="34"/>
      <c r="R106" s="24"/>
    </row>
    <row r="107" spans="1:18" s="31" customFormat="1" ht="99.75" customHeight="1" thickTop="1" thickBot="1" x14ac:dyDescent="0.25">
      <c r="A107" s="508" t="s">
        <v>1009</v>
      </c>
      <c r="B107" s="508" t="s">
        <v>659</v>
      </c>
      <c r="C107" s="508"/>
      <c r="D107" s="508" t="s">
        <v>657</v>
      </c>
      <c r="E107" s="524">
        <f>E108</f>
        <v>5000000</v>
      </c>
      <c r="F107" s="524">
        <f t="shared" si="94"/>
        <v>0</v>
      </c>
      <c r="G107" s="524">
        <f t="shared" si="94"/>
        <v>0</v>
      </c>
      <c r="H107" s="524">
        <f t="shared" si="94"/>
        <v>0</v>
      </c>
      <c r="I107" s="524">
        <f t="shared" si="94"/>
        <v>5000000</v>
      </c>
      <c r="J107" s="524">
        <f t="shared" si="94"/>
        <v>0</v>
      </c>
      <c r="K107" s="524">
        <f t="shared" si="94"/>
        <v>0</v>
      </c>
      <c r="L107" s="524">
        <f t="shared" si="94"/>
        <v>0</v>
      </c>
      <c r="M107" s="524">
        <f t="shared" si="94"/>
        <v>0</v>
      </c>
      <c r="N107" s="524">
        <f t="shared" si="94"/>
        <v>0</v>
      </c>
      <c r="O107" s="524">
        <f t="shared" si="94"/>
        <v>0</v>
      </c>
      <c r="P107" s="524">
        <f t="shared" si="94"/>
        <v>5000000</v>
      </c>
      <c r="Q107" s="28"/>
      <c r="R107" s="24"/>
    </row>
    <row r="108" spans="1:18" s="31" customFormat="1" ht="90.75" customHeight="1" thickTop="1" thickBot="1" x14ac:dyDescent="0.25">
      <c r="A108" s="94" t="s">
        <v>1010</v>
      </c>
      <c r="B108" s="94" t="s">
        <v>207</v>
      </c>
      <c r="C108" s="94" t="s">
        <v>208</v>
      </c>
      <c r="D108" s="94" t="s">
        <v>40</v>
      </c>
      <c r="E108" s="521">
        <f>F108+I108</f>
        <v>5000000</v>
      </c>
      <c r="F108" s="504"/>
      <c r="G108" s="504"/>
      <c r="H108" s="504"/>
      <c r="I108" s="504">
        <f>((2000000+1000000)+1000000)+1000000</f>
        <v>5000000</v>
      </c>
      <c r="J108" s="501">
        <f t="shared" ref="J108" si="98">L108+O108</f>
        <v>0</v>
      </c>
      <c r="K108" s="504"/>
      <c r="L108" s="504"/>
      <c r="M108" s="504"/>
      <c r="N108" s="504"/>
      <c r="O108" s="502">
        <f t="shared" ref="O108" si="99">K108</f>
        <v>0</v>
      </c>
      <c r="P108" s="501">
        <f>E108+J108</f>
        <v>5000000</v>
      </c>
      <c r="Q108" s="28"/>
      <c r="R108" s="24"/>
    </row>
    <row r="109" spans="1:18" s="31" customFormat="1" ht="47.25" hidden="1" thickTop="1" thickBot="1" x14ac:dyDescent="0.25">
      <c r="A109" s="116" t="s">
        <v>1103</v>
      </c>
      <c r="B109" s="116" t="s">
        <v>664</v>
      </c>
      <c r="C109" s="116"/>
      <c r="D109" s="116" t="s">
        <v>665</v>
      </c>
      <c r="E109" s="118">
        <f>E112+E110</f>
        <v>0</v>
      </c>
      <c r="F109" s="118">
        <f t="shared" ref="F109:P109" si="100">F112+F110</f>
        <v>0</v>
      </c>
      <c r="G109" s="118">
        <f t="shared" si="100"/>
        <v>0</v>
      </c>
      <c r="H109" s="118">
        <f t="shared" si="100"/>
        <v>0</v>
      </c>
      <c r="I109" s="118">
        <f t="shared" si="100"/>
        <v>0</v>
      </c>
      <c r="J109" s="118">
        <f t="shared" si="100"/>
        <v>0</v>
      </c>
      <c r="K109" s="118">
        <f t="shared" si="100"/>
        <v>0</v>
      </c>
      <c r="L109" s="118">
        <f t="shared" si="100"/>
        <v>0</v>
      </c>
      <c r="M109" s="118">
        <f t="shared" si="100"/>
        <v>0</v>
      </c>
      <c r="N109" s="118">
        <f t="shared" si="100"/>
        <v>0</v>
      </c>
      <c r="O109" s="118">
        <f t="shared" si="100"/>
        <v>0</v>
      </c>
      <c r="P109" s="118">
        <f t="shared" si="100"/>
        <v>0</v>
      </c>
      <c r="Q109" s="28"/>
      <c r="R109" s="24"/>
    </row>
    <row r="110" spans="1:18" s="31" customFormat="1" ht="47.25" hidden="1" thickTop="1" thickBot="1" x14ac:dyDescent="0.25">
      <c r="A110" s="127" t="s">
        <v>1462</v>
      </c>
      <c r="B110" s="127" t="s">
        <v>774</v>
      </c>
      <c r="C110" s="127"/>
      <c r="D110" s="127" t="s">
        <v>1140</v>
      </c>
      <c r="E110" s="128">
        <f>E111</f>
        <v>0</v>
      </c>
      <c r="F110" s="128">
        <f t="shared" ref="F110:P110" si="101">F111</f>
        <v>0</v>
      </c>
      <c r="G110" s="128">
        <f t="shared" si="101"/>
        <v>0</v>
      </c>
      <c r="H110" s="128">
        <f t="shared" si="101"/>
        <v>0</v>
      </c>
      <c r="I110" s="128">
        <f t="shared" si="101"/>
        <v>0</v>
      </c>
      <c r="J110" s="128">
        <f t="shared" si="101"/>
        <v>0</v>
      </c>
      <c r="K110" s="128">
        <f t="shared" si="101"/>
        <v>0</v>
      </c>
      <c r="L110" s="128">
        <f t="shared" si="101"/>
        <v>0</v>
      </c>
      <c r="M110" s="128">
        <f t="shared" si="101"/>
        <v>0</v>
      </c>
      <c r="N110" s="128">
        <f t="shared" si="101"/>
        <v>0</v>
      </c>
      <c r="O110" s="128">
        <f t="shared" si="101"/>
        <v>0</v>
      </c>
      <c r="P110" s="128">
        <f t="shared" si="101"/>
        <v>0</v>
      </c>
      <c r="Q110" s="28"/>
      <c r="R110" s="24"/>
    </row>
    <row r="111" spans="1:18" s="31" customFormat="1" ht="93" hidden="1" thickTop="1" thickBot="1" x14ac:dyDescent="0.25">
      <c r="A111" s="119" t="s">
        <v>1463</v>
      </c>
      <c r="B111" s="119" t="s">
        <v>499</v>
      </c>
      <c r="C111" s="119" t="s">
        <v>245</v>
      </c>
      <c r="D111" s="119" t="s">
        <v>500</v>
      </c>
      <c r="E111" s="118"/>
      <c r="F111" s="125">
        <v>0</v>
      </c>
      <c r="G111" s="125"/>
      <c r="H111" s="125"/>
      <c r="I111" s="125"/>
      <c r="J111" s="118">
        <f t="shared" ref="J111" si="102">L111+O111</f>
        <v>0</v>
      </c>
      <c r="K111" s="125"/>
      <c r="L111" s="125"/>
      <c r="M111" s="125"/>
      <c r="N111" s="125"/>
      <c r="O111" s="123">
        <f t="shared" ref="O111" si="103">K111</f>
        <v>0</v>
      </c>
      <c r="P111" s="118">
        <f>E111+J111</f>
        <v>0</v>
      </c>
      <c r="Q111" s="28"/>
      <c r="R111" s="24"/>
    </row>
    <row r="112" spans="1:18" s="31" customFormat="1" ht="47.25" hidden="1" thickTop="1" thickBot="1" x14ac:dyDescent="0.25">
      <c r="A112" s="127" t="s">
        <v>1104</v>
      </c>
      <c r="B112" s="127" t="s">
        <v>1066</v>
      </c>
      <c r="C112" s="127"/>
      <c r="D112" s="127" t="s">
        <v>1064</v>
      </c>
      <c r="E112" s="128">
        <f t="shared" ref="E112:P112" si="104">E113</f>
        <v>0</v>
      </c>
      <c r="F112" s="128">
        <f t="shared" si="104"/>
        <v>0</v>
      </c>
      <c r="G112" s="128">
        <f t="shared" si="104"/>
        <v>0</v>
      </c>
      <c r="H112" s="128">
        <f t="shared" si="104"/>
        <v>0</v>
      </c>
      <c r="I112" s="128">
        <f t="shared" si="104"/>
        <v>0</v>
      </c>
      <c r="J112" s="128">
        <f t="shared" si="104"/>
        <v>0</v>
      </c>
      <c r="K112" s="128">
        <f t="shared" si="104"/>
        <v>0</v>
      </c>
      <c r="L112" s="128">
        <f t="shared" si="104"/>
        <v>0</v>
      </c>
      <c r="M112" s="128">
        <f t="shared" si="104"/>
        <v>0</v>
      </c>
      <c r="N112" s="128">
        <f t="shared" si="104"/>
        <v>0</v>
      </c>
      <c r="O112" s="128">
        <f t="shared" si="104"/>
        <v>0</v>
      </c>
      <c r="P112" s="128">
        <f t="shared" si="104"/>
        <v>0</v>
      </c>
      <c r="Q112" s="28"/>
      <c r="R112" s="24"/>
    </row>
    <row r="113" spans="1:18" s="31" customFormat="1" ht="48" hidden="1" thickTop="1" thickBot="1" x14ac:dyDescent="0.25">
      <c r="A113" s="119" t="s">
        <v>1105</v>
      </c>
      <c r="B113" s="119" t="s">
        <v>1070</v>
      </c>
      <c r="C113" s="119" t="s">
        <v>1068</v>
      </c>
      <c r="D113" s="119" t="s">
        <v>1067</v>
      </c>
      <c r="E113" s="118">
        <f>F113</f>
        <v>0</v>
      </c>
      <c r="F113" s="125"/>
      <c r="G113" s="125"/>
      <c r="H113" s="125"/>
      <c r="I113" s="125"/>
      <c r="J113" s="118">
        <f>L113+O113</f>
        <v>0</v>
      </c>
      <c r="K113" s="125">
        <v>0</v>
      </c>
      <c r="L113" s="125"/>
      <c r="M113" s="125"/>
      <c r="N113" s="125"/>
      <c r="O113" s="123">
        <f>K113</f>
        <v>0</v>
      </c>
      <c r="P113" s="118">
        <f>E113+J113</f>
        <v>0</v>
      </c>
      <c r="Q113" s="28"/>
      <c r="R113" s="24"/>
    </row>
    <row r="114" spans="1:18" s="31" customFormat="1" ht="47.25" hidden="1" thickTop="1" thickBot="1" x14ac:dyDescent="0.25">
      <c r="A114" s="137" t="s">
        <v>952</v>
      </c>
      <c r="B114" s="137" t="s">
        <v>669</v>
      </c>
      <c r="C114" s="137"/>
      <c r="D114" s="137" t="s">
        <v>670</v>
      </c>
      <c r="E114" s="40">
        <f>E115</f>
        <v>0</v>
      </c>
      <c r="F114" s="40">
        <f t="shared" ref="F114:P115" si="105">F115</f>
        <v>0</v>
      </c>
      <c r="G114" s="40">
        <f t="shared" si="105"/>
        <v>0</v>
      </c>
      <c r="H114" s="40">
        <f t="shared" si="105"/>
        <v>0</v>
      </c>
      <c r="I114" s="40">
        <f t="shared" si="105"/>
        <v>0</v>
      </c>
      <c r="J114" s="40">
        <f t="shared" si="105"/>
        <v>0</v>
      </c>
      <c r="K114" s="40">
        <f t="shared" si="105"/>
        <v>0</v>
      </c>
      <c r="L114" s="40">
        <f t="shared" si="105"/>
        <v>0</v>
      </c>
      <c r="M114" s="40">
        <f t="shared" si="105"/>
        <v>0</v>
      </c>
      <c r="N114" s="40">
        <f t="shared" si="105"/>
        <v>0</v>
      </c>
      <c r="O114" s="40">
        <f t="shared" si="105"/>
        <v>0</v>
      </c>
      <c r="P114" s="40">
        <f t="shared" si="105"/>
        <v>0</v>
      </c>
      <c r="Q114" s="34"/>
      <c r="R114" s="24"/>
    </row>
    <row r="115" spans="1:18" s="31" customFormat="1" ht="91.5" hidden="1" thickTop="1" thickBot="1" x14ac:dyDescent="0.25">
      <c r="A115" s="138" t="s">
        <v>953</v>
      </c>
      <c r="B115" s="138" t="s">
        <v>672</v>
      </c>
      <c r="C115" s="138"/>
      <c r="D115" s="138" t="s">
        <v>673</v>
      </c>
      <c r="E115" s="139">
        <f>E116</f>
        <v>0</v>
      </c>
      <c r="F115" s="139">
        <f t="shared" si="105"/>
        <v>0</v>
      </c>
      <c r="G115" s="139">
        <f t="shared" si="105"/>
        <v>0</v>
      </c>
      <c r="H115" s="139">
        <f t="shared" si="105"/>
        <v>0</v>
      </c>
      <c r="I115" s="139">
        <f t="shared" si="105"/>
        <v>0</v>
      </c>
      <c r="J115" s="139">
        <f t="shared" si="105"/>
        <v>0</v>
      </c>
      <c r="K115" s="139">
        <f t="shared" si="105"/>
        <v>0</v>
      </c>
      <c r="L115" s="139">
        <f t="shared" si="105"/>
        <v>0</v>
      </c>
      <c r="M115" s="139">
        <f t="shared" si="105"/>
        <v>0</v>
      </c>
      <c r="N115" s="139">
        <f t="shared" si="105"/>
        <v>0</v>
      </c>
      <c r="O115" s="139">
        <f t="shared" si="105"/>
        <v>0</v>
      </c>
      <c r="P115" s="139">
        <f t="shared" si="105"/>
        <v>0</v>
      </c>
      <c r="Q115" s="34"/>
      <c r="R115" s="24"/>
    </row>
    <row r="116" spans="1:18" s="31" customFormat="1" ht="48" hidden="1" thickTop="1" thickBot="1" x14ac:dyDescent="0.25">
      <c r="A116" s="39" t="s">
        <v>954</v>
      </c>
      <c r="B116" s="39" t="s">
        <v>353</v>
      </c>
      <c r="C116" s="39" t="s">
        <v>42</v>
      </c>
      <c r="D116" s="39" t="s">
        <v>354</v>
      </c>
      <c r="E116" s="40">
        <f t="shared" ref="E116" si="106">F116</f>
        <v>0</v>
      </c>
      <c r="F116" s="41"/>
      <c r="G116" s="41"/>
      <c r="H116" s="41"/>
      <c r="I116" s="41"/>
      <c r="J116" s="40">
        <f>L116+O116</f>
        <v>0</v>
      </c>
      <c r="K116" s="41"/>
      <c r="L116" s="41"/>
      <c r="M116" s="41"/>
      <c r="N116" s="41"/>
      <c r="O116" s="42">
        <f>K116</f>
        <v>0</v>
      </c>
      <c r="P116" s="40">
        <f>E116+J116</f>
        <v>0</v>
      </c>
      <c r="Q116" s="34"/>
      <c r="R116" s="24"/>
    </row>
    <row r="117" spans="1:18" ht="166.5" customHeight="1" thickTop="1" thickBot="1" x14ac:dyDescent="0.25">
      <c r="A117" s="514" t="s">
        <v>149</v>
      </c>
      <c r="B117" s="514"/>
      <c r="C117" s="514"/>
      <c r="D117" s="515" t="s">
        <v>18</v>
      </c>
      <c r="E117" s="516">
        <f>E118</f>
        <v>167398474.22</v>
      </c>
      <c r="F117" s="517">
        <f t="shared" ref="F117:G117" si="107">F118</f>
        <v>138908726.22</v>
      </c>
      <c r="G117" s="517">
        <f t="shared" si="107"/>
        <v>7121780</v>
      </c>
      <c r="H117" s="517">
        <f>H118</f>
        <v>353940</v>
      </c>
      <c r="I117" s="517">
        <f t="shared" ref="I117" si="108">I118</f>
        <v>28489748</v>
      </c>
      <c r="J117" s="516">
        <f>J118</f>
        <v>16500000</v>
      </c>
      <c r="K117" s="517">
        <f>K118</f>
        <v>16500000</v>
      </c>
      <c r="L117" s="517">
        <f>L118</f>
        <v>0</v>
      </c>
      <c r="M117" s="517">
        <f t="shared" ref="M117" si="109">M118</f>
        <v>0</v>
      </c>
      <c r="N117" s="517">
        <f>N118</f>
        <v>0</v>
      </c>
      <c r="O117" s="516">
        <f>O118</f>
        <v>16500000</v>
      </c>
      <c r="P117" s="517">
        <f>P118</f>
        <v>183898474.22</v>
      </c>
      <c r="Q117" s="18"/>
    </row>
    <row r="118" spans="1:18" ht="178.5" customHeight="1" thickTop="1" thickBot="1" x14ac:dyDescent="0.25">
      <c r="A118" s="511" t="s">
        <v>150</v>
      </c>
      <c r="B118" s="511"/>
      <c r="C118" s="511"/>
      <c r="D118" s="512" t="s">
        <v>35</v>
      </c>
      <c r="E118" s="513">
        <f>E119+E122+E138+E142+E148</f>
        <v>167398474.22</v>
      </c>
      <c r="F118" s="513">
        <f t="shared" ref="F118:P118" si="110">F119+F122+F138+F142+F148</f>
        <v>138908726.22</v>
      </c>
      <c r="G118" s="513">
        <f t="shared" si="110"/>
        <v>7121780</v>
      </c>
      <c r="H118" s="513">
        <f t="shared" si="110"/>
        <v>353940</v>
      </c>
      <c r="I118" s="513">
        <f t="shared" si="110"/>
        <v>28489748</v>
      </c>
      <c r="J118" s="513">
        <f t="shared" si="110"/>
        <v>16500000</v>
      </c>
      <c r="K118" s="513">
        <f t="shared" si="110"/>
        <v>16500000</v>
      </c>
      <c r="L118" s="513">
        <f t="shared" si="110"/>
        <v>0</v>
      </c>
      <c r="M118" s="513">
        <f t="shared" si="110"/>
        <v>0</v>
      </c>
      <c r="N118" s="513">
        <f t="shared" si="110"/>
        <v>0</v>
      </c>
      <c r="O118" s="513">
        <f t="shared" si="110"/>
        <v>16500000</v>
      </c>
      <c r="P118" s="513">
        <f t="shared" si="110"/>
        <v>183898474.22</v>
      </c>
      <c r="Q118" s="597" t="b">
        <f>P118=P120+P123+P124+P125+P126+P129+P133+P134+P137+P141+P140+P150</f>
        <v>1</v>
      </c>
      <c r="R118" s="24"/>
    </row>
    <row r="119" spans="1:18" ht="90.75" customHeight="1" thickTop="1" thickBot="1" x14ac:dyDescent="0.25">
      <c r="A119" s="239" t="s">
        <v>680</v>
      </c>
      <c r="B119" s="239" t="s">
        <v>652</v>
      </c>
      <c r="C119" s="239"/>
      <c r="D119" s="239" t="s">
        <v>653</v>
      </c>
      <c r="E119" s="501">
        <f>SUM(E120:E121)</f>
        <v>4657612</v>
      </c>
      <c r="F119" s="501">
        <f t="shared" ref="F119:P119" si="111">SUM(F120:F121)</f>
        <v>4657612</v>
      </c>
      <c r="G119" s="501">
        <f t="shared" si="111"/>
        <v>3571780</v>
      </c>
      <c r="H119" s="501">
        <f t="shared" si="111"/>
        <v>141740</v>
      </c>
      <c r="I119" s="501">
        <f t="shared" si="111"/>
        <v>0</v>
      </c>
      <c r="J119" s="501">
        <f t="shared" si="111"/>
        <v>0</v>
      </c>
      <c r="K119" s="501">
        <f t="shared" si="111"/>
        <v>0</v>
      </c>
      <c r="L119" s="501">
        <f t="shared" si="111"/>
        <v>0</v>
      </c>
      <c r="M119" s="501">
        <f t="shared" si="111"/>
        <v>0</v>
      </c>
      <c r="N119" s="501">
        <f t="shared" si="111"/>
        <v>0</v>
      </c>
      <c r="O119" s="501">
        <f t="shared" si="111"/>
        <v>0</v>
      </c>
      <c r="P119" s="501">
        <f t="shared" si="111"/>
        <v>4657612</v>
      </c>
      <c r="Q119" s="28"/>
      <c r="R119" s="24"/>
    </row>
    <row r="120" spans="1:18" ht="130.69999999999999" customHeight="1" thickTop="1" thickBot="1" x14ac:dyDescent="0.25">
      <c r="A120" s="94" t="s">
        <v>405</v>
      </c>
      <c r="B120" s="94" t="s">
        <v>231</v>
      </c>
      <c r="C120" s="94" t="s">
        <v>229</v>
      </c>
      <c r="D120" s="94" t="s">
        <v>1515</v>
      </c>
      <c r="E120" s="521">
        <f>F120+I120</f>
        <v>4657612</v>
      </c>
      <c r="F120" s="504">
        <v>4657612</v>
      </c>
      <c r="G120" s="504">
        <v>3571780</v>
      </c>
      <c r="H120" s="504">
        <v>141740</v>
      </c>
      <c r="I120" s="504"/>
      <c r="J120" s="501">
        <f t="shared" ref="J120:J147" si="112">L120+O120</f>
        <v>0</v>
      </c>
      <c r="K120" s="504"/>
      <c r="L120" s="504"/>
      <c r="M120" s="504"/>
      <c r="N120" s="504"/>
      <c r="O120" s="502">
        <f>K120</f>
        <v>0</v>
      </c>
      <c r="P120" s="501">
        <f t="shared" ref="P120:P147" si="113">E120+J120</f>
        <v>4657612</v>
      </c>
      <c r="Q120" s="37"/>
      <c r="R120" s="24"/>
    </row>
    <row r="121" spans="1:18" ht="93" hidden="1" thickTop="1" thickBot="1" x14ac:dyDescent="0.25">
      <c r="A121" s="119" t="s">
        <v>1127</v>
      </c>
      <c r="B121" s="119" t="s">
        <v>352</v>
      </c>
      <c r="C121" s="119" t="s">
        <v>598</v>
      </c>
      <c r="D121" s="119" t="s">
        <v>599</v>
      </c>
      <c r="E121" s="118">
        <f>F121</f>
        <v>0</v>
      </c>
      <c r="F121" s="125">
        <v>0</v>
      </c>
      <c r="G121" s="125"/>
      <c r="H121" s="125"/>
      <c r="I121" s="125"/>
      <c r="J121" s="118">
        <f t="shared" si="112"/>
        <v>0</v>
      </c>
      <c r="K121" s="125"/>
      <c r="L121" s="125"/>
      <c r="M121" s="125"/>
      <c r="N121" s="125"/>
      <c r="O121" s="123">
        <f>K121</f>
        <v>0</v>
      </c>
      <c r="P121" s="118">
        <f t="shared" si="113"/>
        <v>0</v>
      </c>
      <c r="Q121" s="37"/>
      <c r="R121" s="24"/>
    </row>
    <row r="122" spans="1:18" ht="90.75" customHeight="1" thickTop="1" thickBot="1" x14ac:dyDescent="0.25">
      <c r="A122" s="239" t="s">
        <v>681</v>
      </c>
      <c r="B122" s="239" t="s">
        <v>682</v>
      </c>
      <c r="C122" s="239"/>
      <c r="D122" s="239" t="s">
        <v>683</v>
      </c>
      <c r="E122" s="501">
        <f>SUM(E123:E137)-E128-E130-E132-E135</f>
        <v>161127862.22</v>
      </c>
      <c r="F122" s="501">
        <f t="shared" ref="F122:P122" si="114">SUM(F123:F137)-F128-F130-F132-F135</f>
        <v>133138114.22</v>
      </c>
      <c r="G122" s="501">
        <f t="shared" si="114"/>
        <v>3550000</v>
      </c>
      <c r="H122" s="501">
        <f t="shared" si="114"/>
        <v>212200</v>
      </c>
      <c r="I122" s="501">
        <f t="shared" si="114"/>
        <v>27989748</v>
      </c>
      <c r="J122" s="501">
        <f t="shared" si="114"/>
        <v>16500000</v>
      </c>
      <c r="K122" s="501">
        <f t="shared" si="114"/>
        <v>16500000</v>
      </c>
      <c r="L122" s="501">
        <f t="shared" si="114"/>
        <v>0</v>
      </c>
      <c r="M122" s="501">
        <f t="shared" si="114"/>
        <v>0</v>
      </c>
      <c r="N122" s="501">
        <f t="shared" si="114"/>
        <v>0</v>
      </c>
      <c r="O122" s="501">
        <f t="shared" si="114"/>
        <v>16500000</v>
      </c>
      <c r="P122" s="501">
        <f t="shared" si="114"/>
        <v>177627862.22</v>
      </c>
      <c r="Q122" s="37"/>
      <c r="R122" s="37"/>
    </row>
    <row r="123" spans="1:18" ht="101.25" customHeight="1" thickTop="1" thickBot="1" x14ac:dyDescent="0.25">
      <c r="A123" s="94" t="s">
        <v>209</v>
      </c>
      <c r="B123" s="94" t="s">
        <v>206</v>
      </c>
      <c r="C123" s="94" t="s">
        <v>210</v>
      </c>
      <c r="D123" s="94" t="s">
        <v>19</v>
      </c>
      <c r="E123" s="521">
        <f>F123+I123</f>
        <v>65290642</v>
      </c>
      <c r="F123" s="504">
        <f>(42522956-4515254)+2000000+621500+300000+206186+80000</f>
        <v>41215388</v>
      </c>
      <c r="G123" s="125"/>
      <c r="H123" s="125"/>
      <c r="I123" s="504">
        <f>((4515254+9000000)+5000000)+1560000+3000000+1000000</f>
        <v>24075254</v>
      </c>
      <c r="J123" s="501">
        <f t="shared" si="112"/>
        <v>0</v>
      </c>
      <c r="K123" s="125"/>
      <c r="L123" s="125"/>
      <c r="M123" s="125"/>
      <c r="N123" s="125"/>
      <c r="O123" s="502">
        <f>K123</f>
        <v>0</v>
      </c>
      <c r="P123" s="501">
        <f t="shared" si="113"/>
        <v>65290642</v>
      </c>
      <c r="Q123" s="18"/>
      <c r="R123" s="28"/>
    </row>
    <row r="124" spans="1:18" ht="97.5" customHeight="1" thickTop="1" thickBot="1" x14ac:dyDescent="0.25">
      <c r="A124" s="94" t="s">
        <v>488</v>
      </c>
      <c r="B124" s="94" t="s">
        <v>491</v>
      </c>
      <c r="C124" s="94" t="s">
        <v>490</v>
      </c>
      <c r="D124" s="94" t="s">
        <v>489</v>
      </c>
      <c r="E124" s="521">
        <f>F124+I124</f>
        <v>21360700</v>
      </c>
      <c r="F124" s="504">
        <f>((10660700)+6700000)+4000000</f>
        <v>21360700</v>
      </c>
      <c r="G124" s="125"/>
      <c r="H124" s="125"/>
      <c r="I124" s="125"/>
      <c r="J124" s="501">
        <f t="shared" si="112"/>
        <v>0</v>
      </c>
      <c r="K124" s="125"/>
      <c r="L124" s="125"/>
      <c r="M124" s="125"/>
      <c r="N124" s="125"/>
      <c r="O124" s="502">
        <f>K124</f>
        <v>0</v>
      </c>
      <c r="P124" s="501">
        <f t="shared" si="113"/>
        <v>21360700</v>
      </c>
      <c r="Q124" s="18"/>
      <c r="R124" s="37"/>
    </row>
    <row r="125" spans="1:18" ht="94.7" customHeight="1" thickTop="1" thickBot="1" x14ac:dyDescent="0.25">
      <c r="A125" s="94" t="s">
        <v>211</v>
      </c>
      <c r="B125" s="94" t="s">
        <v>212</v>
      </c>
      <c r="C125" s="94" t="s">
        <v>213</v>
      </c>
      <c r="D125" s="94" t="s">
        <v>214</v>
      </c>
      <c r="E125" s="521">
        <f>F125+I125</f>
        <v>15001444</v>
      </c>
      <c r="F125" s="504">
        <f>(12397450)+60000</f>
        <v>12457450</v>
      </c>
      <c r="G125" s="125"/>
      <c r="H125" s="125"/>
      <c r="I125" s="504">
        <f>(0)+1550489+993505</f>
        <v>2543994</v>
      </c>
      <c r="J125" s="501">
        <f t="shared" si="112"/>
        <v>0</v>
      </c>
      <c r="K125" s="125"/>
      <c r="L125" s="125"/>
      <c r="M125" s="125"/>
      <c r="N125" s="125"/>
      <c r="O125" s="502">
        <f>K125</f>
        <v>0</v>
      </c>
      <c r="P125" s="501">
        <f t="shared" si="113"/>
        <v>15001444</v>
      </c>
      <c r="Q125" s="18"/>
      <c r="R125" s="37"/>
    </row>
    <row r="126" spans="1:18" ht="122.25" customHeight="1" thickTop="1" thickBot="1" x14ac:dyDescent="0.25">
      <c r="A126" s="94" t="s">
        <v>215</v>
      </c>
      <c r="B126" s="94" t="s">
        <v>216</v>
      </c>
      <c r="C126" s="94" t="s">
        <v>217</v>
      </c>
      <c r="D126" s="94" t="s">
        <v>336</v>
      </c>
      <c r="E126" s="521">
        <f>F126+I126</f>
        <v>24678217.219999999</v>
      </c>
      <c r="F126" s="504">
        <f>((22841165)+360000)+151552.22</f>
        <v>23352717.219999999</v>
      </c>
      <c r="G126" s="125"/>
      <c r="H126" s="125"/>
      <c r="I126" s="504">
        <f>(975500)+350000</f>
        <v>1325500</v>
      </c>
      <c r="J126" s="501">
        <f t="shared" si="112"/>
        <v>0</v>
      </c>
      <c r="K126" s="125"/>
      <c r="L126" s="125"/>
      <c r="M126" s="125"/>
      <c r="N126" s="125"/>
      <c r="O126" s="502">
        <f>K126</f>
        <v>0</v>
      </c>
      <c r="P126" s="501">
        <f t="shared" si="113"/>
        <v>24678217.219999999</v>
      </c>
      <c r="Q126" s="18"/>
      <c r="R126" s="37"/>
    </row>
    <row r="127" spans="1:18" ht="48" hidden="1" thickTop="1" thickBot="1" x14ac:dyDescent="0.25">
      <c r="A127" s="119" t="s">
        <v>218</v>
      </c>
      <c r="B127" s="119" t="s">
        <v>219</v>
      </c>
      <c r="C127" s="119" t="s">
        <v>220</v>
      </c>
      <c r="D127" s="119" t="s">
        <v>221</v>
      </c>
      <c r="E127" s="118">
        <f t="shared" ref="E127:E147" si="115">F127</f>
        <v>0</v>
      </c>
      <c r="F127" s="125">
        <f>(7556300)-7556300</f>
        <v>0</v>
      </c>
      <c r="G127" s="125"/>
      <c r="H127" s="125"/>
      <c r="I127" s="125"/>
      <c r="J127" s="118">
        <f t="shared" si="112"/>
        <v>0</v>
      </c>
      <c r="K127" s="125">
        <f>(200000)-200000</f>
        <v>0</v>
      </c>
      <c r="L127" s="125"/>
      <c r="M127" s="125"/>
      <c r="N127" s="125"/>
      <c r="O127" s="123">
        <f>K127</f>
        <v>0</v>
      </c>
      <c r="P127" s="118">
        <f t="shared" si="113"/>
        <v>0</v>
      </c>
      <c r="Q127" s="18"/>
      <c r="R127" s="37"/>
    </row>
    <row r="128" spans="1:18" ht="95.25" customHeight="1" thickTop="1" thickBot="1" x14ac:dyDescent="0.25">
      <c r="A128" s="518" t="s">
        <v>684</v>
      </c>
      <c r="B128" s="518" t="s">
        <v>685</v>
      </c>
      <c r="C128" s="518"/>
      <c r="D128" s="518" t="s">
        <v>686</v>
      </c>
      <c r="E128" s="519">
        <f>E129</f>
        <v>24390259</v>
      </c>
      <c r="F128" s="519">
        <f t="shared" ref="F128:P128" si="116">F129</f>
        <v>24390259</v>
      </c>
      <c r="G128" s="519">
        <f t="shared" si="116"/>
        <v>0</v>
      </c>
      <c r="H128" s="519">
        <f t="shared" si="116"/>
        <v>0</v>
      </c>
      <c r="I128" s="519">
        <f t="shared" si="116"/>
        <v>0</v>
      </c>
      <c r="J128" s="519">
        <f t="shared" si="116"/>
        <v>0</v>
      </c>
      <c r="K128" s="519">
        <f t="shared" si="116"/>
        <v>0</v>
      </c>
      <c r="L128" s="519">
        <f t="shared" si="116"/>
        <v>0</v>
      </c>
      <c r="M128" s="519">
        <f t="shared" si="116"/>
        <v>0</v>
      </c>
      <c r="N128" s="519">
        <f t="shared" si="116"/>
        <v>0</v>
      </c>
      <c r="O128" s="519">
        <f t="shared" si="116"/>
        <v>0</v>
      </c>
      <c r="P128" s="519">
        <f t="shared" si="116"/>
        <v>24390259</v>
      </c>
      <c r="Q128" s="18"/>
      <c r="R128" s="37"/>
    </row>
    <row r="129" spans="1:18" ht="127.5" customHeight="1" thickTop="1" thickBot="1" x14ac:dyDescent="0.25">
      <c r="A129" s="94" t="s">
        <v>222</v>
      </c>
      <c r="B129" s="94" t="s">
        <v>223</v>
      </c>
      <c r="C129" s="94" t="s">
        <v>337</v>
      </c>
      <c r="D129" s="94" t="s">
        <v>224</v>
      </c>
      <c r="E129" s="521">
        <f>F129+I129</f>
        <v>24390259</v>
      </c>
      <c r="F129" s="504">
        <v>24390259</v>
      </c>
      <c r="G129" s="125"/>
      <c r="H129" s="125"/>
      <c r="I129" s="125"/>
      <c r="J129" s="501">
        <f t="shared" si="112"/>
        <v>0</v>
      </c>
      <c r="K129" s="125"/>
      <c r="L129" s="125"/>
      <c r="M129" s="125"/>
      <c r="N129" s="125"/>
      <c r="O129" s="502">
        <f t="shared" ref="O129:O147" si="117">K129</f>
        <v>0</v>
      </c>
      <c r="P129" s="501">
        <f t="shared" si="113"/>
        <v>24390259</v>
      </c>
      <c r="Q129" s="18"/>
      <c r="R129" s="37"/>
    </row>
    <row r="130" spans="1:18" ht="48" hidden="1" thickTop="1" thickBot="1" x14ac:dyDescent="0.25">
      <c r="A130" s="131" t="s">
        <v>687</v>
      </c>
      <c r="B130" s="131" t="s">
        <v>688</v>
      </c>
      <c r="C130" s="131"/>
      <c r="D130" s="131" t="s">
        <v>689</v>
      </c>
      <c r="E130" s="132">
        <f>E131</f>
        <v>0</v>
      </c>
      <c r="F130" s="132">
        <f t="shared" ref="F130:P130" si="118">F131</f>
        <v>0</v>
      </c>
      <c r="G130" s="132">
        <f t="shared" si="118"/>
        <v>0</v>
      </c>
      <c r="H130" s="132">
        <f t="shared" si="118"/>
        <v>0</v>
      </c>
      <c r="I130" s="132">
        <f t="shared" si="118"/>
        <v>0</v>
      </c>
      <c r="J130" s="136">
        <f t="shared" si="118"/>
        <v>0</v>
      </c>
      <c r="K130" s="136">
        <f t="shared" si="118"/>
        <v>0</v>
      </c>
      <c r="L130" s="136">
        <f t="shared" si="118"/>
        <v>0</v>
      </c>
      <c r="M130" s="136">
        <f t="shared" si="118"/>
        <v>0</v>
      </c>
      <c r="N130" s="136">
        <f t="shared" si="118"/>
        <v>0</v>
      </c>
      <c r="O130" s="136">
        <f t="shared" si="118"/>
        <v>0</v>
      </c>
      <c r="P130" s="136">
        <f t="shared" si="118"/>
        <v>0</v>
      </c>
      <c r="Q130" s="18"/>
      <c r="R130" s="37"/>
    </row>
    <row r="131" spans="1:18" ht="48" hidden="1" thickTop="1" thickBot="1" x14ac:dyDescent="0.25">
      <c r="A131" s="119" t="s">
        <v>459</v>
      </c>
      <c r="B131" s="119" t="s">
        <v>460</v>
      </c>
      <c r="C131" s="119" t="s">
        <v>225</v>
      </c>
      <c r="D131" s="119" t="s">
        <v>461</v>
      </c>
      <c r="E131" s="118">
        <f t="shared" si="115"/>
        <v>0</v>
      </c>
      <c r="F131" s="125">
        <v>0</v>
      </c>
      <c r="G131" s="125"/>
      <c r="H131" s="125"/>
      <c r="I131" s="125"/>
      <c r="J131" s="40">
        <f t="shared" si="112"/>
        <v>0</v>
      </c>
      <c r="K131" s="41"/>
      <c r="L131" s="41"/>
      <c r="M131" s="41"/>
      <c r="N131" s="41"/>
      <c r="O131" s="42">
        <f t="shared" si="117"/>
        <v>0</v>
      </c>
      <c r="P131" s="40">
        <f t="shared" si="113"/>
        <v>0</v>
      </c>
      <c r="Q131" s="18"/>
      <c r="R131" s="37"/>
    </row>
    <row r="132" spans="1:18" ht="85.7" customHeight="1" thickTop="1" thickBot="1" x14ac:dyDescent="0.25">
      <c r="A132" s="518" t="s">
        <v>690</v>
      </c>
      <c r="B132" s="518" t="s">
        <v>691</v>
      </c>
      <c r="C132" s="518"/>
      <c r="D132" s="518" t="s">
        <v>692</v>
      </c>
      <c r="E132" s="519">
        <f>SUM(E133:E134)</f>
        <v>10406600</v>
      </c>
      <c r="F132" s="519">
        <f t="shared" ref="F132:P132" si="119">SUM(F133:F134)</f>
        <v>10361600</v>
      </c>
      <c r="G132" s="519">
        <f t="shared" si="119"/>
        <v>3550000</v>
      </c>
      <c r="H132" s="519">
        <f t="shared" si="119"/>
        <v>212200</v>
      </c>
      <c r="I132" s="519">
        <f t="shared" si="119"/>
        <v>45000</v>
      </c>
      <c r="J132" s="519">
        <f t="shared" si="119"/>
        <v>0</v>
      </c>
      <c r="K132" s="519">
        <f t="shared" si="119"/>
        <v>0</v>
      </c>
      <c r="L132" s="519">
        <f t="shared" si="119"/>
        <v>0</v>
      </c>
      <c r="M132" s="519">
        <f t="shared" si="119"/>
        <v>0</v>
      </c>
      <c r="N132" s="519">
        <f t="shared" si="119"/>
        <v>0</v>
      </c>
      <c r="O132" s="519">
        <f t="shared" si="119"/>
        <v>0</v>
      </c>
      <c r="P132" s="519">
        <f t="shared" si="119"/>
        <v>10406600</v>
      </c>
      <c r="Q132" s="18"/>
      <c r="R132" s="37"/>
    </row>
    <row r="133" spans="1:18" s="31" customFormat="1" ht="79.5" customHeight="1" thickTop="1" thickBot="1" x14ac:dyDescent="0.25">
      <c r="A133" s="94" t="s">
        <v>314</v>
      </c>
      <c r="B133" s="94" t="s">
        <v>316</v>
      </c>
      <c r="C133" s="94" t="s">
        <v>225</v>
      </c>
      <c r="D133" s="507" t="s">
        <v>312</v>
      </c>
      <c r="E133" s="521">
        <f t="shared" ref="E133:E134" si="120">F133+I133</f>
        <v>4816600</v>
      </c>
      <c r="F133" s="504">
        <v>4771600</v>
      </c>
      <c r="G133" s="504">
        <v>3550000</v>
      </c>
      <c r="H133" s="504">
        <v>212200</v>
      </c>
      <c r="I133" s="504">
        <f>(0)+45000</f>
        <v>45000</v>
      </c>
      <c r="J133" s="501">
        <f t="shared" si="112"/>
        <v>0</v>
      </c>
      <c r="K133" s="125"/>
      <c r="L133" s="125"/>
      <c r="M133" s="125"/>
      <c r="N133" s="125"/>
      <c r="O133" s="502">
        <f t="shared" si="117"/>
        <v>0</v>
      </c>
      <c r="P133" s="501">
        <f t="shared" si="113"/>
        <v>4816600</v>
      </c>
      <c r="Q133" s="34"/>
      <c r="R133" s="24"/>
    </row>
    <row r="134" spans="1:18" s="31" customFormat="1" ht="91.5" customHeight="1" thickTop="1" thickBot="1" x14ac:dyDescent="0.25">
      <c r="A134" s="94" t="s">
        <v>315</v>
      </c>
      <c r="B134" s="94" t="s">
        <v>317</v>
      </c>
      <c r="C134" s="94" t="s">
        <v>225</v>
      </c>
      <c r="D134" s="507" t="s">
        <v>313</v>
      </c>
      <c r="E134" s="521">
        <f t="shared" si="120"/>
        <v>5590000</v>
      </c>
      <c r="F134" s="504">
        <f>(5500000)+90000</f>
        <v>5590000</v>
      </c>
      <c r="G134" s="125"/>
      <c r="H134" s="125"/>
      <c r="I134" s="125"/>
      <c r="J134" s="501">
        <f t="shared" si="112"/>
        <v>0</v>
      </c>
      <c r="K134" s="125"/>
      <c r="L134" s="125"/>
      <c r="M134" s="125"/>
      <c r="N134" s="125"/>
      <c r="O134" s="502">
        <f t="shared" si="117"/>
        <v>0</v>
      </c>
      <c r="P134" s="501">
        <f t="shared" si="113"/>
        <v>5590000</v>
      </c>
      <c r="Q134" s="34"/>
      <c r="R134" s="37"/>
    </row>
    <row r="135" spans="1:18" s="31" customFormat="1" ht="93" hidden="1" thickTop="1" thickBot="1" x14ac:dyDescent="0.25">
      <c r="A135" s="131" t="s">
        <v>1317</v>
      </c>
      <c r="B135" s="131" t="s">
        <v>1318</v>
      </c>
      <c r="C135" s="131"/>
      <c r="D135" s="131" t="s">
        <v>1316</v>
      </c>
      <c r="E135" s="132">
        <f>E136</f>
        <v>0</v>
      </c>
      <c r="F135" s="132">
        <f t="shared" ref="F135:P135" si="121">F136</f>
        <v>0</v>
      </c>
      <c r="G135" s="132">
        <f t="shared" si="121"/>
        <v>0</v>
      </c>
      <c r="H135" s="132">
        <f t="shared" si="121"/>
        <v>0</v>
      </c>
      <c r="I135" s="132">
        <f t="shared" si="121"/>
        <v>0</v>
      </c>
      <c r="J135" s="132">
        <f t="shared" si="121"/>
        <v>0</v>
      </c>
      <c r="K135" s="132">
        <f t="shared" si="121"/>
        <v>0</v>
      </c>
      <c r="L135" s="132">
        <f t="shared" si="121"/>
        <v>0</v>
      </c>
      <c r="M135" s="132">
        <f t="shared" si="121"/>
        <v>0</v>
      </c>
      <c r="N135" s="132">
        <f t="shared" si="121"/>
        <v>0</v>
      </c>
      <c r="O135" s="132">
        <f t="shared" si="121"/>
        <v>0</v>
      </c>
      <c r="P135" s="132">
        <f t="shared" si="121"/>
        <v>0</v>
      </c>
      <c r="Q135" s="34"/>
      <c r="R135" s="37"/>
    </row>
    <row r="136" spans="1:18" s="310" customFormat="1" ht="138.75" hidden="1" thickTop="1" thickBot="1" x14ac:dyDescent="0.25">
      <c r="A136" s="119" t="s">
        <v>1320</v>
      </c>
      <c r="B136" s="119" t="s">
        <v>1321</v>
      </c>
      <c r="C136" s="119" t="s">
        <v>225</v>
      </c>
      <c r="D136" s="277" t="s">
        <v>1319</v>
      </c>
      <c r="E136" s="118">
        <f t="shared" ref="E136" si="122">F136</f>
        <v>0</v>
      </c>
      <c r="F136" s="125"/>
      <c r="G136" s="125"/>
      <c r="H136" s="125"/>
      <c r="I136" s="125"/>
      <c r="J136" s="118">
        <f t="shared" ref="J136:J137" si="123">L136+O136</f>
        <v>0</v>
      </c>
      <c r="K136" s="125">
        <f>(2994000)-2994000</f>
        <v>0</v>
      </c>
      <c r="L136" s="125"/>
      <c r="M136" s="125"/>
      <c r="N136" s="125"/>
      <c r="O136" s="123">
        <f t="shared" ref="O136:O137" si="124">K136</f>
        <v>0</v>
      </c>
      <c r="P136" s="118">
        <f t="shared" ref="P136:P137" si="125">E136+J136</f>
        <v>0</v>
      </c>
      <c r="Q136" s="308"/>
      <c r="R136" s="309"/>
    </row>
    <row r="137" spans="1:18" s="310" customFormat="1" ht="144.75" customHeight="1" thickTop="1" thickBot="1" x14ac:dyDescent="0.25">
      <c r="A137" s="94" t="s">
        <v>1423</v>
      </c>
      <c r="B137" s="94" t="s">
        <v>1424</v>
      </c>
      <c r="C137" s="94" t="s">
        <v>225</v>
      </c>
      <c r="D137" s="94" t="s">
        <v>1587</v>
      </c>
      <c r="E137" s="521">
        <f>F137+I137</f>
        <v>0</v>
      </c>
      <c r="F137" s="125"/>
      <c r="G137" s="125"/>
      <c r="H137" s="125"/>
      <c r="I137" s="125"/>
      <c r="J137" s="501">
        <f t="shared" si="123"/>
        <v>16500000</v>
      </c>
      <c r="K137" s="504">
        <f>(15000000)-3500000+5000000</f>
        <v>16500000</v>
      </c>
      <c r="L137" s="125"/>
      <c r="M137" s="125"/>
      <c r="N137" s="125"/>
      <c r="O137" s="502">
        <f t="shared" si="124"/>
        <v>16500000</v>
      </c>
      <c r="P137" s="501">
        <f t="shared" si="125"/>
        <v>16500000</v>
      </c>
      <c r="Q137" s="308"/>
      <c r="R137" s="309"/>
    </row>
    <row r="138" spans="1:18" s="31" customFormat="1" ht="140.25" customHeight="1" thickTop="1" thickBot="1" x14ac:dyDescent="0.25">
      <c r="A138" s="239" t="s">
        <v>1078</v>
      </c>
      <c r="B138" s="239" t="s">
        <v>678</v>
      </c>
      <c r="C138" s="239"/>
      <c r="D138" s="239" t="s">
        <v>679</v>
      </c>
      <c r="E138" s="501">
        <f>SUM(E139:E141)-E139</f>
        <v>1113000</v>
      </c>
      <c r="F138" s="501">
        <f t="shared" ref="F138:P138" si="126">SUM(F139:F141)-F139</f>
        <v>1113000</v>
      </c>
      <c r="G138" s="501">
        <f t="shared" si="126"/>
        <v>0</v>
      </c>
      <c r="H138" s="501">
        <f t="shared" si="126"/>
        <v>0</v>
      </c>
      <c r="I138" s="501">
        <f t="shared" si="126"/>
        <v>0</v>
      </c>
      <c r="J138" s="501">
        <f t="shared" si="126"/>
        <v>0</v>
      </c>
      <c r="K138" s="501">
        <f t="shared" si="126"/>
        <v>0</v>
      </c>
      <c r="L138" s="501">
        <f t="shared" si="126"/>
        <v>0</v>
      </c>
      <c r="M138" s="501">
        <f t="shared" si="126"/>
        <v>0</v>
      </c>
      <c r="N138" s="501">
        <f t="shared" si="126"/>
        <v>0</v>
      </c>
      <c r="O138" s="501">
        <f t="shared" si="126"/>
        <v>0</v>
      </c>
      <c r="P138" s="501">
        <f t="shared" si="126"/>
        <v>1113000</v>
      </c>
      <c r="Q138" s="34"/>
      <c r="R138" s="37"/>
    </row>
    <row r="139" spans="1:18" s="31" customFormat="1" ht="116.25" customHeight="1" thickTop="1" thickBot="1" x14ac:dyDescent="0.25">
      <c r="A139" s="518" t="s">
        <v>1445</v>
      </c>
      <c r="B139" s="518" t="s">
        <v>702</v>
      </c>
      <c r="C139" s="518"/>
      <c r="D139" s="518" t="s">
        <v>703</v>
      </c>
      <c r="E139" s="519">
        <f>E140</f>
        <v>924000</v>
      </c>
      <c r="F139" s="519">
        <f t="shared" ref="F139:P139" si="127">F140</f>
        <v>924000</v>
      </c>
      <c r="G139" s="519">
        <f t="shared" si="127"/>
        <v>0</v>
      </c>
      <c r="H139" s="519">
        <f t="shared" si="127"/>
        <v>0</v>
      </c>
      <c r="I139" s="519">
        <f t="shared" si="127"/>
        <v>0</v>
      </c>
      <c r="J139" s="519">
        <f t="shared" si="127"/>
        <v>0</v>
      </c>
      <c r="K139" s="519">
        <f t="shared" si="127"/>
        <v>0</v>
      </c>
      <c r="L139" s="519">
        <f t="shared" si="127"/>
        <v>0</v>
      </c>
      <c r="M139" s="519">
        <f t="shared" si="127"/>
        <v>0</v>
      </c>
      <c r="N139" s="519">
        <f t="shared" si="127"/>
        <v>0</v>
      </c>
      <c r="O139" s="519">
        <f t="shared" si="127"/>
        <v>0</v>
      </c>
      <c r="P139" s="519">
        <f t="shared" si="127"/>
        <v>924000</v>
      </c>
      <c r="Q139" s="34"/>
      <c r="R139" s="37"/>
    </row>
    <row r="140" spans="1:18" s="31" customFormat="1" ht="165" customHeight="1" thickTop="1" thickBot="1" x14ac:dyDescent="0.25">
      <c r="A140" s="94" t="s">
        <v>1446</v>
      </c>
      <c r="B140" s="94" t="s">
        <v>1412</v>
      </c>
      <c r="C140" s="94" t="s">
        <v>200</v>
      </c>
      <c r="D140" s="507" t="s">
        <v>1413</v>
      </c>
      <c r="E140" s="521">
        <f t="shared" ref="E140:E141" si="128">F140+I140</f>
        <v>924000</v>
      </c>
      <c r="F140" s="504">
        <v>924000</v>
      </c>
      <c r="G140" s="520"/>
      <c r="H140" s="520"/>
      <c r="I140" s="504"/>
      <c r="J140" s="501">
        <f t="shared" ref="J140" si="129">L140+O140</f>
        <v>0</v>
      </c>
      <c r="K140" s="504"/>
      <c r="L140" s="504"/>
      <c r="M140" s="504"/>
      <c r="N140" s="504"/>
      <c r="O140" s="502"/>
      <c r="P140" s="501">
        <f t="shared" ref="P140" si="130">E140+J140</f>
        <v>924000</v>
      </c>
      <c r="Q140" s="34"/>
      <c r="R140" s="37"/>
    </row>
    <row r="141" spans="1:18" s="31" customFormat="1" ht="143.44999999999999" customHeight="1" thickTop="1" thickBot="1" x14ac:dyDescent="0.25">
      <c r="A141" s="94" t="s">
        <v>1079</v>
      </c>
      <c r="B141" s="94" t="s">
        <v>1080</v>
      </c>
      <c r="C141" s="94" t="s">
        <v>201</v>
      </c>
      <c r="D141" s="507" t="s">
        <v>1434</v>
      </c>
      <c r="E141" s="521">
        <f t="shared" si="128"/>
        <v>189000</v>
      </c>
      <c r="F141" s="504">
        <v>189000</v>
      </c>
      <c r="G141" s="125"/>
      <c r="H141" s="125"/>
      <c r="I141" s="125"/>
      <c r="J141" s="501">
        <f t="shared" ref="J141" si="131">L141+O141</f>
        <v>0</v>
      </c>
      <c r="K141" s="125"/>
      <c r="L141" s="125"/>
      <c r="M141" s="125"/>
      <c r="N141" s="125"/>
      <c r="O141" s="502">
        <f t="shared" ref="O141" si="132">K141</f>
        <v>0</v>
      </c>
      <c r="P141" s="501">
        <f t="shared" ref="P141" si="133">E141+J141</f>
        <v>189000</v>
      </c>
      <c r="Q141" s="34"/>
      <c r="R141" s="37"/>
    </row>
    <row r="142" spans="1:18" s="31" customFormat="1" ht="100.5" hidden="1" customHeight="1" thickTop="1" thickBot="1" x14ac:dyDescent="0.25">
      <c r="A142" s="116" t="s">
        <v>1425</v>
      </c>
      <c r="B142" s="116" t="s">
        <v>713</v>
      </c>
      <c r="C142" s="116"/>
      <c r="D142" s="116" t="s">
        <v>757</v>
      </c>
      <c r="E142" s="118">
        <f>E145</f>
        <v>0</v>
      </c>
      <c r="F142" s="118">
        <f t="shared" ref="F142:P142" si="134">F145</f>
        <v>0</v>
      </c>
      <c r="G142" s="118">
        <f t="shared" si="134"/>
        <v>0</v>
      </c>
      <c r="H142" s="118">
        <f t="shared" si="134"/>
        <v>0</v>
      </c>
      <c r="I142" s="118">
        <f t="shared" si="134"/>
        <v>0</v>
      </c>
      <c r="J142" s="118">
        <f t="shared" si="134"/>
        <v>0</v>
      </c>
      <c r="K142" s="118">
        <f t="shared" si="134"/>
        <v>0</v>
      </c>
      <c r="L142" s="118">
        <f t="shared" si="134"/>
        <v>0</v>
      </c>
      <c r="M142" s="118">
        <f t="shared" si="134"/>
        <v>0</v>
      </c>
      <c r="N142" s="118">
        <f t="shared" si="134"/>
        <v>0</v>
      </c>
      <c r="O142" s="118">
        <f t="shared" si="134"/>
        <v>0</v>
      </c>
      <c r="P142" s="118">
        <f t="shared" si="134"/>
        <v>0</v>
      </c>
      <c r="Q142" s="34"/>
      <c r="R142" s="37"/>
    </row>
    <row r="143" spans="1:18" s="31" customFormat="1" ht="48" hidden="1" thickTop="1" thickBot="1" x14ac:dyDescent="0.25">
      <c r="A143" s="135" t="s">
        <v>975</v>
      </c>
      <c r="B143" s="135" t="s">
        <v>974</v>
      </c>
      <c r="C143" s="135"/>
      <c r="D143" s="135" t="s">
        <v>973</v>
      </c>
      <c r="E143" s="136">
        <f>E144</f>
        <v>0</v>
      </c>
      <c r="F143" s="136">
        <f t="shared" ref="F143:P143" si="135">F144</f>
        <v>0</v>
      </c>
      <c r="G143" s="136">
        <f t="shared" si="135"/>
        <v>0</v>
      </c>
      <c r="H143" s="136">
        <f t="shared" si="135"/>
        <v>0</v>
      </c>
      <c r="I143" s="136">
        <f t="shared" si="135"/>
        <v>0</v>
      </c>
      <c r="J143" s="136">
        <f t="shared" si="135"/>
        <v>0</v>
      </c>
      <c r="K143" s="136">
        <f t="shared" si="135"/>
        <v>0</v>
      </c>
      <c r="L143" s="136">
        <f t="shared" si="135"/>
        <v>0</v>
      </c>
      <c r="M143" s="136">
        <f t="shared" si="135"/>
        <v>0</v>
      </c>
      <c r="N143" s="136">
        <f t="shared" si="135"/>
        <v>0</v>
      </c>
      <c r="O143" s="136">
        <f t="shared" si="135"/>
        <v>0</v>
      </c>
      <c r="P143" s="136">
        <f t="shared" si="135"/>
        <v>0</v>
      </c>
      <c r="Q143" s="34"/>
      <c r="R143" s="37"/>
    </row>
    <row r="144" spans="1:18" s="31" customFormat="1" ht="93" hidden="1" thickTop="1" thickBot="1" x14ac:dyDescent="0.25">
      <c r="A144" s="39" t="s">
        <v>976</v>
      </c>
      <c r="B144" s="39" t="s">
        <v>977</v>
      </c>
      <c r="C144" s="39" t="s">
        <v>165</v>
      </c>
      <c r="D144" s="39" t="s">
        <v>978</v>
      </c>
      <c r="E144" s="40">
        <f t="shared" si="115"/>
        <v>0</v>
      </c>
      <c r="F144" s="41"/>
      <c r="G144" s="41"/>
      <c r="H144" s="41"/>
      <c r="I144" s="41"/>
      <c r="J144" s="40">
        <f t="shared" si="112"/>
        <v>0</v>
      </c>
      <c r="K144" s="41"/>
      <c r="L144" s="41"/>
      <c r="M144" s="41"/>
      <c r="N144" s="41"/>
      <c r="O144" s="42">
        <f>K144</f>
        <v>0</v>
      </c>
      <c r="P144" s="40">
        <f t="shared" si="113"/>
        <v>0</v>
      </c>
      <c r="Q144" s="34"/>
      <c r="R144" s="24"/>
    </row>
    <row r="145" spans="1:20" s="26" customFormat="1" ht="84.75" hidden="1" customHeight="1" thickTop="1" thickBot="1" x14ac:dyDescent="0.25">
      <c r="A145" s="127" t="s">
        <v>693</v>
      </c>
      <c r="B145" s="127" t="s">
        <v>659</v>
      </c>
      <c r="C145" s="127"/>
      <c r="D145" s="127" t="s">
        <v>657</v>
      </c>
      <c r="E145" s="128">
        <f>E146</f>
        <v>0</v>
      </c>
      <c r="F145" s="128">
        <f t="shared" ref="F145:P145" si="136">F146</f>
        <v>0</v>
      </c>
      <c r="G145" s="128">
        <f t="shared" si="136"/>
        <v>0</v>
      </c>
      <c r="H145" s="128">
        <f t="shared" si="136"/>
        <v>0</v>
      </c>
      <c r="I145" s="128">
        <f t="shared" si="136"/>
        <v>0</v>
      </c>
      <c r="J145" s="128">
        <f t="shared" si="136"/>
        <v>0</v>
      </c>
      <c r="K145" s="128">
        <f t="shared" si="136"/>
        <v>0</v>
      </c>
      <c r="L145" s="128">
        <f t="shared" si="136"/>
        <v>0</v>
      </c>
      <c r="M145" s="128">
        <f t="shared" si="136"/>
        <v>0</v>
      </c>
      <c r="N145" s="128">
        <f t="shared" si="136"/>
        <v>0</v>
      </c>
      <c r="O145" s="128">
        <f t="shared" si="136"/>
        <v>0</v>
      </c>
      <c r="P145" s="128">
        <f t="shared" si="136"/>
        <v>0</v>
      </c>
      <c r="Q145" s="140"/>
      <c r="R145" s="38"/>
    </row>
    <row r="146" spans="1:20" s="26" customFormat="1" ht="48" hidden="1" thickTop="1" thickBot="1" x14ac:dyDescent="0.25">
      <c r="A146" s="119" t="s">
        <v>1126</v>
      </c>
      <c r="B146" s="119" t="s">
        <v>207</v>
      </c>
      <c r="C146" s="119" t="s">
        <v>208</v>
      </c>
      <c r="D146" s="119" t="s">
        <v>40</v>
      </c>
      <c r="E146" s="118"/>
      <c r="F146" s="125"/>
      <c r="G146" s="125"/>
      <c r="H146" s="125"/>
      <c r="I146" s="125"/>
      <c r="J146" s="118">
        <f t="shared" ref="J146" si="137">L146+O146</f>
        <v>0</v>
      </c>
      <c r="K146" s="125"/>
      <c r="L146" s="125"/>
      <c r="M146" s="125"/>
      <c r="N146" s="125"/>
      <c r="O146" s="123">
        <f t="shared" ref="O146" si="138">K146</f>
        <v>0</v>
      </c>
      <c r="P146" s="118">
        <f t="shared" si="113"/>
        <v>0</v>
      </c>
      <c r="Q146" s="140"/>
      <c r="R146" s="38"/>
    </row>
    <row r="147" spans="1:20" s="31" customFormat="1" ht="48" hidden="1" thickTop="1" thickBot="1" x14ac:dyDescent="0.25">
      <c r="A147" s="39" t="s">
        <v>424</v>
      </c>
      <c r="B147" s="39" t="s">
        <v>192</v>
      </c>
      <c r="C147" s="39" t="s">
        <v>165</v>
      </c>
      <c r="D147" s="39" t="s">
        <v>33</v>
      </c>
      <c r="E147" s="40">
        <f t="shared" si="115"/>
        <v>0</v>
      </c>
      <c r="F147" s="41"/>
      <c r="G147" s="41"/>
      <c r="H147" s="41"/>
      <c r="I147" s="41"/>
      <c r="J147" s="40">
        <f t="shared" si="112"/>
        <v>0</v>
      </c>
      <c r="K147" s="41"/>
      <c r="L147" s="41"/>
      <c r="M147" s="41"/>
      <c r="N147" s="41"/>
      <c r="O147" s="42">
        <f t="shared" si="117"/>
        <v>0</v>
      </c>
      <c r="P147" s="40">
        <f t="shared" si="113"/>
        <v>0</v>
      </c>
      <c r="Q147" s="34"/>
      <c r="R147" s="24"/>
    </row>
    <row r="148" spans="1:20" s="31" customFormat="1" ht="138.75" customHeight="1" thickTop="1" thickBot="1" x14ac:dyDescent="0.25">
      <c r="A148" s="239" t="s">
        <v>1464</v>
      </c>
      <c r="B148" s="239" t="s">
        <v>669</v>
      </c>
      <c r="C148" s="239"/>
      <c r="D148" s="239" t="s">
        <v>670</v>
      </c>
      <c r="E148" s="501">
        <f>E149</f>
        <v>500000</v>
      </c>
      <c r="F148" s="501">
        <f t="shared" ref="F148:P149" si="139">F149</f>
        <v>0</v>
      </c>
      <c r="G148" s="501">
        <f t="shared" si="139"/>
        <v>0</v>
      </c>
      <c r="H148" s="501">
        <f t="shared" si="139"/>
        <v>0</v>
      </c>
      <c r="I148" s="501">
        <f t="shared" si="139"/>
        <v>500000</v>
      </c>
      <c r="J148" s="501">
        <f t="shared" si="139"/>
        <v>0</v>
      </c>
      <c r="K148" s="501">
        <f t="shared" si="139"/>
        <v>0</v>
      </c>
      <c r="L148" s="501">
        <f t="shared" si="139"/>
        <v>0</v>
      </c>
      <c r="M148" s="501">
        <f t="shared" si="139"/>
        <v>0</v>
      </c>
      <c r="N148" s="501">
        <f t="shared" si="139"/>
        <v>0</v>
      </c>
      <c r="O148" s="501">
        <f t="shared" si="139"/>
        <v>0</v>
      </c>
      <c r="P148" s="501">
        <f t="shared" si="139"/>
        <v>500000</v>
      </c>
      <c r="Q148" s="34"/>
      <c r="R148" s="24"/>
    </row>
    <row r="149" spans="1:20" s="31" customFormat="1" ht="163.5" customHeight="1" thickTop="1" thickBot="1" x14ac:dyDescent="0.25">
      <c r="A149" s="508" t="s">
        <v>1465</v>
      </c>
      <c r="B149" s="508" t="s">
        <v>672</v>
      </c>
      <c r="C149" s="508"/>
      <c r="D149" s="508" t="s">
        <v>673</v>
      </c>
      <c r="E149" s="524">
        <f>E150</f>
        <v>500000</v>
      </c>
      <c r="F149" s="524">
        <f t="shared" si="139"/>
        <v>0</v>
      </c>
      <c r="G149" s="524">
        <f t="shared" si="139"/>
        <v>0</v>
      </c>
      <c r="H149" s="524">
        <f t="shared" si="139"/>
        <v>0</v>
      </c>
      <c r="I149" s="524">
        <f t="shared" si="139"/>
        <v>500000</v>
      </c>
      <c r="J149" s="524">
        <f t="shared" si="139"/>
        <v>0</v>
      </c>
      <c r="K149" s="524">
        <f t="shared" si="139"/>
        <v>0</v>
      </c>
      <c r="L149" s="524">
        <f t="shared" si="139"/>
        <v>0</v>
      </c>
      <c r="M149" s="524">
        <f t="shared" si="139"/>
        <v>0</v>
      </c>
      <c r="N149" s="524">
        <f t="shared" si="139"/>
        <v>0</v>
      </c>
      <c r="O149" s="524">
        <f t="shared" si="139"/>
        <v>0</v>
      </c>
      <c r="P149" s="524">
        <f t="shared" si="139"/>
        <v>500000</v>
      </c>
      <c r="Q149" s="34"/>
      <c r="R149" s="24"/>
    </row>
    <row r="150" spans="1:20" s="31" customFormat="1" ht="149.25" customHeight="1" thickTop="1" thickBot="1" x14ac:dyDescent="0.25">
      <c r="A150" s="94" t="s">
        <v>492</v>
      </c>
      <c r="B150" s="94" t="s">
        <v>353</v>
      </c>
      <c r="C150" s="94" t="s">
        <v>42</v>
      </c>
      <c r="D150" s="94" t="s">
        <v>354</v>
      </c>
      <c r="E150" s="521">
        <f t="shared" ref="E150" si="140">F150+I150</f>
        <v>500000</v>
      </c>
      <c r="F150" s="504"/>
      <c r="G150" s="125"/>
      <c r="H150" s="125"/>
      <c r="I150" s="504">
        <v>500000</v>
      </c>
      <c r="J150" s="501">
        <f t="shared" ref="J150" si="141">L150+O150</f>
        <v>0</v>
      </c>
      <c r="K150" s="125"/>
      <c r="L150" s="125"/>
      <c r="M150" s="125"/>
      <c r="N150" s="125"/>
      <c r="O150" s="502">
        <f t="shared" ref="O150" si="142">K150</f>
        <v>0</v>
      </c>
      <c r="P150" s="501">
        <f t="shared" ref="P150" si="143">E150+J150</f>
        <v>500000</v>
      </c>
      <c r="Q150" s="34"/>
      <c r="R150" s="28"/>
    </row>
    <row r="151" spans="1:20" ht="147" customHeight="1" thickTop="1" thickBot="1" x14ac:dyDescent="0.25">
      <c r="A151" s="514" t="s">
        <v>151</v>
      </c>
      <c r="B151" s="514"/>
      <c r="C151" s="514"/>
      <c r="D151" s="515" t="s">
        <v>36</v>
      </c>
      <c r="E151" s="516">
        <f>E152</f>
        <v>652465763.33000004</v>
      </c>
      <c r="F151" s="517">
        <f t="shared" ref="F151:G151" si="144">F152</f>
        <v>610065025.9000001</v>
      </c>
      <c r="G151" s="517">
        <f t="shared" si="144"/>
        <v>154441469</v>
      </c>
      <c r="H151" s="517">
        <f>H152</f>
        <v>6771907</v>
      </c>
      <c r="I151" s="517">
        <f t="shared" ref="I151" si="145">I152</f>
        <v>42400737.43</v>
      </c>
      <c r="J151" s="516">
        <f>J152</f>
        <v>71123548</v>
      </c>
      <c r="K151" s="517">
        <f>K152</f>
        <v>54799985</v>
      </c>
      <c r="L151" s="517">
        <f>L152</f>
        <v>16273563</v>
      </c>
      <c r="M151" s="517">
        <f t="shared" ref="M151" si="146">M152</f>
        <v>6279771</v>
      </c>
      <c r="N151" s="517">
        <f>N152</f>
        <v>1624000</v>
      </c>
      <c r="O151" s="516">
        <f>O152</f>
        <v>54849985</v>
      </c>
      <c r="P151" s="517">
        <f>P152</f>
        <v>723589311.33000004</v>
      </c>
      <c r="Q151" s="517">
        <f>O152-K152</f>
        <v>50000</v>
      </c>
    </row>
    <row r="152" spans="1:20" ht="159" customHeight="1" thickTop="1" thickBot="1" x14ac:dyDescent="0.25">
      <c r="A152" s="511" t="s">
        <v>152</v>
      </c>
      <c r="B152" s="511"/>
      <c r="C152" s="511"/>
      <c r="D152" s="512" t="s">
        <v>37</v>
      </c>
      <c r="E152" s="513">
        <f>E153+E157+E204+E208</f>
        <v>652465763.33000004</v>
      </c>
      <c r="F152" s="513">
        <f>F153+F157+F204+F208</f>
        <v>610065025.9000001</v>
      </c>
      <c r="G152" s="513">
        <f>G153+G157+G204+G208</f>
        <v>154441469</v>
      </c>
      <c r="H152" s="513">
        <f>H153+H157+H204+H208</f>
        <v>6771907</v>
      </c>
      <c r="I152" s="513">
        <f>I153+I157+I204+I208</f>
        <v>42400737.43</v>
      </c>
      <c r="J152" s="513">
        <f t="shared" ref="J152:J182" si="147">L152+O152</f>
        <v>71123548</v>
      </c>
      <c r="K152" s="513">
        <f>K153+K157+K204+K208</f>
        <v>54799985</v>
      </c>
      <c r="L152" s="513">
        <f>L153+L157+L204+L208</f>
        <v>16273563</v>
      </c>
      <c r="M152" s="513">
        <f>M153+M157+M204+M208</f>
        <v>6279771</v>
      </c>
      <c r="N152" s="513">
        <f>N153+N157+N204+N208</f>
        <v>1624000</v>
      </c>
      <c r="O152" s="513">
        <f>O153+O157+O204+O208</f>
        <v>54849985</v>
      </c>
      <c r="P152" s="513">
        <f>E152+J152</f>
        <v>723589311.33000004</v>
      </c>
      <c r="Q152" s="546" t="b">
        <f>P152=P154+P156+P159+P160+P161+P162+P163+P164+P165+P166+P168+P169+P171+P173+P174+P175+P177+P178+P180+P198+P182+P200+P201+P202+P203+P210+P181</f>
        <v>1</v>
      </c>
      <c r="R152" s="44"/>
      <c r="S152" s="44"/>
      <c r="T152" s="43"/>
    </row>
    <row r="153" spans="1:20" ht="87.75" customHeight="1" thickTop="1" thickBot="1" x14ac:dyDescent="0.25">
      <c r="A153" s="483" t="s">
        <v>694</v>
      </c>
      <c r="B153" s="483" t="s">
        <v>652</v>
      </c>
      <c r="C153" s="483"/>
      <c r="D153" s="483" t="s">
        <v>653</v>
      </c>
      <c r="E153" s="501">
        <f>SUM(E154:E156)</f>
        <v>70602159</v>
      </c>
      <c r="F153" s="501">
        <f t="shared" ref="F153:P153" si="148">SUM(F154:F156)</f>
        <v>69602159</v>
      </c>
      <c r="G153" s="501">
        <f t="shared" si="148"/>
        <v>53958953</v>
      </c>
      <c r="H153" s="501">
        <f t="shared" si="148"/>
        <v>2424443</v>
      </c>
      <c r="I153" s="501">
        <f t="shared" si="148"/>
        <v>1000000</v>
      </c>
      <c r="J153" s="501">
        <f t="shared" si="148"/>
        <v>0</v>
      </c>
      <c r="K153" s="501">
        <f t="shared" si="148"/>
        <v>0</v>
      </c>
      <c r="L153" s="501">
        <f t="shared" si="148"/>
        <v>0</v>
      </c>
      <c r="M153" s="501">
        <f t="shared" si="148"/>
        <v>0</v>
      </c>
      <c r="N153" s="501">
        <f t="shared" si="148"/>
        <v>0</v>
      </c>
      <c r="O153" s="501">
        <f t="shared" si="148"/>
        <v>0</v>
      </c>
      <c r="P153" s="501">
        <f t="shared" si="148"/>
        <v>70602159</v>
      </c>
      <c r="Q153" s="45"/>
      <c r="R153" s="44"/>
      <c r="T153" s="43"/>
    </row>
    <row r="154" spans="1:20" ht="127.5" customHeight="1" thickTop="1" thickBot="1" x14ac:dyDescent="0.25">
      <c r="A154" s="469" t="s">
        <v>404</v>
      </c>
      <c r="B154" s="469" t="s">
        <v>231</v>
      </c>
      <c r="C154" s="469" t="s">
        <v>229</v>
      </c>
      <c r="D154" s="469" t="s">
        <v>1515</v>
      </c>
      <c r="E154" s="471">
        <f>F154+I154</f>
        <v>70572159</v>
      </c>
      <c r="F154" s="487">
        <f>((69499159)+53000)+20000</f>
        <v>69572159</v>
      </c>
      <c r="G154" s="487">
        <v>53958953</v>
      </c>
      <c r="H154" s="487">
        <f>1119763+55000+1200000+49680</f>
        <v>2424443</v>
      </c>
      <c r="I154" s="504">
        <f>(0)+1000000</f>
        <v>1000000</v>
      </c>
      <c r="J154" s="485">
        <f t="shared" si="147"/>
        <v>0</v>
      </c>
      <c r="K154" s="125"/>
      <c r="L154" s="125"/>
      <c r="M154" s="125"/>
      <c r="N154" s="125"/>
      <c r="O154" s="488">
        <f>K154</f>
        <v>0</v>
      </c>
      <c r="P154" s="485">
        <f>E154+J154</f>
        <v>70572159</v>
      </c>
      <c r="Q154" s="45"/>
      <c r="R154" s="44"/>
      <c r="T154" s="43"/>
    </row>
    <row r="155" spans="1:20" ht="93" hidden="1" thickTop="1" thickBot="1" x14ac:dyDescent="0.25">
      <c r="A155" s="119" t="s">
        <v>601</v>
      </c>
      <c r="B155" s="119" t="s">
        <v>352</v>
      </c>
      <c r="C155" s="119" t="s">
        <v>598</v>
      </c>
      <c r="D155" s="119" t="s">
        <v>599</v>
      </c>
      <c r="E155" s="118">
        <f t="shared" ref="E155" si="149">F155</f>
        <v>0</v>
      </c>
      <c r="F155" s="125">
        <v>0</v>
      </c>
      <c r="G155" s="125"/>
      <c r="H155" s="125"/>
      <c r="I155" s="125"/>
      <c r="J155" s="118">
        <f t="shared" ref="J155:J156" si="150">L155+O155</f>
        <v>0</v>
      </c>
      <c r="K155" s="125"/>
      <c r="L155" s="125"/>
      <c r="M155" s="125"/>
      <c r="N155" s="125"/>
      <c r="O155" s="123">
        <f>K155</f>
        <v>0</v>
      </c>
      <c r="P155" s="118">
        <f t="shared" ref="P155" si="151">E155+J155</f>
        <v>0</v>
      </c>
      <c r="Q155" s="45"/>
      <c r="R155" s="44"/>
      <c r="T155" s="43"/>
    </row>
    <row r="156" spans="1:20" ht="114" customHeight="1" thickTop="1" thickBot="1" x14ac:dyDescent="0.25">
      <c r="A156" s="469" t="s">
        <v>875</v>
      </c>
      <c r="B156" s="469" t="s">
        <v>42</v>
      </c>
      <c r="C156" s="469" t="s">
        <v>41</v>
      </c>
      <c r="D156" s="469" t="s">
        <v>242</v>
      </c>
      <c r="E156" s="471">
        <f>F156+I156</f>
        <v>30000</v>
      </c>
      <c r="F156" s="487">
        <v>30000</v>
      </c>
      <c r="G156" s="125"/>
      <c r="H156" s="125"/>
      <c r="I156" s="125"/>
      <c r="J156" s="485">
        <f t="shared" si="150"/>
        <v>0</v>
      </c>
      <c r="K156" s="125"/>
      <c r="L156" s="125"/>
      <c r="M156" s="125"/>
      <c r="N156" s="125"/>
      <c r="O156" s="123"/>
      <c r="P156" s="485">
        <f>E156+J156</f>
        <v>30000</v>
      </c>
      <c r="Q156" s="45"/>
      <c r="R156" s="44"/>
      <c r="T156" s="43"/>
    </row>
    <row r="157" spans="1:20" ht="107.25" customHeight="1" thickTop="1" thickBot="1" x14ac:dyDescent="0.25">
      <c r="A157" s="239" t="s">
        <v>695</v>
      </c>
      <c r="B157" s="239" t="s">
        <v>678</v>
      </c>
      <c r="C157" s="239"/>
      <c r="D157" s="239" t="s">
        <v>679</v>
      </c>
      <c r="E157" s="501">
        <f>SUM(E158:E203)-E158-E167-E179-E183-E199-E176-E172-E170</f>
        <v>581713604.33000004</v>
      </c>
      <c r="F157" s="501">
        <f t="shared" ref="F157:P157" si="152">SUM(F158:F203)-F158-F167-F179-F183-F199-F176-F172-F170</f>
        <v>540462866.9000001</v>
      </c>
      <c r="G157" s="501">
        <f t="shared" si="152"/>
        <v>100482516</v>
      </c>
      <c r="H157" s="501">
        <f t="shared" si="152"/>
        <v>4347464</v>
      </c>
      <c r="I157" s="501">
        <f t="shared" si="152"/>
        <v>41250737.43</v>
      </c>
      <c r="J157" s="501">
        <f t="shared" si="152"/>
        <v>71123548</v>
      </c>
      <c r="K157" s="501">
        <f t="shared" si="152"/>
        <v>54799985</v>
      </c>
      <c r="L157" s="501">
        <f t="shared" si="152"/>
        <v>16273563</v>
      </c>
      <c r="M157" s="501">
        <f t="shared" si="152"/>
        <v>6279771</v>
      </c>
      <c r="N157" s="501">
        <f t="shared" si="152"/>
        <v>1624000</v>
      </c>
      <c r="O157" s="501">
        <f t="shared" si="152"/>
        <v>54849985</v>
      </c>
      <c r="P157" s="501">
        <f t="shared" si="152"/>
        <v>652837152.33000004</v>
      </c>
      <c r="Q157" s="45"/>
      <c r="R157" s="44"/>
      <c r="T157" s="43"/>
    </row>
    <row r="158" spans="1:20" ht="186" customHeight="1" thickTop="1" thickBot="1" x14ac:dyDescent="0.25">
      <c r="A158" s="481" t="s">
        <v>696</v>
      </c>
      <c r="B158" s="481" t="s">
        <v>697</v>
      </c>
      <c r="C158" s="131"/>
      <c r="D158" s="481" t="s">
        <v>1517</v>
      </c>
      <c r="E158" s="482">
        <f>SUM(E159:E163)</f>
        <v>138990500</v>
      </c>
      <c r="F158" s="482">
        <f t="shared" ref="F158:P158" si="153">SUM(F159:F163)</f>
        <v>138940500</v>
      </c>
      <c r="G158" s="482">
        <f t="shared" si="153"/>
        <v>0</v>
      </c>
      <c r="H158" s="482">
        <f t="shared" si="153"/>
        <v>0</v>
      </c>
      <c r="I158" s="482">
        <f t="shared" si="153"/>
        <v>50000</v>
      </c>
      <c r="J158" s="482">
        <f t="shared" si="153"/>
        <v>0</v>
      </c>
      <c r="K158" s="482">
        <f t="shared" si="153"/>
        <v>0</v>
      </c>
      <c r="L158" s="482">
        <f t="shared" si="153"/>
        <v>0</v>
      </c>
      <c r="M158" s="482">
        <f t="shared" si="153"/>
        <v>0</v>
      </c>
      <c r="N158" s="482">
        <f t="shared" si="153"/>
        <v>0</v>
      </c>
      <c r="O158" s="482">
        <f t="shared" si="153"/>
        <v>0</v>
      </c>
      <c r="P158" s="482">
        <f t="shared" si="153"/>
        <v>138990500</v>
      </c>
      <c r="Q158" s="141"/>
      <c r="R158" s="46"/>
      <c r="T158" s="47"/>
    </row>
    <row r="159" spans="1:20" s="31" customFormat="1" ht="93" thickTop="1" thickBot="1" x14ac:dyDescent="0.25">
      <c r="A159" s="469" t="s">
        <v>263</v>
      </c>
      <c r="B159" s="469" t="s">
        <v>264</v>
      </c>
      <c r="C159" s="469" t="s">
        <v>200</v>
      </c>
      <c r="D159" s="475" t="s">
        <v>265</v>
      </c>
      <c r="E159" s="471">
        <f t="shared" ref="E159:E166" si="154">F159+I159</f>
        <v>1225000</v>
      </c>
      <c r="F159" s="487">
        <f>(1000000)+175000</f>
        <v>1175000</v>
      </c>
      <c r="G159" s="125"/>
      <c r="H159" s="125"/>
      <c r="I159" s="504">
        <v>50000</v>
      </c>
      <c r="J159" s="501">
        <f t="shared" si="147"/>
        <v>0</v>
      </c>
      <c r="K159" s="504"/>
      <c r="L159" s="504"/>
      <c r="M159" s="504"/>
      <c r="N159" s="504"/>
      <c r="O159" s="502">
        <f t="shared" ref="O159:O182" si="155">K159</f>
        <v>0</v>
      </c>
      <c r="P159" s="501">
        <f t="shared" ref="P159:P169" si="156">E159+J159</f>
        <v>1225000</v>
      </c>
      <c r="Q159" s="34"/>
      <c r="R159" s="44"/>
    </row>
    <row r="160" spans="1:20" s="31" customFormat="1" ht="101.25" customHeight="1" thickTop="1" thickBot="1" x14ac:dyDescent="0.25">
      <c r="A160" s="469" t="s">
        <v>266</v>
      </c>
      <c r="B160" s="469" t="s">
        <v>267</v>
      </c>
      <c r="C160" s="469" t="s">
        <v>201</v>
      </c>
      <c r="D160" s="469" t="s">
        <v>6</v>
      </c>
      <c r="E160" s="471">
        <f t="shared" si="154"/>
        <v>465500</v>
      </c>
      <c r="F160" s="487">
        <v>465500</v>
      </c>
      <c r="G160" s="125"/>
      <c r="H160" s="125"/>
      <c r="I160" s="125"/>
      <c r="J160" s="501">
        <f t="shared" si="147"/>
        <v>0</v>
      </c>
      <c r="K160" s="504"/>
      <c r="L160" s="504"/>
      <c r="M160" s="504"/>
      <c r="N160" s="504"/>
      <c r="O160" s="502">
        <f t="shared" si="155"/>
        <v>0</v>
      </c>
      <c r="P160" s="501">
        <f t="shared" si="156"/>
        <v>465500</v>
      </c>
      <c r="Q160" s="34"/>
      <c r="R160" s="48"/>
    </row>
    <row r="161" spans="1:18" s="31" customFormat="1" ht="149.25" customHeight="1" thickTop="1" thickBot="1" x14ac:dyDescent="0.25">
      <c r="A161" s="94" t="s">
        <v>269</v>
      </c>
      <c r="B161" s="94" t="s">
        <v>270</v>
      </c>
      <c r="C161" s="94" t="s">
        <v>201</v>
      </c>
      <c r="D161" s="94" t="s">
        <v>7</v>
      </c>
      <c r="E161" s="471">
        <f t="shared" si="154"/>
        <v>52100000</v>
      </c>
      <c r="F161" s="504">
        <v>52100000</v>
      </c>
      <c r="G161" s="125"/>
      <c r="H161" s="125"/>
      <c r="I161" s="125"/>
      <c r="J161" s="501">
        <f t="shared" si="147"/>
        <v>0</v>
      </c>
      <c r="K161" s="125"/>
      <c r="L161" s="125"/>
      <c r="M161" s="125"/>
      <c r="N161" s="125"/>
      <c r="O161" s="502">
        <f t="shared" si="155"/>
        <v>0</v>
      </c>
      <c r="P161" s="501">
        <f t="shared" si="156"/>
        <v>52100000</v>
      </c>
      <c r="Q161" s="34"/>
      <c r="R161" s="48"/>
    </row>
    <row r="162" spans="1:18" s="31" customFormat="1" ht="146.25" customHeight="1" thickTop="1" thickBot="1" x14ac:dyDescent="0.25">
      <c r="A162" s="94" t="s">
        <v>271</v>
      </c>
      <c r="B162" s="94" t="s">
        <v>268</v>
      </c>
      <c r="C162" s="94" t="s">
        <v>201</v>
      </c>
      <c r="D162" s="94" t="s">
        <v>8</v>
      </c>
      <c r="E162" s="471">
        <f t="shared" si="154"/>
        <v>1500000</v>
      </c>
      <c r="F162" s="504">
        <v>1500000</v>
      </c>
      <c r="G162" s="125"/>
      <c r="H162" s="125"/>
      <c r="I162" s="125"/>
      <c r="J162" s="501">
        <f t="shared" si="147"/>
        <v>0</v>
      </c>
      <c r="K162" s="125"/>
      <c r="L162" s="125"/>
      <c r="M162" s="125"/>
      <c r="N162" s="125"/>
      <c r="O162" s="502">
        <f t="shared" si="155"/>
        <v>0</v>
      </c>
      <c r="P162" s="501">
        <f t="shared" si="156"/>
        <v>1500000</v>
      </c>
      <c r="Q162" s="34"/>
      <c r="R162" s="48"/>
    </row>
    <row r="163" spans="1:18" s="31" customFormat="1" ht="152.25" customHeight="1" thickTop="1" thickBot="1" x14ac:dyDescent="0.25">
      <c r="A163" s="94" t="s">
        <v>272</v>
      </c>
      <c r="B163" s="94" t="s">
        <v>273</v>
      </c>
      <c r="C163" s="94" t="s">
        <v>201</v>
      </c>
      <c r="D163" s="94" t="s">
        <v>9</v>
      </c>
      <c r="E163" s="471">
        <f t="shared" si="154"/>
        <v>83700000</v>
      </c>
      <c r="F163" s="504">
        <v>83700000</v>
      </c>
      <c r="G163" s="125"/>
      <c r="H163" s="125"/>
      <c r="I163" s="125"/>
      <c r="J163" s="501">
        <f t="shared" si="147"/>
        <v>0</v>
      </c>
      <c r="K163" s="504"/>
      <c r="L163" s="504"/>
      <c r="M163" s="504"/>
      <c r="N163" s="504"/>
      <c r="O163" s="502">
        <f t="shared" si="155"/>
        <v>0</v>
      </c>
      <c r="P163" s="501">
        <f t="shared" si="156"/>
        <v>83700000</v>
      </c>
      <c r="Q163" s="34"/>
      <c r="R163" s="48"/>
    </row>
    <row r="164" spans="1:18" s="31" customFormat="1" ht="124.5" customHeight="1" thickTop="1" thickBot="1" x14ac:dyDescent="0.25">
      <c r="A164" s="94" t="s">
        <v>462</v>
      </c>
      <c r="B164" s="94" t="s">
        <v>463</v>
      </c>
      <c r="C164" s="94" t="s">
        <v>201</v>
      </c>
      <c r="D164" s="94" t="s">
        <v>464</v>
      </c>
      <c r="E164" s="471">
        <f t="shared" si="154"/>
        <v>399986</v>
      </c>
      <c r="F164" s="504">
        <v>399986</v>
      </c>
      <c r="G164" s="125"/>
      <c r="H164" s="125"/>
      <c r="I164" s="125"/>
      <c r="J164" s="501">
        <f t="shared" si="147"/>
        <v>0</v>
      </c>
      <c r="K164" s="504"/>
      <c r="L164" s="504"/>
      <c r="M164" s="504"/>
      <c r="N164" s="504"/>
      <c r="O164" s="502">
        <f t="shared" si="155"/>
        <v>0</v>
      </c>
      <c r="P164" s="501">
        <f t="shared" si="156"/>
        <v>399986</v>
      </c>
      <c r="Q164" s="34"/>
      <c r="R164" s="48"/>
    </row>
    <row r="165" spans="1:18" s="31" customFormat="1" ht="143.25" customHeight="1" thickTop="1" thickBot="1" x14ac:dyDescent="0.25">
      <c r="A165" s="94" t="s">
        <v>876</v>
      </c>
      <c r="B165" s="94" t="s">
        <v>877</v>
      </c>
      <c r="C165" s="94" t="s">
        <v>201</v>
      </c>
      <c r="D165" s="94" t="s">
        <v>878</v>
      </c>
      <c r="E165" s="471">
        <f t="shared" si="154"/>
        <v>2200000</v>
      </c>
      <c r="F165" s="504">
        <v>2200000</v>
      </c>
      <c r="G165" s="125"/>
      <c r="H165" s="125"/>
      <c r="I165" s="125"/>
      <c r="J165" s="501">
        <f t="shared" ref="J165" si="157">L165+O165</f>
        <v>0</v>
      </c>
      <c r="K165" s="504"/>
      <c r="L165" s="504"/>
      <c r="M165" s="504"/>
      <c r="N165" s="504"/>
      <c r="O165" s="502">
        <f t="shared" ref="O165" si="158">K165</f>
        <v>0</v>
      </c>
      <c r="P165" s="501">
        <f t="shared" ref="P165" si="159">E165+J165</f>
        <v>2200000</v>
      </c>
      <c r="Q165" s="34"/>
      <c r="R165" s="48"/>
    </row>
    <row r="166" spans="1:18" ht="93" thickTop="1" thickBot="1" x14ac:dyDescent="0.25">
      <c r="A166" s="94" t="s">
        <v>465</v>
      </c>
      <c r="B166" s="94" t="s">
        <v>466</v>
      </c>
      <c r="C166" s="94" t="s">
        <v>200</v>
      </c>
      <c r="D166" s="94" t="s">
        <v>467</v>
      </c>
      <c r="E166" s="471">
        <f t="shared" si="154"/>
        <v>1146655</v>
      </c>
      <c r="F166" s="504">
        <v>1146655</v>
      </c>
      <c r="G166" s="125"/>
      <c r="H166" s="125"/>
      <c r="I166" s="125"/>
      <c r="J166" s="501">
        <f t="shared" si="147"/>
        <v>0</v>
      </c>
      <c r="K166" s="504"/>
      <c r="L166" s="504"/>
      <c r="M166" s="504"/>
      <c r="N166" s="504"/>
      <c r="O166" s="502">
        <f>K166</f>
        <v>0</v>
      </c>
      <c r="P166" s="501">
        <f t="shared" si="156"/>
        <v>1146655</v>
      </c>
      <c r="Q166" s="18"/>
      <c r="R166" s="48"/>
    </row>
    <row r="167" spans="1:18" s="31" customFormat="1" ht="195" customHeight="1" thickTop="1" thickBot="1" x14ac:dyDescent="0.25">
      <c r="A167" s="518" t="s">
        <v>698</v>
      </c>
      <c r="B167" s="518" t="s">
        <v>699</v>
      </c>
      <c r="C167" s="518"/>
      <c r="D167" s="518" t="s">
        <v>700</v>
      </c>
      <c r="E167" s="519">
        <f>SUM(E168:E169)</f>
        <v>104296677.23</v>
      </c>
      <c r="F167" s="519">
        <f t="shared" ref="F167:P167" si="160">SUM(F168:F169)</f>
        <v>103596677.23</v>
      </c>
      <c r="G167" s="519">
        <f t="shared" si="160"/>
        <v>61732907</v>
      </c>
      <c r="H167" s="519">
        <f t="shared" si="160"/>
        <v>1472586</v>
      </c>
      <c r="I167" s="519">
        <f t="shared" si="160"/>
        <v>700000</v>
      </c>
      <c r="J167" s="519">
        <f t="shared" si="160"/>
        <v>2753240</v>
      </c>
      <c r="K167" s="519">
        <f t="shared" si="160"/>
        <v>0</v>
      </c>
      <c r="L167" s="519">
        <f t="shared" si="160"/>
        <v>2753240</v>
      </c>
      <c r="M167" s="519">
        <f t="shared" si="160"/>
        <v>1538900</v>
      </c>
      <c r="N167" s="519">
        <f t="shared" si="160"/>
        <v>410000</v>
      </c>
      <c r="O167" s="519">
        <f t="shared" si="160"/>
        <v>0</v>
      </c>
      <c r="P167" s="519">
        <f t="shared" si="160"/>
        <v>107049917.23</v>
      </c>
      <c r="Q167" s="34"/>
      <c r="R167" s="49"/>
    </row>
    <row r="168" spans="1:18" ht="173.25" customHeight="1" thickTop="1" thickBot="1" x14ac:dyDescent="0.25">
      <c r="A168" s="94" t="s">
        <v>261</v>
      </c>
      <c r="B168" s="94" t="s">
        <v>259</v>
      </c>
      <c r="C168" s="94" t="s">
        <v>195</v>
      </c>
      <c r="D168" s="94" t="s">
        <v>17</v>
      </c>
      <c r="E168" s="471">
        <f>F168+I168</f>
        <v>82098495</v>
      </c>
      <c r="F168" s="504">
        <f>((66612395)+14986100)-200000</f>
        <v>81398495</v>
      </c>
      <c r="G168" s="504">
        <f>(34138719)+12280800</f>
        <v>46419519</v>
      </c>
      <c r="H168" s="504">
        <f>400122+26655+184000+10800</f>
        <v>621577</v>
      </c>
      <c r="I168" s="504">
        <f>(0)+700000</f>
        <v>700000</v>
      </c>
      <c r="J168" s="501">
        <f t="shared" si="147"/>
        <v>2753240</v>
      </c>
      <c r="K168" s="504">
        <v>0</v>
      </c>
      <c r="L168" s="504">
        <v>2753240</v>
      </c>
      <c r="M168" s="504">
        <v>1538900</v>
      </c>
      <c r="N168" s="504">
        <f>200000+20000+190000</f>
        <v>410000</v>
      </c>
      <c r="O168" s="502">
        <f>K168+0</f>
        <v>0</v>
      </c>
      <c r="P168" s="501">
        <f t="shared" si="156"/>
        <v>84851735</v>
      </c>
      <c r="Q168" s="18"/>
      <c r="R168" s="44"/>
    </row>
    <row r="169" spans="1:18" ht="134.25" customHeight="1" thickTop="1" thickBot="1" x14ac:dyDescent="0.25">
      <c r="A169" s="94" t="s">
        <v>262</v>
      </c>
      <c r="B169" s="94" t="s">
        <v>260</v>
      </c>
      <c r="C169" s="94" t="s">
        <v>194</v>
      </c>
      <c r="D169" s="94" t="s">
        <v>443</v>
      </c>
      <c r="E169" s="471">
        <f>F169+I169</f>
        <v>22198182.23</v>
      </c>
      <c r="F169" s="504">
        <f>((18484464)+2207425)+1506293.23</f>
        <v>22198182.23</v>
      </c>
      <c r="G169" s="504">
        <f>(8472518+4036530)+1784340+1020000</f>
        <v>15313388</v>
      </c>
      <c r="H169" s="504">
        <f>300756+9412+195000+833+271602+9290+63807+309</f>
        <v>851009</v>
      </c>
      <c r="I169" s="125"/>
      <c r="J169" s="501">
        <f t="shared" si="147"/>
        <v>0</v>
      </c>
      <c r="K169" s="504">
        <v>0</v>
      </c>
      <c r="L169" s="504"/>
      <c r="M169" s="504"/>
      <c r="N169" s="504"/>
      <c r="O169" s="502">
        <f t="shared" si="155"/>
        <v>0</v>
      </c>
      <c r="P169" s="501">
        <f t="shared" si="156"/>
        <v>22198182.23</v>
      </c>
      <c r="Q169" s="18"/>
      <c r="R169" s="44"/>
    </row>
    <row r="170" spans="1:18" ht="88.5" customHeight="1" thickTop="1" thickBot="1" x14ac:dyDescent="0.25">
      <c r="A170" s="518" t="s">
        <v>1426</v>
      </c>
      <c r="B170" s="518" t="s">
        <v>1427</v>
      </c>
      <c r="C170" s="518"/>
      <c r="D170" s="518" t="s">
        <v>1428</v>
      </c>
      <c r="E170" s="519">
        <f>E171</f>
        <v>135120</v>
      </c>
      <c r="F170" s="519">
        <f t="shared" ref="F170:P170" si="161">F171</f>
        <v>135120</v>
      </c>
      <c r="G170" s="519">
        <f t="shared" si="161"/>
        <v>0</v>
      </c>
      <c r="H170" s="519">
        <f t="shared" si="161"/>
        <v>0</v>
      </c>
      <c r="I170" s="519">
        <f t="shared" si="161"/>
        <v>0</v>
      </c>
      <c r="J170" s="519">
        <f t="shared" si="161"/>
        <v>0</v>
      </c>
      <c r="K170" s="519">
        <f t="shared" si="161"/>
        <v>0</v>
      </c>
      <c r="L170" s="519">
        <f t="shared" si="161"/>
        <v>0</v>
      </c>
      <c r="M170" s="519">
        <f t="shared" si="161"/>
        <v>0</v>
      </c>
      <c r="N170" s="519">
        <f t="shared" si="161"/>
        <v>0</v>
      </c>
      <c r="O170" s="519">
        <f t="shared" si="161"/>
        <v>0</v>
      </c>
      <c r="P170" s="519">
        <f t="shared" si="161"/>
        <v>135120</v>
      </c>
      <c r="Q170" s="18"/>
      <c r="R170" s="44"/>
    </row>
    <row r="171" spans="1:18" ht="138.75" thickTop="1" thickBot="1" x14ac:dyDescent="0.25">
      <c r="A171" s="94" t="s">
        <v>1430</v>
      </c>
      <c r="B171" s="94" t="s">
        <v>1431</v>
      </c>
      <c r="C171" s="94" t="s">
        <v>180</v>
      </c>
      <c r="D171" s="94" t="s">
        <v>1429</v>
      </c>
      <c r="E171" s="471">
        <f>F171+I171</f>
        <v>135120</v>
      </c>
      <c r="F171" s="520">
        <f>(35120)+100000</f>
        <v>135120</v>
      </c>
      <c r="G171" s="120"/>
      <c r="H171" s="120"/>
      <c r="I171" s="120"/>
      <c r="J171" s="501">
        <f t="shared" ref="J171" si="162">L171+O171</f>
        <v>0</v>
      </c>
      <c r="K171" s="520"/>
      <c r="L171" s="522"/>
      <c r="M171" s="522"/>
      <c r="N171" s="522"/>
      <c r="O171" s="502">
        <f>K171+0</f>
        <v>0</v>
      </c>
      <c r="P171" s="501">
        <f>+J171+E171</f>
        <v>135120</v>
      </c>
      <c r="Q171" s="18"/>
      <c r="R171" s="44"/>
    </row>
    <row r="172" spans="1:18" ht="107.25" customHeight="1" thickTop="1" thickBot="1" x14ac:dyDescent="0.25">
      <c r="A172" s="518" t="s">
        <v>945</v>
      </c>
      <c r="B172" s="518" t="s">
        <v>729</v>
      </c>
      <c r="C172" s="518"/>
      <c r="D172" s="518" t="s">
        <v>730</v>
      </c>
      <c r="E172" s="519">
        <f>SUM(E173:E174)</f>
        <v>20979958</v>
      </c>
      <c r="F172" s="519">
        <f t="shared" ref="F172:P172" si="163">SUM(F173:F174)</f>
        <v>19809755</v>
      </c>
      <c r="G172" s="519">
        <f t="shared" si="163"/>
        <v>14359796</v>
      </c>
      <c r="H172" s="519">
        <f t="shared" si="163"/>
        <v>448544</v>
      </c>
      <c r="I172" s="519">
        <f t="shared" si="163"/>
        <v>1170203</v>
      </c>
      <c r="J172" s="519">
        <f t="shared" si="163"/>
        <v>56400</v>
      </c>
      <c r="K172" s="519">
        <f t="shared" si="163"/>
        <v>0</v>
      </c>
      <c r="L172" s="519">
        <f t="shared" si="163"/>
        <v>56400</v>
      </c>
      <c r="M172" s="519">
        <f t="shared" si="163"/>
        <v>0</v>
      </c>
      <c r="N172" s="519">
        <f t="shared" si="163"/>
        <v>0</v>
      </c>
      <c r="O172" s="519">
        <f t="shared" si="163"/>
        <v>0</v>
      </c>
      <c r="P172" s="519">
        <f t="shared" si="163"/>
        <v>21036358</v>
      </c>
      <c r="Q172" s="18"/>
      <c r="R172" s="44"/>
    </row>
    <row r="173" spans="1:18" ht="206.25" customHeight="1" thickTop="1" thickBot="1" x14ac:dyDescent="0.25">
      <c r="A173" s="94" t="s">
        <v>1095</v>
      </c>
      <c r="B173" s="94" t="s">
        <v>179</v>
      </c>
      <c r="C173" s="94" t="s">
        <v>180</v>
      </c>
      <c r="D173" s="94" t="s">
        <v>1388</v>
      </c>
      <c r="E173" s="471">
        <f>F173+I173</f>
        <v>13137580</v>
      </c>
      <c r="F173" s="520">
        <f>(9778945)+3358635</f>
        <v>13137580</v>
      </c>
      <c r="G173" s="520">
        <f>(7067070)+2752980</f>
        <v>9820050</v>
      </c>
      <c r="H173" s="520">
        <f>96000+7560+67000+7000</f>
        <v>177560</v>
      </c>
      <c r="I173" s="120"/>
      <c r="J173" s="501">
        <f t="shared" ref="J173" si="164">L173+O173</f>
        <v>56400</v>
      </c>
      <c r="K173" s="520"/>
      <c r="L173" s="522">
        <v>56400</v>
      </c>
      <c r="M173" s="522"/>
      <c r="N173" s="522"/>
      <c r="O173" s="502">
        <f>K173+0</f>
        <v>0</v>
      </c>
      <c r="P173" s="501">
        <f>+J173+E173</f>
        <v>13193980</v>
      </c>
      <c r="Q173" s="18"/>
      <c r="R173" s="44"/>
    </row>
    <row r="174" spans="1:18" ht="174" customHeight="1" thickTop="1" thickBot="1" x14ac:dyDescent="0.25">
      <c r="A174" s="94" t="s">
        <v>946</v>
      </c>
      <c r="B174" s="94" t="s">
        <v>947</v>
      </c>
      <c r="C174" s="94" t="s">
        <v>180</v>
      </c>
      <c r="D174" s="94" t="s">
        <v>1389</v>
      </c>
      <c r="E174" s="471">
        <f>F174+I174</f>
        <v>7842378</v>
      </c>
      <c r="F174" s="520">
        <f>((5162849)+1154570+255296)+99460</f>
        <v>6672175</v>
      </c>
      <c r="G174" s="520">
        <f>(3385176)+1154570</f>
        <v>4539746</v>
      </c>
      <c r="H174" s="520">
        <f>100540+8264+99000+63180</f>
        <v>270984</v>
      </c>
      <c r="I174" s="520">
        <f>1170203</f>
        <v>1170203</v>
      </c>
      <c r="J174" s="501">
        <f t="shared" ref="J174" si="165">L174+O174</f>
        <v>0</v>
      </c>
      <c r="K174" s="520"/>
      <c r="L174" s="522"/>
      <c r="M174" s="522"/>
      <c r="N174" s="522"/>
      <c r="O174" s="502">
        <f t="shared" ref="O174" si="166">K174</f>
        <v>0</v>
      </c>
      <c r="P174" s="501">
        <f>+J174+E174</f>
        <v>7842378</v>
      </c>
      <c r="Q174" s="18"/>
      <c r="R174" s="44"/>
    </row>
    <row r="175" spans="1:18" ht="219" customHeight="1" thickTop="1" thickBot="1" x14ac:dyDescent="0.25">
      <c r="A175" s="94" t="s">
        <v>257</v>
      </c>
      <c r="B175" s="94" t="s">
        <v>258</v>
      </c>
      <c r="C175" s="94" t="s">
        <v>194</v>
      </c>
      <c r="D175" s="94" t="s">
        <v>1519</v>
      </c>
      <c r="E175" s="471">
        <f>F175+I175</f>
        <v>11007200</v>
      </c>
      <c r="F175" s="504">
        <v>11007200</v>
      </c>
      <c r="G175" s="125"/>
      <c r="H175" s="125"/>
      <c r="I175" s="125"/>
      <c r="J175" s="501">
        <f t="shared" si="147"/>
        <v>0</v>
      </c>
      <c r="K175" s="501"/>
      <c r="L175" s="504"/>
      <c r="M175" s="504"/>
      <c r="N175" s="504"/>
      <c r="O175" s="502">
        <f t="shared" si="155"/>
        <v>0</v>
      </c>
      <c r="P175" s="501">
        <f>+J175+E175</f>
        <v>11007200</v>
      </c>
      <c r="Q175" s="18"/>
      <c r="R175" s="48"/>
    </row>
    <row r="176" spans="1:18" ht="107.25" customHeight="1" thickTop="1" thickBot="1" x14ac:dyDescent="0.25">
      <c r="A176" s="518" t="s">
        <v>838</v>
      </c>
      <c r="B176" s="518" t="s">
        <v>839</v>
      </c>
      <c r="C176" s="518"/>
      <c r="D176" s="518" t="s">
        <v>840</v>
      </c>
      <c r="E176" s="519">
        <f t="shared" ref="E176:E212" si="167">F176</f>
        <v>177006</v>
      </c>
      <c r="F176" s="519">
        <f>F177</f>
        <v>177006</v>
      </c>
      <c r="G176" s="519">
        <f t="shared" ref="G176:I176" si="168">G177</f>
        <v>0</v>
      </c>
      <c r="H176" s="519">
        <f t="shared" si="168"/>
        <v>0</v>
      </c>
      <c r="I176" s="519">
        <f t="shared" si="168"/>
        <v>0</v>
      </c>
      <c r="J176" s="519">
        <f t="shared" si="147"/>
        <v>0</v>
      </c>
      <c r="K176" s="519">
        <f t="shared" ref="K176:N176" si="169">K177</f>
        <v>0</v>
      </c>
      <c r="L176" s="519">
        <f t="shared" si="169"/>
        <v>0</v>
      </c>
      <c r="M176" s="519">
        <f t="shared" si="169"/>
        <v>0</v>
      </c>
      <c r="N176" s="519">
        <f t="shared" si="169"/>
        <v>0</v>
      </c>
      <c r="O176" s="519">
        <f t="shared" si="155"/>
        <v>0</v>
      </c>
      <c r="P176" s="519">
        <f>+J176+E176</f>
        <v>177006</v>
      </c>
      <c r="Q176" s="18"/>
      <c r="R176" s="48"/>
    </row>
    <row r="177" spans="1:18" ht="180.75" customHeight="1" thickTop="1" thickBot="1" x14ac:dyDescent="0.25">
      <c r="A177" s="94" t="s">
        <v>468</v>
      </c>
      <c r="B177" s="94" t="s">
        <v>469</v>
      </c>
      <c r="C177" s="94" t="s">
        <v>194</v>
      </c>
      <c r="D177" s="94" t="s">
        <v>470</v>
      </c>
      <c r="E177" s="471">
        <f>F177+I177</f>
        <v>177006</v>
      </c>
      <c r="F177" s="504">
        <v>177006</v>
      </c>
      <c r="G177" s="504"/>
      <c r="H177" s="504"/>
      <c r="I177" s="504"/>
      <c r="J177" s="501">
        <f t="shared" si="147"/>
        <v>0</v>
      </c>
      <c r="K177" s="501"/>
      <c r="L177" s="504"/>
      <c r="M177" s="504"/>
      <c r="N177" s="504"/>
      <c r="O177" s="502">
        <f t="shared" si="155"/>
        <v>0</v>
      </c>
      <c r="P177" s="501">
        <f>+J177+E177</f>
        <v>177006</v>
      </c>
      <c r="Q177" s="18"/>
      <c r="R177" s="48"/>
    </row>
    <row r="178" spans="1:18" ht="198" customHeight="1" thickTop="1" thickBot="1" x14ac:dyDescent="0.25">
      <c r="A178" s="469" t="s">
        <v>339</v>
      </c>
      <c r="B178" s="469" t="s">
        <v>338</v>
      </c>
      <c r="C178" s="469" t="s">
        <v>48</v>
      </c>
      <c r="D178" s="469" t="s">
        <v>442</v>
      </c>
      <c r="E178" s="471">
        <f>F178+I178</f>
        <v>6781600</v>
      </c>
      <c r="F178" s="487">
        <v>6781600</v>
      </c>
      <c r="G178" s="125"/>
      <c r="H178" s="125"/>
      <c r="I178" s="125"/>
      <c r="J178" s="485">
        <f t="shared" si="147"/>
        <v>0</v>
      </c>
      <c r="K178" s="118"/>
      <c r="L178" s="125"/>
      <c r="M178" s="125"/>
      <c r="N178" s="125"/>
      <c r="O178" s="488">
        <f t="shared" si="155"/>
        <v>0</v>
      </c>
      <c r="P178" s="485">
        <f>E178+J178</f>
        <v>6781600</v>
      </c>
      <c r="Q178" s="18"/>
      <c r="R178" s="48"/>
    </row>
    <row r="179" spans="1:18" s="31" customFormat="1" ht="123" customHeight="1" thickTop="1" thickBot="1" x14ac:dyDescent="0.25">
      <c r="A179" s="518" t="s">
        <v>701</v>
      </c>
      <c r="B179" s="518" t="s">
        <v>702</v>
      </c>
      <c r="C179" s="518"/>
      <c r="D179" s="518" t="s">
        <v>703</v>
      </c>
      <c r="E179" s="519">
        <f>SUM(E180:E181)</f>
        <v>2363571</v>
      </c>
      <c r="F179" s="519">
        <f t="shared" ref="F179:P179" si="170">SUM(F180:F181)</f>
        <v>2363571</v>
      </c>
      <c r="G179" s="519">
        <f t="shared" si="170"/>
        <v>0</v>
      </c>
      <c r="H179" s="519">
        <f t="shared" si="170"/>
        <v>0</v>
      </c>
      <c r="I179" s="519">
        <f t="shared" si="170"/>
        <v>0</v>
      </c>
      <c r="J179" s="519">
        <f t="shared" si="170"/>
        <v>0</v>
      </c>
      <c r="K179" s="519">
        <f t="shared" si="170"/>
        <v>0</v>
      </c>
      <c r="L179" s="519">
        <f t="shared" si="170"/>
        <v>0</v>
      </c>
      <c r="M179" s="519">
        <f t="shared" si="170"/>
        <v>0</v>
      </c>
      <c r="N179" s="519">
        <f t="shared" si="170"/>
        <v>0</v>
      </c>
      <c r="O179" s="519">
        <f t="shared" si="170"/>
        <v>0</v>
      </c>
      <c r="P179" s="519">
        <f t="shared" si="170"/>
        <v>2363571</v>
      </c>
      <c r="Q179" s="34"/>
      <c r="R179" s="49"/>
    </row>
    <row r="180" spans="1:18" ht="156" customHeight="1" thickTop="1" thickBot="1" x14ac:dyDescent="0.25">
      <c r="A180" s="94" t="s">
        <v>318</v>
      </c>
      <c r="B180" s="94" t="s">
        <v>319</v>
      </c>
      <c r="C180" s="94" t="s">
        <v>200</v>
      </c>
      <c r="D180" s="94" t="s">
        <v>608</v>
      </c>
      <c r="E180" s="471">
        <f>F180+I180</f>
        <v>2310000</v>
      </c>
      <c r="F180" s="504">
        <f>(1500000)+810000</f>
        <v>2310000</v>
      </c>
      <c r="G180" s="125"/>
      <c r="H180" s="125"/>
      <c r="I180" s="125"/>
      <c r="J180" s="501">
        <f t="shared" si="147"/>
        <v>0</v>
      </c>
      <c r="K180" s="125"/>
      <c r="L180" s="125"/>
      <c r="M180" s="125"/>
      <c r="N180" s="125"/>
      <c r="O180" s="502">
        <f t="shared" si="155"/>
        <v>0</v>
      </c>
      <c r="P180" s="501">
        <f>E180+J180</f>
        <v>2310000</v>
      </c>
      <c r="Q180" s="18"/>
      <c r="R180" s="48"/>
    </row>
    <row r="181" spans="1:18" ht="159" customHeight="1" thickTop="1" thickBot="1" x14ac:dyDescent="0.25">
      <c r="A181" s="94" t="s">
        <v>1772</v>
      </c>
      <c r="B181" s="94" t="s">
        <v>1412</v>
      </c>
      <c r="C181" s="94" t="s">
        <v>200</v>
      </c>
      <c r="D181" s="94" t="s">
        <v>1413</v>
      </c>
      <c r="E181" s="471">
        <f>F181+I181</f>
        <v>53571</v>
      </c>
      <c r="F181" s="504">
        <v>53571</v>
      </c>
      <c r="G181" s="125"/>
      <c r="H181" s="125"/>
      <c r="I181" s="125"/>
      <c r="J181" s="501">
        <f t="shared" ref="J181" si="171">L181+O181</f>
        <v>0</v>
      </c>
      <c r="K181" s="125"/>
      <c r="L181" s="125"/>
      <c r="M181" s="125"/>
      <c r="N181" s="125"/>
      <c r="O181" s="502">
        <f t="shared" ref="O181" si="172">K181</f>
        <v>0</v>
      </c>
      <c r="P181" s="501">
        <f>E181+J181</f>
        <v>53571</v>
      </c>
      <c r="Q181" s="18"/>
      <c r="R181" s="48"/>
    </row>
    <row r="182" spans="1:18" ht="88.5" customHeight="1" thickTop="1" thickBot="1" x14ac:dyDescent="0.25">
      <c r="A182" s="94" t="s">
        <v>417</v>
      </c>
      <c r="B182" s="94" t="s">
        <v>362</v>
      </c>
      <c r="C182" s="94" t="s">
        <v>363</v>
      </c>
      <c r="D182" s="94" t="s">
        <v>361</v>
      </c>
      <c r="E182" s="471">
        <f>F182+I182</f>
        <v>117000</v>
      </c>
      <c r="F182" s="504">
        <v>117000</v>
      </c>
      <c r="G182" s="504">
        <v>90000</v>
      </c>
      <c r="H182" s="125"/>
      <c r="I182" s="125"/>
      <c r="J182" s="501">
        <f t="shared" si="147"/>
        <v>0</v>
      </c>
      <c r="K182" s="504"/>
      <c r="L182" s="504"/>
      <c r="M182" s="504"/>
      <c r="N182" s="504"/>
      <c r="O182" s="502">
        <f t="shared" si="155"/>
        <v>0</v>
      </c>
      <c r="P182" s="501">
        <f>E182+J182</f>
        <v>117000</v>
      </c>
      <c r="Q182" s="18"/>
      <c r="R182" s="48"/>
    </row>
    <row r="183" spans="1:18" ht="130.69999999999999" hidden="1" customHeight="1" thickTop="1" thickBot="1" x14ac:dyDescent="0.25">
      <c r="A183" s="131" t="s">
        <v>980</v>
      </c>
      <c r="B183" s="131" t="s">
        <v>981</v>
      </c>
      <c r="C183" s="131"/>
      <c r="D183" s="131" t="s">
        <v>979</v>
      </c>
      <c r="E183" s="132">
        <f>E184+E188+E190+E193+E196</f>
        <v>0</v>
      </c>
      <c r="F183" s="132">
        <f t="shared" ref="F183:O183" si="173">F184+F188+F190+F193+F196</f>
        <v>0</v>
      </c>
      <c r="G183" s="132">
        <f t="shared" si="173"/>
        <v>0</v>
      </c>
      <c r="H183" s="132">
        <f t="shared" si="173"/>
        <v>0</v>
      </c>
      <c r="I183" s="132">
        <f t="shared" si="173"/>
        <v>0</v>
      </c>
      <c r="J183" s="132">
        <f t="shared" si="173"/>
        <v>0</v>
      </c>
      <c r="K183" s="132">
        <f t="shared" si="173"/>
        <v>0</v>
      </c>
      <c r="L183" s="132">
        <f t="shared" si="173"/>
        <v>0</v>
      </c>
      <c r="M183" s="132">
        <f t="shared" si="173"/>
        <v>0</v>
      </c>
      <c r="N183" s="132">
        <f t="shared" si="173"/>
        <v>0</v>
      </c>
      <c r="O183" s="132">
        <f t="shared" si="173"/>
        <v>0</v>
      </c>
      <c r="P183" s="132">
        <f>P184+P188+P190+P193+P196</f>
        <v>0</v>
      </c>
      <c r="Q183" s="18"/>
      <c r="R183" s="48"/>
    </row>
    <row r="184" spans="1:18" ht="183.75" hidden="1" thickTop="1" x14ac:dyDescent="0.65">
      <c r="A184" s="768" t="s">
        <v>982</v>
      </c>
      <c r="B184" s="768" t="s">
        <v>983</v>
      </c>
      <c r="C184" s="768" t="s">
        <v>48</v>
      </c>
      <c r="D184" s="322" t="s">
        <v>1236</v>
      </c>
      <c r="E184" s="763">
        <f t="shared" ref="E184:E188" si="174">F184</f>
        <v>0</v>
      </c>
      <c r="F184" s="763"/>
      <c r="G184" s="763"/>
      <c r="H184" s="763"/>
      <c r="I184" s="763"/>
      <c r="J184" s="763">
        <f t="shared" ref="J184:J188" si="175">L184+O184</f>
        <v>0</v>
      </c>
      <c r="K184" s="769"/>
      <c r="L184" s="763"/>
      <c r="M184" s="763"/>
      <c r="N184" s="763"/>
      <c r="O184" s="769">
        <f t="shared" ref="O184:O188" si="176">K184</f>
        <v>0</v>
      </c>
      <c r="P184" s="763">
        <f t="shared" ref="P184:P188" si="177">E184+J184</f>
        <v>0</v>
      </c>
      <c r="Q184" s="771"/>
      <c r="R184" s="758"/>
    </row>
    <row r="185" spans="1:18" ht="183" hidden="1" x14ac:dyDescent="0.2">
      <c r="A185" s="764"/>
      <c r="B185" s="764"/>
      <c r="C185" s="764"/>
      <c r="D185" s="323" t="s">
        <v>1237</v>
      </c>
      <c r="E185" s="764"/>
      <c r="F185" s="764"/>
      <c r="G185" s="764"/>
      <c r="H185" s="764"/>
      <c r="I185" s="764"/>
      <c r="J185" s="764"/>
      <c r="K185" s="764"/>
      <c r="L185" s="764"/>
      <c r="M185" s="764"/>
      <c r="N185" s="764"/>
      <c r="O185" s="764"/>
      <c r="P185" s="764"/>
      <c r="Q185" s="771"/>
      <c r="R185" s="759"/>
    </row>
    <row r="186" spans="1:18" ht="183" hidden="1" x14ac:dyDescent="0.2">
      <c r="A186" s="764"/>
      <c r="B186" s="764"/>
      <c r="C186" s="764"/>
      <c r="D186" s="323" t="s">
        <v>1238</v>
      </c>
      <c r="E186" s="764"/>
      <c r="F186" s="764"/>
      <c r="G186" s="764"/>
      <c r="H186" s="764"/>
      <c r="I186" s="764"/>
      <c r="J186" s="764"/>
      <c r="K186" s="764"/>
      <c r="L186" s="764"/>
      <c r="M186" s="764"/>
      <c r="N186" s="764"/>
      <c r="O186" s="764"/>
      <c r="P186" s="764"/>
      <c r="Q186" s="771"/>
      <c r="R186" s="759"/>
    </row>
    <row r="187" spans="1:18" ht="92.25" hidden="1" thickBot="1" x14ac:dyDescent="0.25">
      <c r="A187" s="765"/>
      <c r="B187" s="765"/>
      <c r="C187" s="765"/>
      <c r="D187" s="324" t="s">
        <v>1239</v>
      </c>
      <c r="E187" s="765"/>
      <c r="F187" s="765"/>
      <c r="G187" s="765"/>
      <c r="H187" s="765"/>
      <c r="I187" s="765"/>
      <c r="J187" s="765"/>
      <c r="K187" s="765"/>
      <c r="L187" s="765"/>
      <c r="M187" s="765"/>
      <c r="N187" s="765"/>
      <c r="O187" s="765"/>
      <c r="P187" s="765"/>
      <c r="Q187" s="771"/>
      <c r="R187" s="759"/>
    </row>
    <row r="188" spans="1:18" ht="409.6" hidden="1" thickTop="1" x14ac:dyDescent="0.65">
      <c r="A188" s="768" t="s">
        <v>984</v>
      </c>
      <c r="B188" s="768" t="s">
        <v>985</v>
      </c>
      <c r="C188" s="768" t="s">
        <v>48</v>
      </c>
      <c r="D188" s="322" t="s">
        <v>1374</v>
      </c>
      <c r="E188" s="763">
        <f t="shared" si="174"/>
        <v>0</v>
      </c>
      <c r="F188" s="763"/>
      <c r="G188" s="763"/>
      <c r="H188" s="763"/>
      <c r="I188" s="763"/>
      <c r="J188" s="763">
        <f t="shared" si="175"/>
        <v>0</v>
      </c>
      <c r="K188" s="769"/>
      <c r="L188" s="763"/>
      <c r="M188" s="763"/>
      <c r="N188" s="763"/>
      <c r="O188" s="763">
        <f t="shared" si="176"/>
        <v>0</v>
      </c>
      <c r="P188" s="763">
        <f t="shared" si="177"/>
        <v>0</v>
      </c>
      <c r="Q188" s="18"/>
      <c r="R188" s="758"/>
    </row>
    <row r="189" spans="1:18" ht="183.75" hidden="1" thickBot="1" x14ac:dyDescent="0.25">
      <c r="A189" s="764"/>
      <c r="B189" s="764"/>
      <c r="C189" s="764"/>
      <c r="D189" s="323" t="s">
        <v>1375</v>
      </c>
      <c r="E189" s="764"/>
      <c r="F189" s="764"/>
      <c r="G189" s="764"/>
      <c r="H189" s="764"/>
      <c r="I189" s="764"/>
      <c r="J189" s="764"/>
      <c r="K189" s="764"/>
      <c r="L189" s="764"/>
      <c r="M189" s="764"/>
      <c r="N189" s="764"/>
      <c r="O189" s="764"/>
      <c r="P189" s="764"/>
      <c r="Q189" s="18"/>
      <c r="R189" s="770"/>
    </row>
    <row r="190" spans="1:18" ht="183.75" hidden="1" thickTop="1" x14ac:dyDescent="0.65">
      <c r="A190" s="768" t="s">
        <v>986</v>
      </c>
      <c r="B190" s="768" t="s">
        <v>987</v>
      </c>
      <c r="C190" s="768" t="s">
        <v>48</v>
      </c>
      <c r="D190" s="322" t="s">
        <v>1240</v>
      </c>
      <c r="E190" s="763">
        <f t="shared" ref="E190" si="178">F190</f>
        <v>0</v>
      </c>
      <c r="F190" s="763"/>
      <c r="G190" s="763"/>
      <c r="H190" s="763"/>
      <c r="I190" s="763"/>
      <c r="J190" s="763">
        <f t="shared" ref="J190" si="179">L190+O190</f>
        <v>0</v>
      </c>
      <c r="K190" s="769"/>
      <c r="L190" s="763"/>
      <c r="M190" s="763"/>
      <c r="N190" s="763"/>
      <c r="O190" s="769">
        <f t="shared" ref="O190" si="180">K190</f>
        <v>0</v>
      </c>
      <c r="P190" s="763">
        <f t="shared" ref="P190" si="181">E190+J190</f>
        <v>0</v>
      </c>
      <c r="Q190" s="18"/>
      <c r="R190" s="758"/>
    </row>
    <row r="191" spans="1:18" ht="183" hidden="1" x14ac:dyDescent="0.2">
      <c r="A191" s="764"/>
      <c r="B191" s="764"/>
      <c r="C191" s="764"/>
      <c r="D191" s="323" t="s">
        <v>1241</v>
      </c>
      <c r="E191" s="764"/>
      <c r="F191" s="764"/>
      <c r="G191" s="764"/>
      <c r="H191" s="764"/>
      <c r="I191" s="764"/>
      <c r="J191" s="764"/>
      <c r="K191" s="764"/>
      <c r="L191" s="764"/>
      <c r="M191" s="764"/>
      <c r="N191" s="764"/>
      <c r="O191" s="764"/>
      <c r="P191" s="764"/>
      <c r="Q191" s="18"/>
      <c r="R191" s="759"/>
    </row>
    <row r="192" spans="1:18" ht="92.25" hidden="1" thickBot="1" x14ac:dyDescent="0.25">
      <c r="A192" s="765"/>
      <c r="B192" s="765"/>
      <c r="C192" s="765"/>
      <c r="D192" s="324" t="s">
        <v>988</v>
      </c>
      <c r="E192" s="765"/>
      <c r="F192" s="765"/>
      <c r="G192" s="765"/>
      <c r="H192" s="765"/>
      <c r="I192" s="765"/>
      <c r="J192" s="765"/>
      <c r="K192" s="765"/>
      <c r="L192" s="765"/>
      <c r="M192" s="765"/>
      <c r="N192" s="765"/>
      <c r="O192" s="765"/>
      <c r="P192" s="765"/>
      <c r="Q192" s="18"/>
      <c r="R192" s="759"/>
    </row>
    <row r="193" spans="1:18" ht="183.75" hidden="1" thickTop="1" x14ac:dyDescent="0.65">
      <c r="A193" s="760" t="s">
        <v>992</v>
      </c>
      <c r="B193" s="760" t="s">
        <v>993</v>
      </c>
      <c r="C193" s="760" t="s">
        <v>48</v>
      </c>
      <c r="D193" s="278" t="s">
        <v>989</v>
      </c>
      <c r="E193" s="763">
        <f t="shared" ref="E193" si="182">F193</f>
        <v>0</v>
      </c>
      <c r="F193" s="763"/>
      <c r="G193" s="763"/>
      <c r="H193" s="763"/>
      <c r="I193" s="763"/>
      <c r="J193" s="763">
        <f t="shared" ref="J193" si="183">L193+O193</f>
        <v>0</v>
      </c>
      <c r="K193" s="766">
        <v>0</v>
      </c>
      <c r="L193" s="767"/>
      <c r="M193" s="767"/>
      <c r="N193" s="767"/>
      <c r="O193" s="766">
        <f t="shared" ref="O193" si="184">K193</f>
        <v>0</v>
      </c>
      <c r="P193" s="767">
        <f t="shared" ref="P193" si="185">E193+J193</f>
        <v>0</v>
      </c>
      <c r="Q193" s="18"/>
      <c r="R193" s="758"/>
    </row>
    <row r="194" spans="1:18" ht="183" hidden="1" x14ac:dyDescent="0.2">
      <c r="A194" s="761"/>
      <c r="B194" s="761"/>
      <c r="C194" s="761"/>
      <c r="D194" s="117" t="s">
        <v>990</v>
      </c>
      <c r="E194" s="764"/>
      <c r="F194" s="764"/>
      <c r="G194" s="764"/>
      <c r="H194" s="764"/>
      <c r="I194" s="764"/>
      <c r="J194" s="764"/>
      <c r="K194" s="761"/>
      <c r="L194" s="761"/>
      <c r="M194" s="761"/>
      <c r="N194" s="761"/>
      <c r="O194" s="761"/>
      <c r="P194" s="761"/>
      <c r="Q194" s="18"/>
      <c r="R194" s="759"/>
    </row>
    <row r="195" spans="1:18" ht="46.5" hidden="1" thickBot="1" x14ac:dyDescent="0.25">
      <c r="A195" s="762"/>
      <c r="B195" s="762"/>
      <c r="C195" s="762"/>
      <c r="D195" s="279" t="s">
        <v>991</v>
      </c>
      <c r="E195" s="765"/>
      <c r="F195" s="765"/>
      <c r="G195" s="765"/>
      <c r="H195" s="765"/>
      <c r="I195" s="765"/>
      <c r="J195" s="765"/>
      <c r="K195" s="762"/>
      <c r="L195" s="762"/>
      <c r="M195" s="762"/>
      <c r="N195" s="762"/>
      <c r="O195" s="762"/>
      <c r="P195" s="762"/>
      <c r="Q195" s="18"/>
      <c r="R195" s="759"/>
    </row>
    <row r="196" spans="1:18" ht="378" hidden="1" customHeight="1" thickTop="1" x14ac:dyDescent="0.2">
      <c r="A196" s="768" t="s">
        <v>1449</v>
      </c>
      <c r="B196" s="768" t="s">
        <v>1450</v>
      </c>
      <c r="C196" s="768" t="s">
        <v>48</v>
      </c>
      <c r="D196" s="768" t="s">
        <v>1451</v>
      </c>
      <c r="E196" s="763"/>
      <c r="F196" s="769"/>
      <c r="G196" s="769"/>
      <c r="H196" s="769"/>
      <c r="I196" s="769"/>
      <c r="J196" s="763">
        <f t="shared" ref="J196" si="186">L196+O196</f>
        <v>0</v>
      </c>
      <c r="K196" s="769"/>
      <c r="L196" s="769"/>
      <c r="M196" s="769"/>
      <c r="N196" s="769"/>
      <c r="O196" s="779">
        <f t="shared" ref="O196" si="187">K196</f>
        <v>0</v>
      </c>
      <c r="P196" s="763">
        <f t="shared" ref="P196" si="188">E196+J196</f>
        <v>0</v>
      </c>
      <c r="Q196" s="18"/>
      <c r="R196" s="19"/>
    </row>
    <row r="197" spans="1:18" ht="315.75" hidden="1" customHeight="1" thickBot="1" x14ac:dyDescent="0.25">
      <c r="A197" s="809"/>
      <c r="B197" s="809"/>
      <c r="C197" s="809"/>
      <c r="D197" s="809"/>
      <c r="E197" s="808"/>
      <c r="F197" s="777"/>
      <c r="G197" s="777"/>
      <c r="H197" s="777"/>
      <c r="I197" s="777"/>
      <c r="J197" s="808"/>
      <c r="K197" s="777"/>
      <c r="L197" s="777"/>
      <c r="M197" s="777"/>
      <c r="N197" s="777"/>
      <c r="O197" s="780"/>
      <c r="P197" s="808"/>
      <c r="Q197" s="18"/>
      <c r="R197" s="19"/>
    </row>
    <row r="198" spans="1:18" ht="171.75" customHeight="1" thickTop="1" thickBot="1" x14ac:dyDescent="0.25">
      <c r="A198" s="94" t="s">
        <v>1083</v>
      </c>
      <c r="B198" s="94" t="s">
        <v>1080</v>
      </c>
      <c r="C198" s="94" t="s">
        <v>201</v>
      </c>
      <c r="D198" s="507" t="s">
        <v>1434</v>
      </c>
      <c r="E198" s="471">
        <f>F198+I198</f>
        <v>5755950</v>
      </c>
      <c r="F198" s="504">
        <v>5714410</v>
      </c>
      <c r="G198" s="125"/>
      <c r="H198" s="125"/>
      <c r="I198" s="504">
        <v>41540</v>
      </c>
      <c r="J198" s="501">
        <f t="shared" ref="J198" si="189">L198+O198</f>
        <v>0</v>
      </c>
      <c r="K198" s="504"/>
      <c r="L198" s="504"/>
      <c r="M198" s="504"/>
      <c r="N198" s="504"/>
      <c r="O198" s="502">
        <f t="shared" ref="O198" si="190">K198</f>
        <v>0</v>
      </c>
      <c r="P198" s="501">
        <f>E198+J198</f>
        <v>5755950</v>
      </c>
      <c r="Q198" s="18"/>
      <c r="R198" s="19"/>
    </row>
    <row r="199" spans="1:18" s="31" customFormat="1" ht="104.25" customHeight="1" thickTop="1" thickBot="1" x14ac:dyDescent="0.25">
      <c r="A199" s="518" t="s">
        <v>704</v>
      </c>
      <c r="B199" s="518" t="s">
        <v>705</v>
      </c>
      <c r="C199" s="518"/>
      <c r="D199" s="518" t="s">
        <v>1520</v>
      </c>
      <c r="E199" s="519">
        <f>SUM(E200:E202)</f>
        <v>287362381.10000002</v>
      </c>
      <c r="F199" s="519">
        <f t="shared" ref="F199:P199" si="191">SUM(F200:F202)</f>
        <v>248073386.67000002</v>
      </c>
      <c r="G199" s="519">
        <f t="shared" si="191"/>
        <v>24299813</v>
      </c>
      <c r="H199" s="519">
        <f t="shared" si="191"/>
        <v>2426334</v>
      </c>
      <c r="I199" s="519">
        <f t="shared" si="191"/>
        <v>39288994.43</v>
      </c>
      <c r="J199" s="519">
        <f t="shared" si="191"/>
        <v>14313908</v>
      </c>
      <c r="K199" s="519">
        <f t="shared" si="191"/>
        <v>799985</v>
      </c>
      <c r="L199" s="519">
        <f t="shared" si="191"/>
        <v>13463923</v>
      </c>
      <c r="M199" s="519">
        <f t="shared" si="191"/>
        <v>4740871</v>
      </c>
      <c r="N199" s="519">
        <f t="shared" si="191"/>
        <v>1214000</v>
      </c>
      <c r="O199" s="519">
        <f t="shared" si="191"/>
        <v>849985</v>
      </c>
      <c r="P199" s="519">
        <f t="shared" si="191"/>
        <v>301676289.10000002</v>
      </c>
      <c r="Q199" s="34"/>
      <c r="R199" s="49"/>
    </row>
    <row r="200" spans="1:18" ht="140.25" customHeight="1" thickTop="1" thickBot="1" x14ac:dyDescent="0.25">
      <c r="A200" s="94" t="s">
        <v>320</v>
      </c>
      <c r="B200" s="94" t="s">
        <v>322</v>
      </c>
      <c r="C200" s="94" t="s">
        <v>186</v>
      </c>
      <c r="D200" s="507" t="s">
        <v>1392</v>
      </c>
      <c r="E200" s="471">
        <f>F200+I200</f>
        <v>58334119.100000001</v>
      </c>
      <c r="F200" s="504">
        <f>((45556972)+614785+135252+186000+3340+4487498+594672+153506+374000+200000+150000+100000+408420)+286800+54000-49500+47745+99900+8010+100600+60800+46200+486572+172261.67+76500+224494+1496297+200000+200000+420000</f>
        <v>56895124.670000002</v>
      </c>
      <c r="G200" s="520">
        <f>(6607077+8240119+4535714)+614785+3707446+594672</f>
        <v>24299813</v>
      </c>
      <c r="H200" s="520">
        <f>(118200+465543+275270+20306+480000+201055+28800+1920+548900+29000)+374000-120000+3340</f>
        <v>2426334</v>
      </c>
      <c r="I200" s="504">
        <f>((579000)+65800+327700.43)+71114+52500-53000+10880+385000</f>
        <v>1438994.43</v>
      </c>
      <c r="J200" s="501">
        <f t="shared" ref="J200:J212" si="192">L200+O200</f>
        <v>13513923</v>
      </c>
      <c r="K200" s="504"/>
      <c r="L200" s="504">
        <f>(5107483-15000+6500000)+370360+81480+1419600</f>
        <v>13463923</v>
      </c>
      <c r="M200" s="504">
        <f>(2070511+2300000)+370360</f>
        <v>4740871</v>
      </c>
      <c r="N200" s="504">
        <f>387000+27000+300000+500000</f>
        <v>1214000</v>
      </c>
      <c r="O200" s="502">
        <f>(K200+15000)+35000</f>
        <v>50000</v>
      </c>
      <c r="P200" s="501">
        <f t="shared" ref="P200:P212" si="193">E200+J200</f>
        <v>71848042.099999994</v>
      </c>
      <c r="Q200" s="18"/>
      <c r="R200" s="44"/>
    </row>
    <row r="201" spans="1:18" ht="123" customHeight="1" thickTop="1" thickBot="1" x14ac:dyDescent="0.25">
      <c r="A201" s="94" t="s">
        <v>321</v>
      </c>
      <c r="B201" s="94" t="s">
        <v>323</v>
      </c>
      <c r="C201" s="94" t="s">
        <v>186</v>
      </c>
      <c r="D201" s="507" t="s">
        <v>1702</v>
      </c>
      <c r="E201" s="471">
        <f>F201+I201</f>
        <v>229028262</v>
      </c>
      <c r="F201" s="504">
        <f>((156135120)+10000000)+25043142</f>
        <v>191178262</v>
      </c>
      <c r="G201" s="125"/>
      <c r="H201" s="125"/>
      <c r="I201" s="504">
        <v>37850000</v>
      </c>
      <c r="J201" s="501">
        <f t="shared" si="192"/>
        <v>0</v>
      </c>
      <c r="K201" s="125"/>
      <c r="L201" s="125"/>
      <c r="M201" s="125"/>
      <c r="N201" s="125"/>
      <c r="O201" s="502">
        <f t="shared" ref="O201:O212" si="194">K201</f>
        <v>0</v>
      </c>
      <c r="P201" s="501">
        <f t="shared" si="193"/>
        <v>229028262</v>
      </c>
      <c r="Q201" s="18"/>
      <c r="R201" s="44"/>
    </row>
    <row r="202" spans="1:18" ht="176.25" customHeight="1" thickTop="1" thickBot="1" x14ac:dyDescent="0.25">
      <c r="A202" s="94" t="s">
        <v>1460</v>
      </c>
      <c r="B202" s="94" t="s">
        <v>1459</v>
      </c>
      <c r="C202" s="94" t="s">
        <v>180</v>
      </c>
      <c r="D202" s="507" t="s">
        <v>1709</v>
      </c>
      <c r="E202" s="521">
        <f>F202+I202</f>
        <v>0</v>
      </c>
      <c r="F202" s="125"/>
      <c r="G202" s="125"/>
      <c r="H202" s="125"/>
      <c r="I202" s="125"/>
      <c r="J202" s="501">
        <f t="shared" si="192"/>
        <v>799985</v>
      </c>
      <c r="K202" s="504">
        <v>799985</v>
      </c>
      <c r="L202" s="125"/>
      <c r="M202" s="125"/>
      <c r="N202" s="125"/>
      <c r="O202" s="502">
        <f t="shared" si="194"/>
        <v>799985</v>
      </c>
      <c r="P202" s="501">
        <f t="shared" si="193"/>
        <v>799985</v>
      </c>
      <c r="Q202" s="18"/>
      <c r="R202" s="44"/>
    </row>
    <row r="203" spans="1:18" ht="189" customHeight="1" thickTop="1" thickBot="1" x14ac:dyDescent="0.25">
      <c r="A203" s="94" t="s">
        <v>1376</v>
      </c>
      <c r="B203" s="94" t="s">
        <v>1377</v>
      </c>
      <c r="C203" s="94" t="s">
        <v>186</v>
      </c>
      <c r="D203" s="94" t="s">
        <v>1505</v>
      </c>
      <c r="E203" s="521">
        <f>F203+I203</f>
        <v>0</v>
      </c>
      <c r="F203" s="125"/>
      <c r="G203" s="125"/>
      <c r="H203" s="125"/>
      <c r="I203" s="125"/>
      <c r="J203" s="501">
        <f>L203+O203</f>
        <v>54000000</v>
      </c>
      <c r="K203" s="504">
        <f>(45000000+6000000)+3000000</f>
        <v>54000000</v>
      </c>
      <c r="L203" s="125"/>
      <c r="M203" s="125"/>
      <c r="N203" s="125"/>
      <c r="O203" s="502">
        <f>K203</f>
        <v>54000000</v>
      </c>
      <c r="P203" s="501">
        <f>E203+J203</f>
        <v>54000000</v>
      </c>
      <c r="Q203" s="18"/>
      <c r="R203" s="44"/>
    </row>
    <row r="204" spans="1:18" ht="47.25" hidden="1" thickTop="1" thickBot="1" x14ac:dyDescent="0.25">
      <c r="A204" s="116" t="s">
        <v>706</v>
      </c>
      <c r="B204" s="116" t="s">
        <v>707</v>
      </c>
      <c r="C204" s="116"/>
      <c r="D204" s="280" t="s">
        <v>708</v>
      </c>
      <c r="E204" s="118">
        <f>SUM(E205)</f>
        <v>0</v>
      </c>
      <c r="F204" s="118">
        <f t="shared" ref="F204:P204" si="195">SUM(F205)</f>
        <v>0</v>
      </c>
      <c r="G204" s="118">
        <f t="shared" si="195"/>
        <v>0</v>
      </c>
      <c r="H204" s="118">
        <f t="shared" si="195"/>
        <v>0</v>
      </c>
      <c r="I204" s="118">
        <f t="shared" si="195"/>
        <v>0</v>
      </c>
      <c r="J204" s="118">
        <f>SUM(J205)</f>
        <v>0</v>
      </c>
      <c r="K204" s="118">
        <f t="shared" si="195"/>
        <v>0</v>
      </c>
      <c r="L204" s="118">
        <f t="shared" si="195"/>
        <v>0</v>
      </c>
      <c r="M204" s="118">
        <f t="shared" si="195"/>
        <v>0</v>
      </c>
      <c r="N204" s="118">
        <f t="shared" si="195"/>
        <v>0</v>
      </c>
      <c r="O204" s="118">
        <f t="shared" si="195"/>
        <v>0</v>
      </c>
      <c r="P204" s="118">
        <f t="shared" si="195"/>
        <v>0</v>
      </c>
      <c r="Q204" s="18"/>
      <c r="R204" s="44"/>
    </row>
    <row r="205" spans="1:18" s="31" customFormat="1" ht="48" hidden="1" thickTop="1" thickBot="1" x14ac:dyDescent="0.25">
      <c r="A205" s="131" t="s">
        <v>709</v>
      </c>
      <c r="B205" s="131" t="s">
        <v>710</v>
      </c>
      <c r="C205" s="131"/>
      <c r="D205" s="143" t="s">
        <v>711</v>
      </c>
      <c r="E205" s="132">
        <f>SUM(E206:E207)</f>
        <v>0</v>
      </c>
      <c r="F205" s="132">
        <f>SUM(F206:F207)</f>
        <v>0</v>
      </c>
      <c r="G205" s="132">
        <f>SUM(G206:G207)</f>
        <v>0</v>
      </c>
      <c r="H205" s="132">
        <f>SUM(H206:H207)</f>
        <v>0</v>
      </c>
      <c r="I205" s="132">
        <f>SUM(I206:I207)</f>
        <v>0</v>
      </c>
      <c r="J205" s="132">
        <f t="shared" ref="J205:O205" si="196">SUM(J206:J207)</f>
        <v>0</v>
      </c>
      <c r="K205" s="132">
        <f t="shared" si="196"/>
        <v>0</v>
      </c>
      <c r="L205" s="132">
        <f t="shared" si="196"/>
        <v>0</v>
      </c>
      <c r="M205" s="132">
        <f t="shared" si="196"/>
        <v>0</v>
      </c>
      <c r="N205" s="132">
        <f t="shared" si="196"/>
        <v>0</v>
      </c>
      <c r="O205" s="132">
        <f t="shared" si="196"/>
        <v>0</v>
      </c>
      <c r="P205" s="132">
        <f>SUM(P206:P207)</f>
        <v>0</v>
      </c>
      <c r="Q205" s="34"/>
      <c r="R205" s="50"/>
    </row>
    <row r="206" spans="1:18" ht="93" hidden="1" thickTop="1" thickBot="1" x14ac:dyDescent="0.25">
      <c r="A206" s="119" t="s">
        <v>357</v>
      </c>
      <c r="B206" s="119" t="s">
        <v>355</v>
      </c>
      <c r="C206" s="119" t="s">
        <v>331</v>
      </c>
      <c r="D206" s="277" t="s">
        <v>356</v>
      </c>
      <c r="E206" s="118"/>
      <c r="F206" s="125"/>
      <c r="G206" s="125"/>
      <c r="H206" s="125"/>
      <c r="I206" s="125"/>
      <c r="J206" s="118">
        <f t="shared" si="192"/>
        <v>0</v>
      </c>
      <c r="K206" s="125"/>
      <c r="L206" s="125"/>
      <c r="M206" s="125"/>
      <c r="N206" s="125"/>
      <c r="O206" s="123">
        <f t="shared" si="194"/>
        <v>0</v>
      </c>
      <c r="P206" s="118">
        <f t="shared" si="193"/>
        <v>0</v>
      </c>
      <c r="Q206" s="18"/>
      <c r="R206" s="44"/>
    </row>
    <row r="207" spans="1:18" ht="184.5" hidden="1" customHeight="1" thickTop="1" thickBot="1" x14ac:dyDescent="0.25">
      <c r="A207" s="119" t="s">
        <v>994</v>
      </c>
      <c r="B207" s="119" t="s">
        <v>995</v>
      </c>
      <c r="C207" s="119" t="s">
        <v>331</v>
      </c>
      <c r="D207" s="277" t="s">
        <v>996</v>
      </c>
      <c r="E207" s="118">
        <f t="shared" si="167"/>
        <v>0</v>
      </c>
      <c r="F207" s="125"/>
      <c r="G207" s="125"/>
      <c r="H207" s="125"/>
      <c r="I207" s="125"/>
      <c r="J207" s="118">
        <f t="shared" si="192"/>
        <v>0</v>
      </c>
      <c r="K207" s="125"/>
      <c r="L207" s="125"/>
      <c r="M207" s="125"/>
      <c r="N207" s="125"/>
      <c r="O207" s="123">
        <f t="shared" si="194"/>
        <v>0</v>
      </c>
      <c r="P207" s="118">
        <f t="shared" si="193"/>
        <v>0</v>
      </c>
      <c r="Q207" s="18"/>
      <c r="R207" s="44"/>
    </row>
    <row r="208" spans="1:18" ht="90.75" customHeight="1" thickTop="1" thickBot="1" x14ac:dyDescent="0.25">
      <c r="A208" s="239" t="s">
        <v>715</v>
      </c>
      <c r="B208" s="239" t="s">
        <v>713</v>
      </c>
      <c r="C208" s="239"/>
      <c r="D208" s="239" t="s">
        <v>714</v>
      </c>
      <c r="E208" s="501">
        <f>E209</f>
        <v>150000</v>
      </c>
      <c r="F208" s="501">
        <f t="shared" ref="F208:P208" si="197">F209</f>
        <v>0</v>
      </c>
      <c r="G208" s="501">
        <f t="shared" si="197"/>
        <v>0</v>
      </c>
      <c r="H208" s="501">
        <f t="shared" si="197"/>
        <v>0</v>
      </c>
      <c r="I208" s="501">
        <f t="shared" si="197"/>
        <v>150000</v>
      </c>
      <c r="J208" s="501">
        <f t="shared" si="197"/>
        <v>0</v>
      </c>
      <c r="K208" s="501">
        <f t="shared" si="197"/>
        <v>0</v>
      </c>
      <c r="L208" s="501">
        <f t="shared" si="197"/>
        <v>0</v>
      </c>
      <c r="M208" s="501">
        <f t="shared" si="197"/>
        <v>0</v>
      </c>
      <c r="N208" s="501">
        <f t="shared" si="197"/>
        <v>0</v>
      </c>
      <c r="O208" s="501">
        <f t="shared" si="197"/>
        <v>0</v>
      </c>
      <c r="P208" s="501">
        <f t="shared" si="197"/>
        <v>150000</v>
      </c>
      <c r="Q208" s="18"/>
      <c r="R208" s="44"/>
    </row>
    <row r="209" spans="1:18" ht="103.5" customHeight="1" thickTop="1" thickBot="1" x14ac:dyDescent="0.25">
      <c r="A209" s="508" t="s">
        <v>717</v>
      </c>
      <c r="B209" s="508" t="s">
        <v>659</v>
      </c>
      <c r="C209" s="508"/>
      <c r="D209" s="508" t="s">
        <v>657</v>
      </c>
      <c r="E209" s="524">
        <f>E211+E210</f>
        <v>150000</v>
      </c>
      <c r="F209" s="524">
        <f t="shared" ref="F209:I209" si="198">F211+F210</f>
        <v>0</v>
      </c>
      <c r="G209" s="524">
        <f t="shared" si="198"/>
        <v>0</v>
      </c>
      <c r="H209" s="524">
        <f t="shared" si="198"/>
        <v>0</v>
      </c>
      <c r="I209" s="524">
        <f t="shared" si="198"/>
        <v>150000</v>
      </c>
      <c r="J209" s="524">
        <f>J211+J210</f>
        <v>0</v>
      </c>
      <c r="K209" s="524">
        <f t="shared" ref="K209" si="199">K211+K210</f>
        <v>0</v>
      </c>
      <c r="L209" s="524">
        <f t="shared" ref="L209" si="200">L211+L210</f>
        <v>0</v>
      </c>
      <c r="M209" s="524">
        <f t="shared" ref="M209" si="201">M211+M210</f>
        <v>0</v>
      </c>
      <c r="N209" s="524">
        <f t="shared" ref="N209" si="202">N211+N210</f>
        <v>0</v>
      </c>
      <c r="O209" s="524">
        <f t="shared" ref="O209" si="203">O211+O210</f>
        <v>0</v>
      </c>
      <c r="P209" s="524">
        <f>P211+P210</f>
        <v>150000</v>
      </c>
      <c r="Q209" s="18"/>
      <c r="R209" s="44"/>
    </row>
    <row r="210" spans="1:18" ht="101.25" customHeight="1" thickTop="1" thickBot="1" x14ac:dyDescent="0.25">
      <c r="A210" s="94" t="s">
        <v>1160</v>
      </c>
      <c r="B210" s="94" t="s">
        <v>207</v>
      </c>
      <c r="C210" s="94" t="s">
        <v>208</v>
      </c>
      <c r="D210" s="94" t="s">
        <v>40</v>
      </c>
      <c r="E210" s="471">
        <f>F210+I210</f>
        <v>150000</v>
      </c>
      <c r="F210" s="504">
        <v>0</v>
      </c>
      <c r="G210" s="504"/>
      <c r="H210" s="504"/>
      <c r="I210" s="504">
        <f>((500000)+1500000)-1850000</f>
        <v>150000</v>
      </c>
      <c r="J210" s="501">
        <f t="shared" ref="J210" si="204">L210+O210</f>
        <v>0</v>
      </c>
      <c r="K210" s="504"/>
      <c r="L210" s="504"/>
      <c r="M210" s="504"/>
      <c r="N210" s="504"/>
      <c r="O210" s="502">
        <f t="shared" ref="O210" si="205">K210</f>
        <v>0</v>
      </c>
      <c r="P210" s="501">
        <f t="shared" ref="P210" si="206">E210+J210</f>
        <v>150000</v>
      </c>
      <c r="Q210" s="18"/>
      <c r="R210" s="44"/>
    </row>
    <row r="211" spans="1:18" ht="48" hidden="1" thickTop="1" thickBot="1" x14ac:dyDescent="0.25">
      <c r="A211" s="131" t="s">
        <v>716</v>
      </c>
      <c r="B211" s="131" t="s">
        <v>662</v>
      </c>
      <c r="C211" s="131"/>
      <c r="D211" s="143" t="s">
        <v>660</v>
      </c>
      <c r="E211" s="132">
        <f>E212</f>
        <v>0</v>
      </c>
      <c r="F211" s="132">
        <f t="shared" ref="F211:P211" si="207">F212</f>
        <v>0</v>
      </c>
      <c r="G211" s="132">
        <f t="shared" si="207"/>
        <v>0</v>
      </c>
      <c r="H211" s="132">
        <f t="shared" si="207"/>
        <v>0</v>
      </c>
      <c r="I211" s="132">
        <f t="shared" si="207"/>
        <v>0</v>
      </c>
      <c r="J211" s="132">
        <f t="shared" si="207"/>
        <v>0</v>
      </c>
      <c r="K211" s="132">
        <f t="shared" si="207"/>
        <v>0</v>
      </c>
      <c r="L211" s="132">
        <f t="shared" si="207"/>
        <v>0</v>
      </c>
      <c r="M211" s="132">
        <f t="shared" si="207"/>
        <v>0</v>
      </c>
      <c r="N211" s="132">
        <f t="shared" si="207"/>
        <v>0</v>
      </c>
      <c r="O211" s="132">
        <f t="shared" si="207"/>
        <v>0</v>
      </c>
      <c r="P211" s="132">
        <f t="shared" si="207"/>
        <v>0</v>
      </c>
      <c r="Q211" s="18"/>
      <c r="R211" s="44"/>
    </row>
    <row r="212" spans="1:18" ht="184.5" hidden="1" thickTop="1" thickBot="1" x14ac:dyDescent="0.7">
      <c r="A212" s="805" t="s">
        <v>412</v>
      </c>
      <c r="B212" s="805" t="s">
        <v>329</v>
      </c>
      <c r="C212" s="805" t="s">
        <v>165</v>
      </c>
      <c r="D212" s="144" t="s">
        <v>429</v>
      </c>
      <c r="E212" s="778">
        <f t="shared" si="167"/>
        <v>0</v>
      </c>
      <c r="F212" s="772"/>
      <c r="G212" s="772"/>
      <c r="H212" s="772"/>
      <c r="I212" s="772"/>
      <c r="J212" s="778">
        <f t="shared" si="192"/>
        <v>0</v>
      </c>
      <c r="K212" s="772"/>
      <c r="L212" s="772"/>
      <c r="M212" s="772"/>
      <c r="N212" s="772"/>
      <c r="O212" s="775">
        <f t="shared" si="194"/>
        <v>0</v>
      </c>
      <c r="P212" s="806">
        <f t="shared" si="193"/>
        <v>0</v>
      </c>
      <c r="Q212" s="18"/>
      <c r="R212" s="48"/>
    </row>
    <row r="213" spans="1:18" ht="93" hidden="1" thickTop="1" thickBot="1" x14ac:dyDescent="0.25">
      <c r="A213" s="773"/>
      <c r="B213" s="810"/>
      <c r="C213" s="773"/>
      <c r="D213" s="145" t="s">
        <v>430</v>
      </c>
      <c r="E213" s="773"/>
      <c r="F213" s="774"/>
      <c r="G213" s="774"/>
      <c r="H213" s="774"/>
      <c r="I213" s="774"/>
      <c r="J213" s="773"/>
      <c r="K213" s="773"/>
      <c r="L213" s="774"/>
      <c r="M213" s="774"/>
      <c r="N213" s="774"/>
      <c r="O213" s="776"/>
      <c r="P213" s="807"/>
      <c r="Q213" s="18"/>
      <c r="R213" s="48"/>
    </row>
    <row r="214" spans="1:18" ht="168.75" customHeight="1" thickTop="1" thickBot="1" x14ac:dyDescent="0.25">
      <c r="A214" s="514">
        <v>1000000</v>
      </c>
      <c r="B214" s="514"/>
      <c r="C214" s="514"/>
      <c r="D214" s="515" t="s">
        <v>24</v>
      </c>
      <c r="E214" s="516">
        <f>E215</f>
        <v>233027084</v>
      </c>
      <c r="F214" s="517">
        <f t="shared" ref="F214:G214" si="208">F215</f>
        <v>228237337</v>
      </c>
      <c r="G214" s="517">
        <f t="shared" si="208"/>
        <v>168111507</v>
      </c>
      <c r="H214" s="517">
        <f>H215</f>
        <v>8720850</v>
      </c>
      <c r="I214" s="517">
        <f>I215</f>
        <v>4789747</v>
      </c>
      <c r="J214" s="516">
        <f>J215</f>
        <v>17128356</v>
      </c>
      <c r="K214" s="517">
        <f>K215</f>
        <v>0</v>
      </c>
      <c r="L214" s="517">
        <f>L215</f>
        <v>16538126</v>
      </c>
      <c r="M214" s="517">
        <f t="shared" ref="M214" si="209">M215</f>
        <v>12419140</v>
      </c>
      <c r="N214" s="517">
        <f>N215</f>
        <v>489580</v>
      </c>
      <c r="O214" s="516">
        <f>O215</f>
        <v>590230</v>
      </c>
      <c r="P214" s="517">
        <f t="shared" ref="P214" si="210">P215</f>
        <v>250155440</v>
      </c>
      <c r="Q214" s="517">
        <f>O215-K215</f>
        <v>590230</v>
      </c>
    </row>
    <row r="215" spans="1:18" ht="168.75" customHeight="1" thickTop="1" thickBot="1" x14ac:dyDescent="0.25">
      <c r="A215" s="511">
        <v>1010000</v>
      </c>
      <c r="B215" s="511"/>
      <c r="C215" s="511"/>
      <c r="D215" s="512" t="s">
        <v>38</v>
      </c>
      <c r="E215" s="513">
        <f>E216+E218+E232+E226</f>
        <v>233027084</v>
      </c>
      <c r="F215" s="513">
        <f>F216+F218+F232+F226</f>
        <v>228237337</v>
      </c>
      <c r="G215" s="513">
        <f>G216+G218+G232+G226</f>
        <v>168111507</v>
      </c>
      <c r="H215" s="513">
        <f>H216+H218+H232+H226</f>
        <v>8720850</v>
      </c>
      <c r="I215" s="513">
        <f>I216+I218+I232+I226</f>
        <v>4789747</v>
      </c>
      <c r="J215" s="513">
        <f t="shared" ref="J215:J225" si="211">L215+O215</f>
        <v>17128356</v>
      </c>
      <c r="K215" s="513">
        <f>K216+K218+K232+K226</f>
        <v>0</v>
      </c>
      <c r="L215" s="513">
        <f>L216+L218+L232+L226</f>
        <v>16538126</v>
      </c>
      <c r="M215" s="513">
        <f>M216+M218+M232+M226</f>
        <v>12419140</v>
      </c>
      <c r="N215" s="513">
        <f>N216+N218+N232+N226</f>
        <v>489580</v>
      </c>
      <c r="O215" s="513">
        <f>O216+O218+O232+O226</f>
        <v>590230</v>
      </c>
      <c r="P215" s="513">
        <f t="shared" ref="P215:P225" si="212">E215+J215</f>
        <v>250155440</v>
      </c>
      <c r="Q215" s="546" t="b">
        <f>P215=P217+P219+P220+P221+P224+P225+P229+P222</f>
        <v>1</v>
      </c>
      <c r="R215" s="44"/>
    </row>
    <row r="216" spans="1:18" ht="95.25" customHeight="1" thickTop="1" thickBot="1" x14ac:dyDescent="0.25">
      <c r="A216" s="239" t="s">
        <v>718</v>
      </c>
      <c r="B216" s="239" t="s">
        <v>675</v>
      </c>
      <c r="C216" s="239"/>
      <c r="D216" s="239" t="s">
        <v>676</v>
      </c>
      <c r="E216" s="501">
        <f>E217</f>
        <v>134732077</v>
      </c>
      <c r="F216" s="501">
        <f t="shared" ref="F216:P216" si="213">F217</f>
        <v>133601077</v>
      </c>
      <c r="G216" s="501">
        <f t="shared" si="213"/>
        <v>103767847</v>
      </c>
      <c r="H216" s="501">
        <f t="shared" si="213"/>
        <v>4878355</v>
      </c>
      <c r="I216" s="501">
        <f t="shared" si="213"/>
        <v>1131000</v>
      </c>
      <c r="J216" s="501">
        <f t="shared" si="213"/>
        <v>15716576</v>
      </c>
      <c r="K216" s="501">
        <f t="shared" si="213"/>
        <v>0</v>
      </c>
      <c r="L216" s="501">
        <f t="shared" si="213"/>
        <v>15445226</v>
      </c>
      <c r="M216" s="501">
        <f t="shared" si="213"/>
        <v>11856690</v>
      </c>
      <c r="N216" s="501">
        <f t="shared" si="213"/>
        <v>401180</v>
      </c>
      <c r="O216" s="501">
        <f t="shared" si="213"/>
        <v>271350</v>
      </c>
      <c r="P216" s="501">
        <f t="shared" si="213"/>
        <v>150448653</v>
      </c>
      <c r="Q216" s="45"/>
      <c r="R216" s="44"/>
    </row>
    <row r="217" spans="1:18" ht="96" customHeight="1" thickTop="1" thickBot="1" x14ac:dyDescent="0.25">
      <c r="A217" s="94" t="s">
        <v>609</v>
      </c>
      <c r="B217" s="94" t="s">
        <v>610</v>
      </c>
      <c r="C217" s="94" t="s">
        <v>176</v>
      </c>
      <c r="D217" s="94" t="s">
        <v>1583</v>
      </c>
      <c r="E217" s="471">
        <f>F217+I217</f>
        <v>134732077</v>
      </c>
      <c r="F217" s="504">
        <f>((115943429-280000)+87381+100000+14231625+3130950)+32200+35000+20000+86100+15000+199392</f>
        <v>133601077</v>
      </c>
      <c r="G217" s="504">
        <f>(89536222)+14231625</f>
        <v>103767847</v>
      </c>
      <c r="H217" s="504">
        <f>3941825+52910+696910+134100+52610</f>
        <v>4878355</v>
      </c>
      <c r="I217" s="504">
        <f>(280000)+282000+310000+198000+61000</f>
        <v>1131000</v>
      </c>
      <c r="J217" s="501">
        <f t="shared" si="211"/>
        <v>15716576</v>
      </c>
      <c r="K217" s="125"/>
      <c r="L217" s="504">
        <f>(14389620)+867100+188506</f>
        <v>15445226</v>
      </c>
      <c r="M217" s="504">
        <f>(10989590)+867100</f>
        <v>11856690</v>
      </c>
      <c r="N217" s="504">
        <v>401180</v>
      </c>
      <c r="O217" s="502">
        <f>(K217+271350)</f>
        <v>271350</v>
      </c>
      <c r="P217" s="501">
        <f t="shared" si="212"/>
        <v>150448653</v>
      </c>
      <c r="Q217" s="18"/>
      <c r="R217" s="44"/>
    </row>
    <row r="218" spans="1:18" s="22" customFormat="1" ht="105.75" customHeight="1" thickTop="1" thickBot="1" x14ac:dyDescent="0.25">
      <c r="A218" s="239" t="s">
        <v>719</v>
      </c>
      <c r="B218" s="239" t="s">
        <v>720</v>
      </c>
      <c r="C218" s="239"/>
      <c r="D218" s="239" t="s">
        <v>721</v>
      </c>
      <c r="E218" s="501">
        <f t="shared" ref="E218:P218" si="214">SUM(E219:E225)-E223</f>
        <v>96838672</v>
      </c>
      <c r="F218" s="501">
        <f t="shared" si="214"/>
        <v>93179925</v>
      </c>
      <c r="G218" s="501">
        <f t="shared" si="214"/>
        <v>64343660</v>
      </c>
      <c r="H218" s="501">
        <f t="shared" si="214"/>
        <v>3842495</v>
      </c>
      <c r="I218" s="501">
        <f t="shared" si="214"/>
        <v>3658747</v>
      </c>
      <c r="J218" s="501">
        <f t="shared" si="214"/>
        <v>1411780</v>
      </c>
      <c r="K218" s="501">
        <f t="shared" si="214"/>
        <v>0</v>
      </c>
      <c r="L218" s="501">
        <f t="shared" si="214"/>
        <v>1092900</v>
      </c>
      <c r="M218" s="501">
        <f t="shared" si="214"/>
        <v>562450</v>
      </c>
      <c r="N218" s="501">
        <f t="shared" si="214"/>
        <v>88400</v>
      </c>
      <c r="O218" s="501">
        <f t="shared" si="214"/>
        <v>318880</v>
      </c>
      <c r="P218" s="501">
        <f t="shared" si="214"/>
        <v>98250452</v>
      </c>
      <c r="Q218" s="23"/>
      <c r="R218" s="48"/>
    </row>
    <row r="219" spans="1:18" ht="122.25" customHeight="1" thickTop="1" thickBot="1" x14ac:dyDescent="0.25">
      <c r="A219" s="94" t="s">
        <v>167</v>
      </c>
      <c r="B219" s="94" t="s">
        <v>168</v>
      </c>
      <c r="C219" s="94" t="s">
        <v>169</v>
      </c>
      <c r="D219" s="94" t="s">
        <v>170</v>
      </c>
      <c r="E219" s="471">
        <f>F219+I219</f>
        <v>23786566</v>
      </c>
      <c r="F219" s="504">
        <f>(22586769-63750)+16000+98800</f>
        <v>22637819</v>
      </c>
      <c r="G219" s="504">
        <v>16650500</v>
      </c>
      <c r="H219" s="504">
        <f>887200+16690+216000+30390+23720</f>
        <v>1174000</v>
      </c>
      <c r="I219" s="504">
        <f>((63750)+500000)+334000+250997</f>
        <v>1148747</v>
      </c>
      <c r="J219" s="501">
        <f t="shared" si="211"/>
        <v>240000</v>
      </c>
      <c r="K219" s="125"/>
      <c r="L219" s="504">
        <v>179000</v>
      </c>
      <c r="M219" s="504">
        <v>44000</v>
      </c>
      <c r="N219" s="504">
        <v>23300</v>
      </c>
      <c r="O219" s="502">
        <f>K219+61000</f>
        <v>61000</v>
      </c>
      <c r="P219" s="501">
        <f t="shared" si="212"/>
        <v>24026566</v>
      </c>
      <c r="Q219" s="18"/>
      <c r="R219" s="44"/>
    </row>
    <row r="220" spans="1:18" ht="112.5" customHeight="1" thickTop="1" thickBot="1" x14ac:dyDescent="0.25">
      <c r="A220" s="94" t="s">
        <v>171</v>
      </c>
      <c r="B220" s="94" t="s">
        <v>172</v>
      </c>
      <c r="C220" s="94" t="s">
        <v>169</v>
      </c>
      <c r="D220" s="94" t="s">
        <v>449</v>
      </c>
      <c r="E220" s="471">
        <f>F220+I220</f>
        <v>3680880</v>
      </c>
      <c r="F220" s="504">
        <f>((3488180)+45000)+147700</f>
        <v>3680880</v>
      </c>
      <c r="G220" s="504">
        <v>2354450</v>
      </c>
      <c r="H220" s="504">
        <f>358110+7860+182575+3990</f>
        <v>552535</v>
      </c>
      <c r="I220" s="504"/>
      <c r="J220" s="501">
        <f t="shared" si="211"/>
        <v>165000</v>
      </c>
      <c r="K220" s="125"/>
      <c r="L220" s="504">
        <v>148000</v>
      </c>
      <c r="M220" s="504">
        <v>34000</v>
      </c>
      <c r="N220" s="504">
        <v>18000</v>
      </c>
      <c r="O220" s="502">
        <f>K220+17000</f>
        <v>17000</v>
      </c>
      <c r="P220" s="501">
        <f t="shared" si="212"/>
        <v>3845880</v>
      </c>
      <c r="Q220" s="18"/>
      <c r="R220" s="44"/>
    </row>
    <row r="221" spans="1:18" ht="118.5" customHeight="1" thickTop="1" thickBot="1" x14ac:dyDescent="0.25">
      <c r="A221" s="94" t="s">
        <v>173</v>
      </c>
      <c r="B221" s="94" t="s">
        <v>166</v>
      </c>
      <c r="C221" s="94" t="s">
        <v>174</v>
      </c>
      <c r="D221" s="94" t="s">
        <v>175</v>
      </c>
      <c r="E221" s="471">
        <f>F221+I221</f>
        <v>27923712</v>
      </c>
      <c r="F221" s="504">
        <f>((25723034-190000)+27828)+172850</f>
        <v>25733712</v>
      </c>
      <c r="G221" s="504">
        <v>18409290</v>
      </c>
      <c r="H221" s="504">
        <f>954960+18230+896950+94870+60310</f>
        <v>2025320</v>
      </c>
      <c r="I221" s="504">
        <f>(190000)+2000000</f>
        <v>2190000</v>
      </c>
      <c r="J221" s="501">
        <f t="shared" si="211"/>
        <v>764900</v>
      </c>
      <c r="K221" s="125"/>
      <c r="L221" s="504">
        <v>671000</v>
      </c>
      <c r="M221" s="504">
        <v>461350</v>
      </c>
      <c r="N221" s="504">
        <v>47100</v>
      </c>
      <c r="O221" s="502">
        <f>(K221+93900)</f>
        <v>93900</v>
      </c>
      <c r="P221" s="501">
        <f t="shared" si="212"/>
        <v>28688612</v>
      </c>
      <c r="Q221" s="18"/>
      <c r="R221" s="44"/>
    </row>
    <row r="222" spans="1:18" ht="138.75" customHeight="1" thickTop="1" thickBot="1" x14ac:dyDescent="0.25">
      <c r="A222" s="94" t="s">
        <v>1074</v>
      </c>
      <c r="B222" s="94" t="s">
        <v>1075</v>
      </c>
      <c r="C222" s="94" t="s">
        <v>1077</v>
      </c>
      <c r="D222" s="94" t="s">
        <v>1076</v>
      </c>
      <c r="E222" s="521">
        <f>F222+I222</f>
        <v>165000</v>
      </c>
      <c r="F222" s="504">
        <v>165000</v>
      </c>
      <c r="G222" s="504"/>
      <c r="H222" s="504"/>
      <c r="I222" s="504"/>
      <c r="J222" s="501">
        <f t="shared" ref="J222" si="215">L222+O222</f>
        <v>0</v>
      </c>
      <c r="K222" s="504"/>
      <c r="L222" s="504"/>
      <c r="M222" s="504"/>
      <c r="N222" s="504"/>
      <c r="O222" s="502">
        <f>(K222)</f>
        <v>0</v>
      </c>
      <c r="P222" s="501">
        <f t="shared" ref="P222" si="216">E222+J222</f>
        <v>165000</v>
      </c>
      <c r="Q222" s="18"/>
      <c r="R222" s="44"/>
    </row>
    <row r="223" spans="1:18" ht="126" customHeight="1" thickTop="1" thickBot="1" x14ac:dyDescent="0.25">
      <c r="A223" s="518" t="s">
        <v>722</v>
      </c>
      <c r="B223" s="518" t="s">
        <v>723</v>
      </c>
      <c r="C223" s="518"/>
      <c r="D223" s="518" t="s">
        <v>724</v>
      </c>
      <c r="E223" s="519">
        <f>SUM(E224:E225)</f>
        <v>41282514</v>
      </c>
      <c r="F223" s="519">
        <f t="shared" ref="F223:P223" si="217">SUM(F224:F225)</f>
        <v>40962514</v>
      </c>
      <c r="G223" s="519">
        <f t="shared" si="217"/>
        <v>26929420</v>
      </c>
      <c r="H223" s="519">
        <f t="shared" si="217"/>
        <v>90640</v>
      </c>
      <c r="I223" s="519">
        <f t="shared" si="217"/>
        <v>320000</v>
      </c>
      <c r="J223" s="519">
        <f t="shared" si="217"/>
        <v>241880</v>
      </c>
      <c r="K223" s="519">
        <f t="shared" si="217"/>
        <v>0</v>
      </c>
      <c r="L223" s="519">
        <f t="shared" si="217"/>
        <v>94900</v>
      </c>
      <c r="M223" s="519">
        <f t="shared" si="217"/>
        <v>23100</v>
      </c>
      <c r="N223" s="519">
        <f t="shared" si="217"/>
        <v>0</v>
      </c>
      <c r="O223" s="519">
        <f t="shared" si="217"/>
        <v>146980</v>
      </c>
      <c r="P223" s="519">
        <f t="shared" si="217"/>
        <v>41524394</v>
      </c>
      <c r="Q223" s="18"/>
      <c r="R223" s="44"/>
    </row>
    <row r="224" spans="1:18" ht="119.25" customHeight="1" thickTop="1" thickBot="1" x14ac:dyDescent="0.25">
      <c r="A224" s="94" t="s">
        <v>324</v>
      </c>
      <c r="B224" s="94" t="s">
        <v>325</v>
      </c>
      <c r="C224" s="94" t="s">
        <v>177</v>
      </c>
      <c r="D224" s="94" t="s">
        <v>450</v>
      </c>
      <c r="E224" s="471">
        <f>F224+I224</f>
        <v>35726166</v>
      </c>
      <c r="F224" s="504">
        <f>(35207346)+518820</f>
        <v>35726166</v>
      </c>
      <c r="G224" s="504">
        <v>26929420</v>
      </c>
      <c r="H224" s="504">
        <f>80900+9500+240</f>
        <v>90640</v>
      </c>
      <c r="I224" s="125"/>
      <c r="J224" s="501">
        <f t="shared" si="211"/>
        <v>241880</v>
      </c>
      <c r="K224" s="125"/>
      <c r="L224" s="504">
        <v>94900</v>
      </c>
      <c r="M224" s="504">
        <v>23100</v>
      </c>
      <c r="N224" s="504"/>
      <c r="O224" s="502">
        <f>(K224+146980)</f>
        <v>146980</v>
      </c>
      <c r="P224" s="501">
        <f t="shared" si="212"/>
        <v>35968046</v>
      </c>
      <c r="Q224" s="18"/>
      <c r="R224" s="44"/>
    </row>
    <row r="225" spans="1:18" ht="121.5" customHeight="1" thickTop="1" thickBot="1" x14ac:dyDescent="0.25">
      <c r="A225" s="94" t="s">
        <v>326</v>
      </c>
      <c r="B225" s="94" t="s">
        <v>327</v>
      </c>
      <c r="C225" s="94" t="s">
        <v>177</v>
      </c>
      <c r="D225" s="94" t="s">
        <v>451</v>
      </c>
      <c r="E225" s="471">
        <f>F225+I225</f>
        <v>5556348</v>
      </c>
      <c r="F225" s="504">
        <f>5556348-320000</f>
        <v>5236348</v>
      </c>
      <c r="G225" s="125"/>
      <c r="H225" s="125"/>
      <c r="I225" s="504">
        <v>320000</v>
      </c>
      <c r="J225" s="501">
        <f t="shared" si="211"/>
        <v>0</v>
      </c>
      <c r="K225" s="504"/>
      <c r="L225" s="504"/>
      <c r="M225" s="504"/>
      <c r="N225" s="504"/>
      <c r="O225" s="502">
        <f t="shared" ref="O225" si="218">K225</f>
        <v>0</v>
      </c>
      <c r="P225" s="501">
        <f t="shared" si="212"/>
        <v>5556348</v>
      </c>
      <c r="Q225" s="18"/>
      <c r="R225" s="48"/>
    </row>
    <row r="226" spans="1:18" ht="101.25" customHeight="1" thickTop="1" thickBot="1" x14ac:dyDescent="0.25">
      <c r="A226" s="239" t="s">
        <v>871</v>
      </c>
      <c r="B226" s="239" t="s">
        <v>713</v>
      </c>
      <c r="C226" s="239"/>
      <c r="D226" s="239" t="s">
        <v>714</v>
      </c>
      <c r="E226" s="501">
        <f>SUM(E227)</f>
        <v>1456335</v>
      </c>
      <c r="F226" s="501">
        <f t="shared" ref="F226:P226" si="219">SUM(F227)</f>
        <v>1456335</v>
      </c>
      <c r="G226" s="501">
        <f t="shared" si="219"/>
        <v>0</v>
      </c>
      <c r="H226" s="501">
        <f t="shared" si="219"/>
        <v>0</v>
      </c>
      <c r="I226" s="501">
        <f t="shared" si="219"/>
        <v>0</v>
      </c>
      <c r="J226" s="501">
        <f t="shared" si="219"/>
        <v>0</v>
      </c>
      <c r="K226" s="501">
        <f t="shared" si="219"/>
        <v>0</v>
      </c>
      <c r="L226" s="501">
        <f t="shared" si="219"/>
        <v>0</v>
      </c>
      <c r="M226" s="501">
        <f t="shared" si="219"/>
        <v>0</v>
      </c>
      <c r="N226" s="501">
        <f t="shared" si="219"/>
        <v>0</v>
      </c>
      <c r="O226" s="501">
        <f t="shared" si="219"/>
        <v>0</v>
      </c>
      <c r="P226" s="501">
        <f t="shared" si="219"/>
        <v>1456335</v>
      </c>
      <c r="Q226" s="18"/>
      <c r="R226" s="48"/>
    </row>
    <row r="227" spans="1:18" ht="111.75" customHeight="1" thickTop="1" thickBot="1" x14ac:dyDescent="0.25">
      <c r="A227" s="508" t="s">
        <v>872</v>
      </c>
      <c r="B227" s="508" t="s">
        <v>659</v>
      </c>
      <c r="C227" s="508"/>
      <c r="D227" s="508" t="s">
        <v>657</v>
      </c>
      <c r="E227" s="524">
        <f>E228+E231+E230</f>
        <v>1456335</v>
      </c>
      <c r="F227" s="524">
        <f t="shared" ref="F227:P227" si="220">F228+F231+F230</f>
        <v>1456335</v>
      </c>
      <c r="G227" s="524">
        <f t="shared" si="220"/>
        <v>0</v>
      </c>
      <c r="H227" s="524">
        <f t="shared" si="220"/>
        <v>0</v>
      </c>
      <c r="I227" s="524">
        <f t="shared" si="220"/>
        <v>0</v>
      </c>
      <c r="J227" s="524">
        <f t="shared" si="220"/>
        <v>0</v>
      </c>
      <c r="K227" s="524">
        <f t="shared" si="220"/>
        <v>0</v>
      </c>
      <c r="L227" s="524">
        <f t="shared" si="220"/>
        <v>0</v>
      </c>
      <c r="M227" s="524">
        <f t="shared" si="220"/>
        <v>0</v>
      </c>
      <c r="N227" s="524">
        <f t="shared" si="220"/>
        <v>0</v>
      </c>
      <c r="O227" s="524">
        <f t="shared" si="220"/>
        <v>0</v>
      </c>
      <c r="P227" s="524">
        <f t="shared" si="220"/>
        <v>1456335</v>
      </c>
      <c r="Q227" s="18"/>
      <c r="R227" s="48"/>
    </row>
    <row r="228" spans="1:18" ht="105.75" customHeight="1" thickTop="1" thickBot="1" x14ac:dyDescent="0.25">
      <c r="A228" s="518" t="s">
        <v>956</v>
      </c>
      <c r="B228" s="518" t="s">
        <v>957</v>
      </c>
      <c r="C228" s="518"/>
      <c r="D228" s="518" t="s">
        <v>955</v>
      </c>
      <c r="E228" s="519">
        <f>E229</f>
        <v>1456335</v>
      </c>
      <c r="F228" s="519">
        <f t="shared" ref="F228:P228" si="221">F229</f>
        <v>1456335</v>
      </c>
      <c r="G228" s="519">
        <f t="shared" si="221"/>
        <v>0</v>
      </c>
      <c r="H228" s="519">
        <f t="shared" si="221"/>
        <v>0</v>
      </c>
      <c r="I228" s="519">
        <f t="shared" si="221"/>
        <v>0</v>
      </c>
      <c r="J228" s="519">
        <f t="shared" si="221"/>
        <v>0</v>
      </c>
      <c r="K228" s="519">
        <f t="shared" si="221"/>
        <v>0</v>
      </c>
      <c r="L228" s="519">
        <f t="shared" si="221"/>
        <v>0</v>
      </c>
      <c r="M228" s="519">
        <f t="shared" si="221"/>
        <v>0</v>
      </c>
      <c r="N228" s="519">
        <f t="shared" si="221"/>
        <v>0</v>
      </c>
      <c r="O228" s="519">
        <f t="shared" si="221"/>
        <v>0</v>
      </c>
      <c r="P228" s="519">
        <f t="shared" si="221"/>
        <v>1456335</v>
      </c>
      <c r="Q228" s="18"/>
      <c r="R228" s="48"/>
    </row>
    <row r="229" spans="1:18" ht="105.75" customHeight="1" thickTop="1" thickBot="1" x14ac:dyDescent="0.25">
      <c r="A229" s="94" t="s">
        <v>959</v>
      </c>
      <c r="B229" s="94" t="s">
        <v>960</v>
      </c>
      <c r="C229" s="94" t="s">
        <v>208</v>
      </c>
      <c r="D229" s="94" t="s">
        <v>958</v>
      </c>
      <c r="E229" s="521">
        <f>F229+I229</f>
        <v>1456335</v>
      </c>
      <c r="F229" s="504">
        <f>(1430035)+26300</f>
        <v>1456335</v>
      </c>
      <c r="G229" s="504"/>
      <c r="H229" s="504"/>
      <c r="I229" s="504"/>
      <c r="J229" s="501">
        <f>L229+O229</f>
        <v>0</v>
      </c>
      <c r="K229" s="504"/>
      <c r="L229" s="504"/>
      <c r="M229" s="504"/>
      <c r="N229" s="504"/>
      <c r="O229" s="502">
        <f>K229</f>
        <v>0</v>
      </c>
      <c r="P229" s="501">
        <f>E229+J229</f>
        <v>1456335</v>
      </c>
      <c r="Q229" s="18"/>
      <c r="R229" s="48"/>
    </row>
    <row r="230" spans="1:18" ht="48" hidden="1" thickTop="1" thickBot="1" x14ac:dyDescent="0.25">
      <c r="A230" s="119" t="s">
        <v>1131</v>
      </c>
      <c r="B230" s="119" t="s">
        <v>207</v>
      </c>
      <c r="C230" s="119" t="s">
        <v>208</v>
      </c>
      <c r="D230" s="119" t="s">
        <v>40</v>
      </c>
      <c r="E230" s="118">
        <f t="shared" ref="E230" si="222">F230</f>
        <v>0</v>
      </c>
      <c r="F230" s="125"/>
      <c r="G230" s="125"/>
      <c r="H230" s="125"/>
      <c r="I230" s="125"/>
      <c r="J230" s="118">
        <f>L230+O230</f>
        <v>0</v>
      </c>
      <c r="K230" s="125"/>
      <c r="L230" s="125"/>
      <c r="M230" s="125"/>
      <c r="N230" s="125"/>
      <c r="O230" s="123">
        <f>K230</f>
        <v>0</v>
      </c>
      <c r="P230" s="118">
        <f>E230+J230</f>
        <v>0</v>
      </c>
      <c r="Q230" s="18"/>
      <c r="R230" s="48"/>
    </row>
    <row r="231" spans="1:18" ht="48" hidden="1" thickTop="1" thickBot="1" x14ac:dyDescent="0.25">
      <c r="A231" s="119" t="s">
        <v>873</v>
      </c>
      <c r="B231" s="119" t="s">
        <v>192</v>
      </c>
      <c r="C231" s="119" t="s">
        <v>165</v>
      </c>
      <c r="D231" s="119" t="s">
        <v>33</v>
      </c>
      <c r="E231" s="118">
        <f t="shared" ref="E231" si="223">F231</f>
        <v>0</v>
      </c>
      <c r="F231" s="125"/>
      <c r="G231" s="125"/>
      <c r="H231" s="125"/>
      <c r="I231" s="125"/>
      <c r="J231" s="118">
        <f t="shared" ref="J231" si="224">L231+O231</f>
        <v>0</v>
      </c>
      <c r="K231" s="125"/>
      <c r="L231" s="125"/>
      <c r="M231" s="125"/>
      <c r="N231" s="125"/>
      <c r="O231" s="123">
        <f t="shared" ref="O231" si="225">K231</f>
        <v>0</v>
      </c>
      <c r="P231" s="118">
        <f t="shared" ref="P231" si="226">E231+J231</f>
        <v>0</v>
      </c>
      <c r="Q231" s="18"/>
      <c r="R231" s="44"/>
    </row>
    <row r="232" spans="1:18" ht="47.25" hidden="1" thickTop="1" thickBot="1" x14ac:dyDescent="0.25">
      <c r="A232" s="137" t="s">
        <v>725</v>
      </c>
      <c r="B232" s="137" t="s">
        <v>669</v>
      </c>
      <c r="C232" s="137"/>
      <c r="D232" s="137" t="s">
        <v>670</v>
      </c>
      <c r="E232" s="40">
        <f>E233</f>
        <v>0</v>
      </c>
      <c r="F232" s="40">
        <f t="shared" ref="F232:P233" si="227">F233</f>
        <v>0</v>
      </c>
      <c r="G232" s="40">
        <f t="shared" si="227"/>
        <v>0</v>
      </c>
      <c r="H232" s="40">
        <f t="shared" si="227"/>
        <v>0</v>
      </c>
      <c r="I232" s="40">
        <f t="shared" si="227"/>
        <v>0</v>
      </c>
      <c r="J232" s="40">
        <f t="shared" si="227"/>
        <v>0</v>
      </c>
      <c r="K232" s="40">
        <f t="shared" si="227"/>
        <v>0</v>
      </c>
      <c r="L232" s="40">
        <f t="shared" si="227"/>
        <v>0</v>
      </c>
      <c r="M232" s="40">
        <f t="shared" si="227"/>
        <v>0</v>
      </c>
      <c r="N232" s="40">
        <f t="shared" si="227"/>
        <v>0</v>
      </c>
      <c r="O232" s="40">
        <f t="shared" si="227"/>
        <v>0</v>
      </c>
      <c r="P232" s="40">
        <f t="shared" si="227"/>
        <v>0</v>
      </c>
      <c r="Q232" s="18"/>
      <c r="R232" s="48"/>
    </row>
    <row r="233" spans="1:18" ht="91.5" hidden="1" thickTop="1" thickBot="1" x14ac:dyDescent="0.25">
      <c r="A233" s="138" t="s">
        <v>726</v>
      </c>
      <c r="B233" s="138" t="s">
        <v>672</v>
      </c>
      <c r="C233" s="138"/>
      <c r="D233" s="138" t="s">
        <v>673</v>
      </c>
      <c r="E233" s="139">
        <f>E234</f>
        <v>0</v>
      </c>
      <c r="F233" s="139">
        <f t="shared" si="227"/>
        <v>0</v>
      </c>
      <c r="G233" s="139">
        <f t="shared" si="227"/>
        <v>0</v>
      </c>
      <c r="H233" s="139">
        <f t="shared" si="227"/>
        <v>0</v>
      </c>
      <c r="I233" s="139">
        <f t="shared" si="227"/>
        <v>0</v>
      </c>
      <c r="J233" s="139">
        <f t="shared" si="227"/>
        <v>0</v>
      </c>
      <c r="K233" s="139">
        <f t="shared" si="227"/>
        <v>0</v>
      </c>
      <c r="L233" s="139">
        <f t="shared" si="227"/>
        <v>0</v>
      </c>
      <c r="M233" s="139">
        <f t="shared" si="227"/>
        <v>0</v>
      </c>
      <c r="N233" s="139">
        <f t="shared" si="227"/>
        <v>0</v>
      </c>
      <c r="O233" s="139">
        <f t="shared" si="227"/>
        <v>0</v>
      </c>
      <c r="P233" s="139">
        <f t="shared" si="227"/>
        <v>0</v>
      </c>
      <c r="Q233" s="18"/>
      <c r="R233" s="48"/>
    </row>
    <row r="234" spans="1:18" ht="48" hidden="1" thickTop="1" thickBot="1" x14ac:dyDescent="0.25">
      <c r="A234" s="39" t="s">
        <v>561</v>
      </c>
      <c r="B234" s="39" t="s">
        <v>353</v>
      </c>
      <c r="C234" s="39" t="s">
        <v>42</v>
      </c>
      <c r="D234" s="39" t="s">
        <v>354</v>
      </c>
      <c r="E234" s="40">
        <f t="shared" ref="E234" si="228">F234</f>
        <v>0</v>
      </c>
      <c r="F234" s="41">
        <v>0</v>
      </c>
      <c r="G234" s="41"/>
      <c r="H234" s="41"/>
      <c r="I234" s="41"/>
      <c r="J234" s="40">
        <f>L234+O234</f>
        <v>0</v>
      </c>
      <c r="K234" s="41"/>
      <c r="L234" s="41"/>
      <c r="M234" s="41"/>
      <c r="N234" s="41"/>
      <c r="O234" s="42">
        <f>K234</f>
        <v>0</v>
      </c>
      <c r="P234" s="40">
        <f>E234+J234</f>
        <v>0</v>
      </c>
      <c r="Q234" s="18"/>
      <c r="R234" s="48"/>
    </row>
    <row r="235" spans="1:18" ht="159" customHeight="1" thickTop="1" thickBot="1" x14ac:dyDescent="0.25">
      <c r="A235" s="514" t="s">
        <v>22</v>
      </c>
      <c r="B235" s="514"/>
      <c r="C235" s="514"/>
      <c r="D235" s="515" t="s">
        <v>23</v>
      </c>
      <c r="E235" s="516">
        <f>E236</f>
        <v>168500895.68000001</v>
      </c>
      <c r="F235" s="517">
        <f t="shared" ref="F235:G235" si="229">F236</f>
        <v>163714635.86000001</v>
      </c>
      <c r="G235" s="517">
        <f t="shared" si="229"/>
        <v>63098576</v>
      </c>
      <c r="H235" s="517">
        <f>H236</f>
        <v>4605854</v>
      </c>
      <c r="I235" s="517">
        <f t="shared" ref="I235" si="230">I236</f>
        <v>4786259.82</v>
      </c>
      <c r="J235" s="516">
        <f>J236</f>
        <v>2621245</v>
      </c>
      <c r="K235" s="517">
        <f>K236</f>
        <v>0</v>
      </c>
      <c r="L235" s="517">
        <f>L236</f>
        <v>2621245</v>
      </c>
      <c r="M235" s="517">
        <f t="shared" ref="M235" si="231">M236</f>
        <v>931047</v>
      </c>
      <c r="N235" s="517">
        <f>N236</f>
        <v>541201</v>
      </c>
      <c r="O235" s="516">
        <f>O236</f>
        <v>0</v>
      </c>
      <c r="P235" s="517">
        <f t="shared" ref="P235" si="232">P236</f>
        <v>171122140.68000001</v>
      </c>
      <c r="Q235" s="517">
        <f>O236-K236</f>
        <v>0</v>
      </c>
    </row>
    <row r="236" spans="1:18" ht="156" customHeight="1" thickTop="1" thickBot="1" x14ac:dyDescent="0.25">
      <c r="A236" s="511" t="s">
        <v>21</v>
      </c>
      <c r="B236" s="511"/>
      <c r="C236" s="511"/>
      <c r="D236" s="512" t="s">
        <v>34</v>
      </c>
      <c r="E236" s="513">
        <f>E237+E243+E259+E262+E269</f>
        <v>168500895.68000001</v>
      </c>
      <c r="F236" s="513">
        <f>F237+F243+F259+F262+F269</f>
        <v>163714635.86000001</v>
      </c>
      <c r="G236" s="513">
        <f>G237+G243+G259+G262+G269</f>
        <v>63098576</v>
      </c>
      <c r="H236" s="513">
        <f>H237+H243+H259+H262+H269</f>
        <v>4605854</v>
      </c>
      <c r="I236" s="513">
        <f>I237+I243+I259+I262+I269</f>
        <v>4786259.82</v>
      </c>
      <c r="J236" s="513">
        <f>L236+O236</f>
        <v>2621245</v>
      </c>
      <c r="K236" s="513">
        <f>K237+K243+K259+K262+K269</f>
        <v>0</v>
      </c>
      <c r="L236" s="513">
        <f>L237+L243+L259+L262+L269</f>
        <v>2621245</v>
      </c>
      <c r="M236" s="513">
        <f>M237+M243+M259+M262+M269</f>
        <v>931047</v>
      </c>
      <c r="N236" s="513">
        <f>N237+N243+N259+N262+N269</f>
        <v>541201</v>
      </c>
      <c r="O236" s="513">
        <f>O237+O243+O259+O262+O269</f>
        <v>0</v>
      </c>
      <c r="P236" s="513">
        <f>E236+J236</f>
        <v>171122140.68000001</v>
      </c>
      <c r="Q236" s="546" t="b">
        <f>P236=P241+P242+P245+P246+P248+P250+P251+P255+P256+P257+P261+P271</f>
        <v>1</v>
      </c>
      <c r="R236" s="44"/>
    </row>
    <row r="237" spans="1:18" ht="96" customHeight="1" thickTop="1" thickBot="1" x14ac:dyDescent="0.25">
      <c r="A237" s="239" t="s">
        <v>727</v>
      </c>
      <c r="B237" s="239" t="s">
        <v>678</v>
      </c>
      <c r="C237" s="239"/>
      <c r="D237" s="239" t="s">
        <v>679</v>
      </c>
      <c r="E237" s="510">
        <f>SUM(E238:E242)-E238-E240</f>
        <v>19053698</v>
      </c>
      <c r="F237" s="510">
        <f t="shared" ref="F237:P237" si="233">SUM(F238:F242)-F238-F240</f>
        <v>18190899.18</v>
      </c>
      <c r="G237" s="510">
        <f t="shared" si="233"/>
        <v>7483779</v>
      </c>
      <c r="H237" s="510">
        <f t="shared" si="233"/>
        <v>971223</v>
      </c>
      <c r="I237" s="510">
        <f t="shared" si="233"/>
        <v>862798.82000000007</v>
      </c>
      <c r="J237" s="510">
        <f t="shared" si="233"/>
        <v>860000</v>
      </c>
      <c r="K237" s="510">
        <f t="shared" si="233"/>
        <v>0</v>
      </c>
      <c r="L237" s="510">
        <f t="shared" si="233"/>
        <v>860000</v>
      </c>
      <c r="M237" s="510">
        <f t="shared" si="233"/>
        <v>343610</v>
      </c>
      <c r="N237" s="510">
        <f t="shared" si="233"/>
        <v>213450</v>
      </c>
      <c r="O237" s="510">
        <f t="shared" si="233"/>
        <v>0</v>
      </c>
      <c r="P237" s="510">
        <f t="shared" si="233"/>
        <v>19913698</v>
      </c>
      <c r="Q237" s="45"/>
      <c r="R237" s="44"/>
    </row>
    <row r="238" spans="1:18" s="31" customFormat="1" ht="48" hidden="1" thickTop="1" thickBot="1" x14ac:dyDescent="0.25">
      <c r="A238" s="131" t="s">
        <v>728</v>
      </c>
      <c r="B238" s="131" t="s">
        <v>729</v>
      </c>
      <c r="C238" s="131"/>
      <c r="D238" s="131" t="s">
        <v>730</v>
      </c>
      <c r="E238" s="350">
        <f>E239</f>
        <v>0</v>
      </c>
      <c r="F238" s="350">
        <f t="shared" ref="F238:P238" si="234">F239</f>
        <v>0</v>
      </c>
      <c r="G238" s="350">
        <f t="shared" si="234"/>
        <v>0</v>
      </c>
      <c r="H238" s="350">
        <f t="shared" si="234"/>
        <v>0</v>
      </c>
      <c r="I238" s="350">
        <f t="shared" si="234"/>
        <v>0</v>
      </c>
      <c r="J238" s="350">
        <f t="shared" si="234"/>
        <v>0</v>
      </c>
      <c r="K238" s="350">
        <f t="shared" si="234"/>
        <v>0</v>
      </c>
      <c r="L238" s="350">
        <f t="shared" si="234"/>
        <v>0</v>
      </c>
      <c r="M238" s="350">
        <f t="shared" si="234"/>
        <v>0</v>
      </c>
      <c r="N238" s="350">
        <f t="shared" si="234"/>
        <v>0</v>
      </c>
      <c r="O238" s="350">
        <f t="shared" si="234"/>
        <v>0</v>
      </c>
      <c r="P238" s="350">
        <f t="shared" si="234"/>
        <v>0</v>
      </c>
      <c r="Q238" s="146"/>
      <c r="R238" s="50"/>
    </row>
    <row r="239" spans="1:18" ht="48" hidden="1" thickTop="1" thickBot="1" x14ac:dyDescent="0.25">
      <c r="A239" s="119" t="s">
        <v>178</v>
      </c>
      <c r="B239" s="119" t="s">
        <v>179</v>
      </c>
      <c r="C239" s="119" t="s">
        <v>180</v>
      </c>
      <c r="D239" s="119" t="s">
        <v>611</v>
      </c>
      <c r="E239" s="142">
        <f t="shared" ref="E239" si="235">F239</f>
        <v>0</v>
      </c>
      <c r="F239" s="120">
        <f>(6040461)-6040461</f>
        <v>0</v>
      </c>
      <c r="G239" s="120">
        <f>(4559615)-4559615</f>
        <v>0</v>
      </c>
      <c r="H239" s="120">
        <f>(96665+5295+31600+3840)-137400</f>
        <v>0</v>
      </c>
      <c r="I239" s="120"/>
      <c r="J239" s="118">
        <f t="shared" ref="J239:J268" si="236">L239+O239</f>
        <v>0</v>
      </c>
      <c r="K239" s="120"/>
      <c r="L239" s="121"/>
      <c r="M239" s="121"/>
      <c r="N239" s="121"/>
      <c r="O239" s="123">
        <f t="shared" ref="O239:O268" si="237">K239</f>
        <v>0</v>
      </c>
      <c r="P239" s="118">
        <f>+J239+E239</f>
        <v>0</v>
      </c>
      <c r="Q239" s="48"/>
      <c r="R239" s="48"/>
    </row>
    <row r="240" spans="1:18" s="31" customFormat="1" ht="114.75" customHeight="1" thickTop="1" thickBot="1" x14ac:dyDescent="0.25">
      <c r="A240" s="518" t="s">
        <v>731</v>
      </c>
      <c r="B240" s="518" t="s">
        <v>732</v>
      </c>
      <c r="C240" s="518"/>
      <c r="D240" s="518" t="s">
        <v>1299</v>
      </c>
      <c r="E240" s="543">
        <f>SUM(E241:E242)</f>
        <v>19053698</v>
      </c>
      <c r="F240" s="543">
        <f t="shared" ref="F240:P240" si="238">SUM(F241:F242)</f>
        <v>18190899.18</v>
      </c>
      <c r="G240" s="543">
        <f t="shared" si="238"/>
        <v>7483779</v>
      </c>
      <c r="H240" s="543">
        <f t="shared" si="238"/>
        <v>971223</v>
      </c>
      <c r="I240" s="543">
        <f t="shared" si="238"/>
        <v>862798.82000000007</v>
      </c>
      <c r="J240" s="543">
        <f t="shared" si="238"/>
        <v>860000</v>
      </c>
      <c r="K240" s="543">
        <f t="shared" si="238"/>
        <v>0</v>
      </c>
      <c r="L240" s="543">
        <f>SUM(L241:L242)</f>
        <v>860000</v>
      </c>
      <c r="M240" s="543">
        <f t="shared" si="238"/>
        <v>343610</v>
      </c>
      <c r="N240" s="543">
        <f t="shared" si="238"/>
        <v>213450</v>
      </c>
      <c r="O240" s="543">
        <f t="shared" si="238"/>
        <v>0</v>
      </c>
      <c r="P240" s="543">
        <f t="shared" si="238"/>
        <v>19913698</v>
      </c>
      <c r="Q240" s="49"/>
      <c r="R240" s="49"/>
    </row>
    <row r="241" spans="1:18" ht="124.5" customHeight="1" thickTop="1" thickBot="1" x14ac:dyDescent="0.25">
      <c r="A241" s="94" t="s">
        <v>184</v>
      </c>
      <c r="B241" s="94" t="s">
        <v>185</v>
      </c>
      <c r="C241" s="94" t="s">
        <v>180</v>
      </c>
      <c r="D241" s="94" t="s">
        <v>1390</v>
      </c>
      <c r="E241" s="471">
        <f t="shared" ref="E241:E242" si="239">F241+I241</f>
        <v>7543216</v>
      </c>
      <c r="F241" s="520">
        <f>(6592881)+900335</f>
        <v>7493216</v>
      </c>
      <c r="G241" s="520">
        <f>(4266876)+738530</f>
        <v>5005406</v>
      </c>
      <c r="H241" s="520">
        <f>488730+9412+280000+2675</f>
        <v>780817</v>
      </c>
      <c r="I241" s="520">
        <f>(0)+50000</f>
        <v>50000</v>
      </c>
      <c r="J241" s="501">
        <f t="shared" si="236"/>
        <v>860000</v>
      </c>
      <c r="K241" s="520"/>
      <c r="L241" s="522">
        <v>860000</v>
      </c>
      <c r="M241" s="522">
        <v>343610</v>
      </c>
      <c r="N241" s="522">
        <v>213450</v>
      </c>
      <c r="O241" s="502">
        <f>(K241+0)</f>
        <v>0</v>
      </c>
      <c r="P241" s="501">
        <f t="shared" ref="P241:P268" si="240">E241+J241</f>
        <v>8403216</v>
      </c>
      <c r="Q241" s="18"/>
      <c r="R241" s="44"/>
    </row>
    <row r="242" spans="1:18" ht="111.75" customHeight="1" thickTop="1" thickBot="1" x14ac:dyDescent="0.25">
      <c r="A242" s="94" t="s">
        <v>342</v>
      </c>
      <c r="B242" s="94" t="s">
        <v>343</v>
      </c>
      <c r="C242" s="94" t="s">
        <v>180</v>
      </c>
      <c r="D242" s="94" t="s">
        <v>1391</v>
      </c>
      <c r="E242" s="471">
        <f t="shared" si="239"/>
        <v>11510482</v>
      </c>
      <c r="F242" s="520">
        <f>(10641911-30000)+30000+18600+37172.18</f>
        <v>10697683.18</v>
      </c>
      <c r="G242" s="520">
        <v>2478373</v>
      </c>
      <c r="H242" s="520">
        <f>100540+6560+79706+3600</f>
        <v>190406</v>
      </c>
      <c r="I242" s="520">
        <f>(30000)-30000+312798.82+500000</f>
        <v>812798.82000000007</v>
      </c>
      <c r="J242" s="501">
        <f t="shared" si="236"/>
        <v>0</v>
      </c>
      <c r="K242" s="120"/>
      <c r="L242" s="121"/>
      <c r="M242" s="121"/>
      <c r="N242" s="121"/>
      <c r="O242" s="502">
        <f>K242+0</f>
        <v>0</v>
      </c>
      <c r="P242" s="501">
        <f t="shared" si="240"/>
        <v>11510482</v>
      </c>
      <c r="Q242" s="18"/>
      <c r="R242" s="44"/>
    </row>
    <row r="243" spans="1:18" ht="78.75" customHeight="1" thickTop="1" thickBot="1" x14ac:dyDescent="0.25">
      <c r="A243" s="239" t="s">
        <v>733</v>
      </c>
      <c r="B243" s="239" t="s">
        <v>734</v>
      </c>
      <c r="C243" s="94"/>
      <c r="D243" s="239" t="s">
        <v>735</v>
      </c>
      <c r="E243" s="521">
        <f>SUM(E244:E258)-E244-E247-E249-E254-E252</f>
        <v>149171917.68000001</v>
      </c>
      <c r="F243" s="521">
        <f t="shared" ref="F243:G243" si="241">SUM(F244:F258)-F244-F247-F249-F254-F252</f>
        <v>145463736.68000001</v>
      </c>
      <c r="G243" s="521">
        <f t="shared" si="241"/>
        <v>55614797</v>
      </c>
      <c r="H243" s="521">
        <f>SUM(H244:H258)-H244-H247-H249-H254-H252</f>
        <v>3634631</v>
      </c>
      <c r="I243" s="521">
        <f t="shared" ref="I243:O243" si="242">SUM(I244:I258)-I244-I247-I249-I254-I252</f>
        <v>3708181</v>
      </c>
      <c r="J243" s="521">
        <f t="shared" si="242"/>
        <v>1761245</v>
      </c>
      <c r="K243" s="521">
        <f t="shared" si="242"/>
        <v>0</v>
      </c>
      <c r="L243" s="521">
        <f t="shared" si="242"/>
        <v>1761245</v>
      </c>
      <c r="M243" s="521">
        <f t="shared" si="242"/>
        <v>587437</v>
      </c>
      <c r="N243" s="521">
        <f t="shared" si="242"/>
        <v>327751</v>
      </c>
      <c r="O243" s="521">
        <f t="shared" si="242"/>
        <v>0</v>
      </c>
      <c r="P243" s="521">
        <f t="shared" ref="P243" si="243">SUM(P244:P257)-P244-P247-P249-P254-P252</f>
        <v>150933162.68000001</v>
      </c>
      <c r="Q243" s="18"/>
      <c r="R243" s="44"/>
    </row>
    <row r="244" spans="1:18" s="31" customFormat="1" ht="86.25" customHeight="1" thickTop="1" thickBot="1" x14ac:dyDescent="0.25">
      <c r="A244" s="518" t="s">
        <v>736</v>
      </c>
      <c r="B244" s="518" t="s">
        <v>737</v>
      </c>
      <c r="C244" s="518"/>
      <c r="D244" s="518" t="s">
        <v>738</v>
      </c>
      <c r="E244" s="543">
        <f>SUM(E245:E246)</f>
        <v>49630289.619999997</v>
      </c>
      <c r="F244" s="543">
        <f t="shared" ref="F244:P244" si="244">SUM(F245:F246)</f>
        <v>49630289.619999997</v>
      </c>
      <c r="G244" s="543">
        <f t="shared" si="244"/>
        <v>0</v>
      </c>
      <c r="H244" s="543">
        <f t="shared" si="244"/>
        <v>0</v>
      </c>
      <c r="I244" s="543">
        <f t="shared" si="244"/>
        <v>0</v>
      </c>
      <c r="J244" s="543">
        <f t="shared" si="244"/>
        <v>0</v>
      </c>
      <c r="K244" s="543">
        <f t="shared" si="244"/>
        <v>0</v>
      </c>
      <c r="L244" s="543">
        <f t="shared" si="244"/>
        <v>0</v>
      </c>
      <c r="M244" s="543">
        <f t="shared" si="244"/>
        <v>0</v>
      </c>
      <c r="N244" s="543">
        <f t="shared" si="244"/>
        <v>0</v>
      </c>
      <c r="O244" s="543">
        <f t="shared" si="244"/>
        <v>0</v>
      </c>
      <c r="P244" s="543">
        <f t="shared" si="244"/>
        <v>49630289.619999997</v>
      </c>
      <c r="Q244" s="34"/>
      <c r="R244" s="50"/>
    </row>
    <row r="245" spans="1:18" ht="93" thickTop="1" thickBot="1" x14ac:dyDescent="0.25">
      <c r="A245" s="94" t="s">
        <v>43</v>
      </c>
      <c r="B245" s="94" t="s">
        <v>181</v>
      </c>
      <c r="C245" s="94" t="s">
        <v>190</v>
      </c>
      <c r="D245" s="94" t="s">
        <v>44</v>
      </c>
      <c r="E245" s="471">
        <f>F245+I245</f>
        <v>44327495</v>
      </c>
      <c r="F245" s="520">
        <v>44327495</v>
      </c>
      <c r="G245" s="125"/>
      <c r="H245" s="125"/>
      <c r="I245" s="125"/>
      <c r="J245" s="501">
        <f t="shared" si="236"/>
        <v>0</v>
      </c>
      <c r="K245" s="125"/>
      <c r="L245" s="125"/>
      <c r="M245" s="125"/>
      <c r="N245" s="125"/>
      <c r="O245" s="502">
        <f t="shared" si="237"/>
        <v>0</v>
      </c>
      <c r="P245" s="501">
        <f t="shared" si="240"/>
        <v>44327495</v>
      </c>
      <c r="Q245" s="18"/>
      <c r="R245" s="44"/>
    </row>
    <row r="246" spans="1:18" ht="111.75" customHeight="1" thickTop="1" thickBot="1" x14ac:dyDescent="0.25">
      <c r="A246" s="94" t="s">
        <v>45</v>
      </c>
      <c r="B246" s="94" t="s">
        <v>182</v>
      </c>
      <c r="C246" s="94" t="s">
        <v>190</v>
      </c>
      <c r="D246" s="94" t="s">
        <v>4</v>
      </c>
      <c r="E246" s="471">
        <f>F246+I246</f>
        <v>5302794.62</v>
      </c>
      <c r="F246" s="520">
        <v>5302794.62</v>
      </c>
      <c r="G246" s="125"/>
      <c r="H246" s="125"/>
      <c r="I246" s="125"/>
      <c r="J246" s="501">
        <f t="shared" si="236"/>
        <v>0</v>
      </c>
      <c r="K246" s="125"/>
      <c r="L246" s="125"/>
      <c r="M246" s="125"/>
      <c r="N246" s="125"/>
      <c r="O246" s="502">
        <f t="shared" si="237"/>
        <v>0</v>
      </c>
      <c r="P246" s="501">
        <f t="shared" si="240"/>
        <v>5302794.62</v>
      </c>
      <c r="Q246" s="18"/>
      <c r="R246" s="44"/>
    </row>
    <row r="247" spans="1:18" s="31" customFormat="1" ht="121.7" customHeight="1" thickTop="1" thickBot="1" x14ac:dyDescent="0.25">
      <c r="A247" s="518" t="s">
        <v>739</v>
      </c>
      <c r="B247" s="518" t="s">
        <v>740</v>
      </c>
      <c r="C247" s="518"/>
      <c r="D247" s="518" t="s">
        <v>741</v>
      </c>
      <c r="E247" s="543">
        <f>E248</f>
        <v>1000464</v>
      </c>
      <c r="F247" s="543">
        <f t="shared" ref="F247:P247" si="245">F248</f>
        <v>1000464</v>
      </c>
      <c r="G247" s="543">
        <f t="shared" si="245"/>
        <v>0</v>
      </c>
      <c r="H247" s="543">
        <f t="shared" si="245"/>
        <v>0</v>
      </c>
      <c r="I247" s="543">
        <f t="shared" si="245"/>
        <v>0</v>
      </c>
      <c r="J247" s="543">
        <f t="shared" si="245"/>
        <v>0</v>
      </c>
      <c r="K247" s="543">
        <f t="shared" si="245"/>
        <v>0</v>
      </c>
      <c r="L247" s="543">
        <f t="shared" si="245"/>
        <v>0</v>
      </c>
      <c r="M247" s="543">
        <f t="shared" si="245"/>
        <v>0</v>
      </c>
      <c r="N247" s="543">
        <f t="shared" si="245"/>
        <v>0</v>
      </c>
      <c r="O247" s="543">
        <f t="shared" si="245"/>
        <v>0</v>
      </c>
      <c r="P247" s="543">
        <f t="shared" si="245"/>
        <v>1000464</v>
      </c>
      <c r="Q247" s="34"/>
      <c r="R247" s="51"/>
    </row>
    <row r="248" spans="1:18" ht="114.75" customHeight="1" thickTop="1" thickBot="1" x14ac:dyDescent="0.25">
      <c r="A248" s="94" t="s">
        <v>46</v>
      </c>
      <c r="B248" s="94" t="s">
        <v>183</v>
      </c>
      <c r="C248" s="94" t="s">
        <v>190</v>
      </c>
      <c r="D248" s="94" t="s">
        <v>340</v>
      </c>
      <c r="E248" s="521">
        <f>F248+I248</f>
        <v>1000464</v>
      </c>
      <c r="F248" s="520">
        <f>((231464)+550000)+219000</f>
        <v>1000464</v>
      </c>
      <c r="G248" s="120"/>
      <c r="H248" s="120"/>
      <c r="I248" s="125"/>
      <c r="J248" s="501">
        <f t="shared" si="236"/>
        <v>0</v>
      </c>
      <c r="K248" s="125"/>
      <c r="L248" s="120"/>
      <c r="M248" s="120"/>
      <c r="N248" s="120"/>
      <c r="O248" s="502">
        <f t="shared" si="237"/>
        <v>0</v>
      </c>
      <c r="P248" s="501">
        <f t="shared" si="240"/>
        <v>1000464</v>
      </c>
      <c r="Q248" s="18"/>
      <c r="R248" s="44"/>
    </row>
    <row r="249" spans="1:18" ht="118.5" customHeight="1" thickTop="1" thickBot="1" x14ac:dyDescent="0.25">
      <c r="A249" s="518" t="s">
        <v>742</v>
      </c>
      <c r="B249" s="518" t="s">
        <v>743</v>
      </c>
      <c r="C249" s="518"/>
      <c r="D249" s="518" t="s">
        <v>744</v>
      </c>
      <c r="E249" s="543">
        <f>SUM(E250:E251)</f>
        <v>86574681</v>
      </c>
      <c r="F249" s="543">
        <f t="shared" ref="F249:P249" si="246">SUM(F250:F251)</f>
        <v>82866500</v>
      </c>
      <c r="G249" s="543">
        <f t="shared" si="246"/>
        <v>53708827</v>
      </c>
      <c r="H249" s="543">
        <f t="shared" si="246"/>
        <v>3634631</v>
      </c>
      <c r="I249" s="543">
        <f t="shared" si="246"/>
        <v>3708181</v>
      </c>
      <c r="J249" s="543">
        <f t="shared" si="246"/>
        <v>1617197</v>
      </c>
      <c r="K249" s="543">
        <f t="shared" si="246"/>
        <v>0</v>
      </c>
      <c r="L249" s="543">
        <f t="shared" si="246"/>
        <v>1617197</v>
      </c>
      <c r="M249" s="543">
        <f t="shared" si="246"/>
        <v>587437</v>
      </c>
      <c r="N249" s="543">
        <f t="shared" si="246"/>
        <v>326801</v>
      </c>
      <c r="O249" s="543">
        <f t="shared" si="246"/>
        <v>0</v>
      </c>
      <c r="P249" s="543">
        <f t="shared" si="246"/>
        <v>88191878</v>
      </c>
      <c r="Q249" s="18"/>
      <c r="R249" s="44"/>
    </row>
    <row r="250" spans="1:18" ht="133.5" customHeight="1" thickTop="1" thickBot="1" x14ac:dyDescent="0.25">
      <c r="A250" s="94" t="s">
        <v>28</v>
      </c>
      <c r="B250" s="94" t="s">
        <v>187</v>
      </c>
      <c r="C250" s="94" t="s">
        <v>190</v>
      </c>
      <c r="D250" s="94" t="s">
        <v>1393</v>
      </c>
      <c r="E250" s="471">
        <f>F250+I250</f>
        <v>81841076</v>
      </c>
      <c r="F250" s="520">
        <f>((23504640+20053119+20864155-400000-25000+11765204)+500000+289000+45200+47214+31391+10900+25000+300000)+9800+82260+250000+288465+53690+182000+49000+206857</f>
        <v>78132895</v>
      </c>
      <c r="G250" s="520">
        <f>15400894+14733924+15004947+8569062</f>
        <v>53708827</v>
      </c>
      <c r="H250" s="520">
        <f>606847+127353+600000+70181+467430+52697+307549+58685+9000+20973+21793+414506+338231+8040+263162+18244+189600+59200+1140</f>
        <v>3634631</v>
      </c>
      <c r="I250" s="520">
        <f>((400000+25000)+75020+229011)+466400+94000+47000+119000+846408+595400+810942</f>
        <v>3708181</v>
      </c>
      <c r="J250" s="501">
        <f t="shared" si="236"/>
        <v>1617197</v>
      </c>
      <c r="K250" s="120"/>
      <c r="L250" s="520">
        <v>1617197</v>
      </c>
      <c r="M250" s="520">
        <v>587437</v>
      </c>
      <c r="N250" s="520">
        <v>326801</v>
      </c>
      <c r="O250" s="502">
        <f>(K250+0)</f>
        <v>0</v>
      </c>
      <c r="P250" s="501">
        <f t="shared" si="240"/>
        <v>83458273</v>
      </c>
      <c r="Q250" s="18"/>
      <c r="R250" s="44"/>
    </row>
    <row r="251" spans="1:18" ht="138" customHeight="1" thickTop="1" thickBot="1" x14ac:dyDescent="0.25">
      <c r="A251" s="94" t="s">
        <v>29</v>
      </c>
      <c r="B251" s="94" t="s">
        <v>188</v>
      </c>
      <c r="C251" s="94" t="s">
        <v>190</v>
      </c>
      <c r="D251" s="94" t="s">
        <v>47</v>
      </c>
      <c r="E251" s="471">
        <f>F251+I251</f>
        <v>4733605</v>
      </c>
      <c r="F251" s="520">
        <v>4733605</v>
      </c>
      <c r="G251" s="120"/>
      <c r="H251" s="120"/>
      <c r="I251" s="120"/>
      <c r="J251" s="501">
        <f t="shared" si="236"/>
        <v>0</v>
      </c>
      <c r="K251" s="520">
        <v>0</v>
      </c>
      <c r="L251" s="120"/>
      <c r="M251" s="120"/>
      <c r="N251" s="120"/>
      <c r="O251" s="502">
        <f t="shared" si="237"/>
        <v>0</v>
      </c>
      <c r="P251" s="501">
        <f t="shared" si="240"/>
        <v>4733605</v>
      </c>
      <c r="Q251" s="18"/>
      <c r="R251" s="44"/>
    </row>
    <row r="252" spans="1:18" ht="72.75" hidden="1" customHeight="1" thickTop="1" thickBot="1" x14ac:dyDescent="0.25">
      <c r="A252" s="281" t="s">
        <v>1192</v>
      </c>
      <c r="B252" s="131" t="s">
        <v>778</v>
      </c>
      <c r="C252" s="131"/>
      <c r="D252" s="131" t="s">
        <v>779</v>
      </c>
      <c r="E252" s="147">
        <f>E253</f>
        <v>0</v>
      </c>
      <c r="F252" s="147">
        <f t="shared" ref="F252:P252" si="247">F253</f>
        <v>0</v>
      </c>
      <c r="G252" s="147">
        <f t="shared" si="247"/>
        <v>0</v>
      </c>
      <c r="H252" s="147">
        <f t="shared" si="247"/>
        <v>0</v>
      </c>
      <c r="I252" s="147">
        <f t="shared" si="247"/>
        <v>0</v>
      </c>
      <c r="J252" s="147">
        <f t="shared" si="247"/>
        <v>0</v>
      </c>
      <c r="K252" s="147">
        <f t="shared" si="247"/>
        <v>0</v>
      </c>
      <c r="L252" s="147">
        <f t="shared" si="247"/>
        <v>0</v>
      </c>
      <c r="M252" s="147">
        <f t="shared" si="247"/>
        <v>0</v>
      </c>
      <c r="N252" s="147">
        <f t="shared" si="247"/>
        <v>0</v>
      </c>
      <c r="O252" s="147">
        <f t="shared" si="247"/>
        <v>0</v>
      </c>
      <c r="P252" s="147">
        <f t="shared" si="247"/>
        <v>0</v>
      </c>
      <c r="Q252" s="18"/>
      <c r="R252" s="44"/>
    </row>
    <row r="253" spans="1:18" ht="130.69999999999999" hidden="1" customHeight="1" thickTop="1" thickBot="1" x14ac:dyDescent="0.25">
      <c r="A253" s="119" t="s">
        <v>1193</v>
      </c>
      <c r="B253" s="119" t="s">
        <v>1194</v>
      </c>
      <c r="C253" s="119" t="s">
        <v>190</v>
      </c>
      <c r="D253" s="119" t="s">
        <v>1195</v>
      </c>
      <c r="E253" s="142"/>
      <c r="F253" s="120"/>
      <c r="G253" s="120"/>
      <c r="H253" s="120"/>
      <c r="I253" s="120"/>
      <c r="J253" s="118">
        <f t="shared" ref="J253" si="248">L253+O253</f>
        <v>0</v>
      </c>
      <c r="K253" s="120">
        <v>0</v>
      </c>
      <c r="L253" s="120"/>
      <c r="M253" s="120"/>
      <c r="N253" s="120"/>
      <c r="O253" s="123">
        <f t="shared" ref="O253" si="249">K253</f>
        <v>0</v>
      </c>
      <c r="P253" s="118">
        <f t="shared" ref="P253" si="250">E253+J253</f>
        <v>0</v>
      </c>
      <c r="Q253" s="18"/>
      <c r="R253" s="44"/>
    </row>
    <row r="254" spans="1:18" ht="82.5" customHeight="1" thickTop="1" thickBot="1" x14ac:dyDescent="0.25">
      <c r="A254" s="611" t="s">
        <v>745</v>
      </c>
      <c r="B254" s="518" t="s">
        <v>746</v>
      </c>
      <c r="C254" s="518"/>
      <c r="D254" s="518" t="s">
        <v>747</v>
      </c>
      <c r="E254" s="543">
        <f>SUM(E255:E257)</f>
        <v>11966483.060000001</v>
      </c>
      <c r="F254" s="543">
        <f t="shared" ref="F254:P254" si="251">SUM(F255:F257)</f>
        <v>11966483.060000001</v>
      </c>
      <c r="G254" s="543">
        <f t="shared" si="251"/>
        <v>1905970</v>
      </c>
      <c r="H254" s="543">
        <f t="shared" si="251"/>
        <v>0</v>
      </c>
      <c r="I254" s="543">
        <f t="shared" si="251"/>
        <v>0</v>
      </c>
      <c r="J254" s="543">
        <f t="shared" si="251"/>
        <v>144048</v>
      </c>
      <c r="K254" s="543">
        <f t="shared" si="251"/>
        <v>0</v>
      </c>
      <c r="L254" s="543">
        <f t="shared" si="251"/>
        <v>144048</v>
      </c>
      <c r="M254" s="543">
        <f t="shared" si="251"/>
        <v>0</v>
      </c>
      <c r="N254" s="543">
        <f t="shared" si="251"/>
        <v>950</v>
      </c>
      <c r="O254" s="543">
        <f t="shared" si="251"/>
        <v>0</v>
      </c>
      <c r="P254" s="543">
        <f t="shared" si="251"/>
        <v>12110531.060000001</v>
      </c>
      <c r="Q254" s="18"/>
      <c r="R254" s="44"/>
    </row>
    <row r="255" spans="1:18" ht="168" customHeight="1" thickTop="1" thickBot="1" x14ac:dyDescent="0.25">
      <c r="A255" s="610" t="s">
        <v>30</v>
      </c>
      <c r="B255" s="610" t="s">
        <v>189</v>
      </c>
      <c r="C255" s="610" t="s">
        <v>190</v>
      </c>
      <c r="D255" s="94" t="s">
        <v>1710</v>
      </c>
      <c r="E255" s="471">
        <f>F255+I255</f>
        <v>1348981.06</v>
      </c>
      <c r="F255" s="520">
        <f>(1048981.06)+300000</f>
        <v>1348981.06</v>
      </c>
      <c r="G255" s="125"/>
      <c r="H255" s="125"/>
      <c r="I255" s="125"/>
      <c r="J255" s="501">
        <f t="shared" si="236"/>
        <v>0</v>
      </c>
      <c r="K255" s="504"/>
      <c r="L255" s="504"/>
      <c r="M255" s="504"/>
      <c r="N255" s="504"/>
      <c r="O255" s="502">
        <f t="shared" si="237"/>
        <v>0</v>
      </c>
      <c r="P255" s="501">
        <f t="shared" si="240"/>
        <v>1348981.06</v>
      </c>
      <c r="Q255" s="18"/>
      <c r="R255" s="44"/>
    </row>
    <row r="256" spans="1:18" ht="111.75" customHeight="1" thickTop="1" thickBot="1" x14ac:dyDescent="0.25">
      <c r="A256" s="610" t="s">
        <v>495</v>
      </c>
      <c r="B256" s="610" t="s">
        <v>493</v>
      </c>
      <c r="C256" s="610" t="s">
        <v>190</v>
      </c>
      <c r="D256" s="94" t="s">
        <v>494</v>
      </c>
      <c r="E256" s="471">
        <f>F256+I256</f>
        <v>7726000</v>
      </c>
      <c r="F256" s="520">
        <v>7726000</v>
      </c>
      <c r="G256" s="504"/>
      <c r="H256" s="504"/>
      <c r="I256" s="504"/>
      <c r="J256" s="501">
        <f t="shared" si="236"/>
        <v>0</v>
      </c>
      <c r="K256" s="504"/>
      <c r="L256" s="504"/>
      <c r="M256" s="504"/>
      <c r="N256" s="504"/>
      <c r="O256" s="502">
        <f t="shared" si="237"/>
        <v>0</v>
      </c>
      <c r="P256" s="501">
        <f t="shared" si="240"/>
        <v>7726000</v>
      </c>
      <c r="Q256" s="18"/>
      <c r="R256" s="44"/>
    </row>
    <row r="257" spans="1:18" ht="100.5" customHeight="1" thickTop="1" thickBot="1" x14ac:dyDescent="0.25">
      <c r="A257" s="610" t="s">
        <v>31</v>
      </c>
      <c r="B257" s="610" t="s">
        <v>191</v>
      </c>
      <c r="C257" s="610" t="s">
        <v>190</v>
      </c>
      <c r="D257" s="94" t="s">
        <v>32</v>
      </c>
      <c r="E257" s="471">
        <f>F257+I257</f>
        <v>2891502</v>
      </c>
      <c r="F257" s="520">
        <f>(2869748)+21754</f>
        <v>2891502</v>
      </c>
      <c r="G257" s="504">
        <v>1905970</v>
      </c>
      <c r="H257" s="504"/>
      <c r="I257" s="504"/>
      <c r="J257" s="501">
        <f t="shared" si="236"/>
        <v>144048</v>
      </c>
      <c r="K257" s="125"/>
      <c r="L257" s="504">
        <v>144048</v>
      </c>
      <c r="M257" s="125"/>
      <c r="N257" s="504">
        <v>950</v>
      </c>
      <c r="O257" s="502">
        <f>K257+0</f>
        <v>0</v>
      </c>
      <c r="P257" s="501">
        <f t="shared" si="240"/>
        <v>3035550</v>
      </c>
      <c r="Q257" s="18"/>
      <c r="R257" s="44"/>
    </row>
    <row r="258" spans="1:18" ht="54" hidden="1" thickTop="1" thickBot="1" x14ac:dyDescent="0.25">
      <c r="A258" s="282" t="s">
        <v>1454</v>
      </c>
      <c r="B258" s="282" t="s">
        <v>1455</v>
      </c>
      <c r="C258" s="282" t="s">
        <v>190</v>
      </c>
      <c r="D258" s="119" t="s">
        <v>1115</v>
      </c>
      <c r="E258" s="142"/>
      <c r="F258" s="120"/>
      <c r="G258" s="125"/>
      <c r="H258" s="125"/>
      <c r="I258" s="125"/>
      <c r="J258" s="118">
        <f t="shared" ref="J258" si="252">L258+O258</f>
        <v>0</v>
      </c>
      <c r="K258" s="125"/>
      <c r="L258" s="125"/>
      <c r="M258" s="125"/>
      <c r="N258" s="125"/>
      <c r="O258" s="123">
        <f>K258+0</f>
        <v>0</v>
      </c>
      <c r="P258" s="118">
        <f t="shared" ref="P258" si="253">E258+J258</f>
        <v>0</v>
      </c>
      <c r="Q258" s="18"/>
      <c r="R258" s="44"/>
    </row>
    <row r="259" spans="1:18" ht="105.75" customHeight="1" thickTop="1" thickBot="1" x14ac:dyDescent="0.25">
      <c r="A259" s="239" t="s">
        <v>748</v>
      </c>
      <c r="B259" s="239" t="s">
        <v>707</v>
      </c>
      <c r="C259" s="239"/>
      <c r="D259" s="542" t="s">
        <v>708</v>
      </c>
      <c r="E259" s="521">
        <f>E260</f>
        <v>60000</v>
      </c>
      <c r="F259" s="521">
        <f t="shared" ref="F259:P260" si="254">F260</f>
        <v>60000</v>
      </c>
      <c r="G259" s="521">
        <f t="shared" si="254"/>
        <v>0</v>
      </c>
      <c r="H259" s="521">
        <f t="shared" si="254"/>
        <v>0</v>
      </c>
      <c r="I259" s="521">
        <f t="shared" si="254"/>
        <v>0</v>
      </c>
      <c r="J259" s="521">
        <f t="shared" si="254"/>
        <v>0</v>
      </c>
      <c r="K259" s="521">
        <f t="shared" si="254"/>
        <v>0</v>
      </c>
      <c r="L259" s="521">
        <f t="shared" si="254"/>
        <v>0</v>
      </c>
      <c r="M259" s="521">
        <f t="shared" si="254"/>
        <v>0</v>
      </c>
      <c r="N259" s="521">
        <f t="shared" si="254"/>
        <v>0</v>
      </c>
      <c r="O259" s="521">
        <f t="shared" si="254"/>
        <v>0</v>
      </c>
      <c r="P259" s="521">
        <f t="shared" si="254"/>
        <v>60000</v>
      </c>
      <c r="Q259" s="18"/>
      <c r="R259" s="44"/>
    </row>
    <row r="260" spans="1:18" ht="129.75" customHeight="1" thickTop="1" thickBot="1" x14ac:dyDescent="0.25">
      <c r="A260" s="611" t="s">
        <v>749</v>
      </c>
      <c r="B260" s="611" t="s">
        <v>710</v>
      </c>
      <c r="C260" s="611"/>
      <c r="D260" s="518" t="s">
        <v>711</v>
      </c>
      <c r="E260" s="543">
        <f>E261</f>
        <v>60000</v>
      </c>
      <c r="F260" s="543">
        <f t="shared" si="254"/>
        <v>60000</v>
      </c>
      <c r="G260" s="543">
        <f t="shared" si="254"/>
        <v>0</v>
      </c>
      <c r="H260" s="543">
        <f t="shared" si="254"/>
        <v>0</v>
      </c>
      <c r="I260" s="543">
        <f t="shared" si="254"/>
        <v>0</v>
      </c>
      <c r="J260" s="543">
        <f t="shared" si="254"/>
        <v>0</v>
      </c>
      <c r="K260" s="543">
        <f t="shared" si="254"/>
        <v>0</v>
      </c>
      <c r="L260" s="543">
        <f t="shared" si="254"/>
        <v>0</v>
      </c>
      <c r="M260" s="543">
        <f t="shared" si="254"/>
        <v>0</v>
      </c>
      <c r="N260" s="543">
        <f t="shared" si="254"/>
        <v>0</v>
      </c>
      <c r="O260" s="543">
        <f t="shared" si="254"/>
        <v>0</v>
      </c>
      <c r="P260" s="543">
        <f t="shared" si="254"/>
        <v>60000</v>
      </c>
      <c r="Q260" s="18"/>
      <c r="R260" s="44"/>
    </row>
    <row r="261" spans="1:18" ht="138.75" thickTop="1" thickBot="1" x14ac:dyDescent="0.25">
      <c r="A261" s="610" t="s">
        <v>333</v>
      </c>
      <c r="B261" s="610" t="s">
        <v>332</v>
      </c>
      <c r="C261" s="610" t="s">
        <v>331</v>
      </c>
      <c r="D261" s="94" t="s">
        <v>1586</v>
      </c>
      <c r="E261" s="471">
        <f>F261+I261</f>
        <v>60000</v>
      </c>
      <c r="F261" s="520">
        <v>60000</v>
      </c>
      <c r="G261" s="125"/>
      <c r="H261" s="125"/>
      <c r="I261" s="125"/>
      <c r="J261" s="501">
        <f t="shared" si="236"/>
        <v>0</v>
      </c>
      <c r="K261" s="125"/>
      <c r="L261" s="125"/>
      <c r="M261" s="125"/>
      <c r="N261" s="125"/>
      <c r="O261" s="502">
        <f t="shared" si="237"/>
        <v>0</v>
      </c>
      <c r="P261" s="501">
        <f t="shared" si="240"/>
        <v>60000</v>
      </c>
      <c r="Q261" s="18"/>
      <c r="R261" s="48"/>
    </row>
    <row r="262" spans="1:18" ht="47.25" hidden="1" thickTop="1" thickBot="1" x14ac:dyDescent="0.25">
      <c r="A262" s="116" t="s">
        <v>750</v>
      </c>
      <c r="B262" s="116" t="s">
        <v>713</v>
      </c>
      <c r="C262" s="116"/>
      <c r="D262" s="116" t="s">
        <v>714</v>
      </c>
      <c r="E262" s="142">
        <f>E266+E263</f>
        <v>0</v>
      </c>
      <c r="F262" s="142">
        <f t="shared" ref="F262:P262" si="255">F266+F263</f>
        <v>0</v>
      </c>
      <c r="G262" s="142">
        <f t="shared" si="255"/>
        <v>0</v>
      </c>
      <c r="H262" s="142">
        <f t="shared" si="255"/>
        <v>0</v>
      </c>
      <c r="I262" s="142">
        <f t="shared" si="255"/>
        <v>0</v>
      </c>
      <c r="J262" s="142">
        <f t="shared" si="255"/>
        <v>0</v>
      </c>
      <c r="K262" s="142">
        <f t="shared" si="255"/>
        <v>0</v>
      </c>
      <c r="L262" s="142">
        <f t="shared" si="255"/>
        <v>0</v>
      </c>
      <c r="M262" s="142">
        <f t="shared" si="255"/>
        <v>0</v>
      </c>
      <c r="N262" s="142">
        <f t="shared" si="255"/>
        <v>0</v>
      </c>
      <c r="O262" s="142">
        <f t="shared" si="255"/>
        <v>0</v>
      </c>
      <c r="P262" s="142">
        <f t="shared" si="255"/>
        <v>0</v>
      </c>
      <c r="Q262" s="18"/>
      <c r="R262" s="48"/>
    </row>
    <row r="263" spans="1:18" ht="47.25" hidden="1" thickTop="1" thickBot="1" x14ac:dyDescent="0.25">
      <c r="A263" s="127" t="s">
        <v>1014</v>
      </c>
      <c r="B263" s="127" t="s">
        <v>765</v>
      </c>
      <c r="C263" s="127"/>
      <c r="D263" s="127" t="s">
        <v>766</v>
      </c>
      <c r="E263" s="128">
        <f>E264</f>
        <v>0</v>
      </c>
      <c r="F263" s="128">
        <f t="shared" ref="F263:P264" si="256">F264</f>
        <v>0</v>
      </c>
      <c r="G263" s="128">
        <f t="shared" si="256"/>
        <v>0</v>
      </c>
      <c r="H263" s="128">
        <f t="shared" si="256"/>
        <v>0</v>
      </c>
      <c r="I263" s="128">
        <f t="shared" si="256"/>
        <v>0</v>
      </c>
      <c r="J263" s="128">
        <f t="shared" si="256"/>
        <v>0</v>
      </c>
      <c r="K263" s="128">
        <f t="shared" si="256"/>
        <v>0</v>
      </c>
      <c r="L263" s="128">
        <f t="shared" si="256"/>
        <v>0</v>
      </c>
      <c r="M263" s="128">
        <f t="shared" si="256"/>
        <v>0</v>
      </c>
      <c r="N263" s="128">
        <f t="shared" si="256"/>
        <v>0</v>
      </c>
      <c r="O263" s="128">
        <f t="shared" si="256"/>
        <v>0</v>
      </c>
      <c r="P263" s="128">
        <f t="shared" si="256"/>
        <v>0</v>
      </c>
      <c r="Q263" s="18"/>
      <c r="R263" s="48"/>
    </row>
    <row r="264" spans="1:18" ht="54" hidden="1" thickTop="1" thickBot="1" x14ac:dyDescent="0.25">
      <c r="A264" s="131" t="s">
        <v>1015</v>
      </c>
      <c r="B264" s="131" t="s">
        <v>782</v>
      </c>
      <c r="C264" s="131"/>
      <c r="D264" s="131" t="s">
        <v>1276</v>
      </c>
      <c r="E264" s="132">
        <f>E265</f>
        <v>0</v>
      </c>
      <c r="F264" s="132">
        <f t="shared" si="256"/>
        <v>0</v>
      </c>
      <c r="G264" s="132">
        <f t="shared" si="256"/>
        <v>0</v>
      </c>
      <c r="H264" s="132">
        <f t="shared" si="256"/>
        <v>0</v>
      </c>
      <c r="I264" s="132">
        <f t="shared" si="256"/>
        <v>0</v>
      </c>
      <c r="J264" s="132">
        <f t="shared" si="256"/>
        <v>0</v>
      </c>
      <c r="K264" s="132">
        <f t="shared" si="256"/>
        <v>0</v>
      </c>
      <c r="L264" s="132">
        <f t="shared" si="256"/>
        <v>0</v>
      </c>
      <c r="M264" s="132">
        <f t="shared" si="256"/>
        <v>0</v>
      </c>
      <c r="N264" s="132">
        <f t="shared" si="256"/>
        <v>0</v>
      </c>
      <c r="O264" s="132">
        <f t="shared" si="256"/>
        <v>0</v>
      </c>
      <c r="P264" s="132">
        <f t="shared" si="256"/>
        <v>0</v>
      </c>
      <c r="Q264" s="18"/>
      <c r="R264" s="48"/>
    </row>
    <row r="265" spans="1:18" ht="54" hidden="1" thickTop="1" thickBot="1" x14ac:dyDescent="0.25">
      <c r="A265" s="119" t="s">
        <v>1016</v>
      </c>
      <c r="B265" s="119" t="s">
        <v>306</v>
      </c>
      <c r="C265" s="119" t="s">
        <v>298</v>
      </c>
      <c r="D265" s="119" t="s">
        <v>1115</v>
      </c>
      <c r="E265" s="118">
        <f t="shared" ref="E265" si="257">F265</f>
        <v>0</v>
      </c>
      <c r="F265" s="125"/>
      <c r="G265" s="125"/>
      <c r="H265" s="125"/>
      <c r="I265" s="125"/>
      <c r="J265" s="118">
        <f t="shared" ref="J265" si="258">L265+O265</f>
        <v>0</v>
      </c>
      <c r="K265" s="125">
        <f>49500-49500</f>
        <v>0</v>
      </c>
      <c r="L265" s="125"/>
      <c r="M265" s="125"/>
      <c r="N265" s="125"/>
      <c r="O265" s="123">
        <f t="shared" ref="O265" si="259">K265</f>
        <v>0</v>
      </c>
      <c r="P265" s="118">
        <f>E265+J265</f>
        <v>0</v>
      </c>
      <c r="Q265" s="18"/>
      <c r="R265" s="48"/>
    </row>
    <row r="266" spans="1:18" ht="47.25" hidden="1" thickTop="1" thickBot="1" x14ac:dyDescent="0.25">
      <c r="A266" s="127" t="s">
        <v>751</v>
      </c>
      <c r="B266" s="127" t="s">
        <v>659</v>
      </c>
      <c r="C266" s="127"/>
      <c r="D266" s="127" t="s">
        <v>657</v>
      </c>
      <c r="E266" s="148">
        <f>E268+E267</f>
        <v>0</v>
      </c>
      <c r="F266" s="148">
        <f t="shared" ref="F266:H266" si="260">F268+F267</f>
        <v>0</v>
      </c>
      <c r="G266" s="148">
        <f t="shared" si="260"/>
        <v>0</v>
      </c>
      <c r="H266" s="148">
        <f t="shared" si="260"/>
        <v>0</v>
      </c>
      <c r="I266" s="148">
        <f>I268+I267</f>
        <v>0</v>
      </c>
      <c r="J266" s="148">
        <f>J268+J267</f>
        <v>0</v>
      </c>
      <c r="K266" s="148">
        <f>K268+K267</f>
        <v>0</v>
      </c>
      <c r="L266" s="148">
        <f t="shared" ref="L266:O266" si="261">L268+L267</f>
        <v>0</v>
      </c>
      <c r="M266" s="148">
        <f t="shared" si="261"/>
        <v>0</v>
      </c>
      <c r="N266" s="148">
        <f t="shared" si="261"/>
        <v>0</v>
      </c>
      <c r="O266" s="148">
        <f t="shared" si="261"/>
        <v>0</v>
      </c>
      <c r="P266" s="148">
        <f>P268+P267</f>
        <v>0</v>
      </c>
      <c r="Q266" s="18"/>
      <c r="R266" s="48"/>
    </row>
    <row r="267" spans="1:18" ht="48" hidden="1" thickTop="1" thickBot="1" x14ac:dyDescent="0.25">
      <c r="A267" s="282" t="s">
        <v>1164</v>
      </c>
      <c r="B267" s="282" t="s">
        <v>207</v>
      </c>
      <c r="C267" s="282"/>
      <c r="D267" s="119" t="s">
        <v>40</v>
      </c>
      <c r="E267" s="142">
        <f>F267</f>
        <v>0</v>
      </c>
      <c r="F267" s="120"/>
      <c r="G267" s="125"/>
      <c r="H267" s="125"/>
      <c r="I267" s="125"/>
      <c r="J267" s="118">
        <f t="shared" ref="J267" si="262">L267+O267</f>
        <v>0</v>
      </c>
      <c r="K267" s="125"/>
      <c r="L267" s="125"/>
      <c r="M267" s="125"/>
      <c r="N267" s="125"/>
      <c r="O267" s="123">
        <f t="shared" ref="O267" si="263">K267</f>
        <v>0</v>
      </c>
      <c r="P267" s="118">
        <f t="shared" ref="P267" si="264">E267+J267</f>
        <v>0</v>
      </c>
      <c r="Q267" s="18"/>
      <c r="R267" s="48"/>
    </row>
    <row r="268" spans="1:18" ht="48" hidden="1" thickTop="1" thickBot="1" x14ac:dyDescent="0.25">
      <c r="A268" s="119" t="s">
        <v>581</v>
      </c>
      <c r="B268" s="119" t="s">
        <v>192</v>
      </c>
      <c r="C268" s="119" t="s">
        <v>165</v>
      </c>
      <c r="D268" s="119" t="s">
        <v>33</v>
      </c>
      <c r="E268" s="118"/>
      <c r="F268" s="125"/>
      <c r="G268" s="125"/>
      <c r="H268" s="125"/>
      <c r="I268" s="125"/>
      <c r="J268" s="118">
        <f t="shared" si="236"/>
        <v>0</v>
      </c>
      <c r="K268" s="125"/>
      <c r="L268" s="125"/>
      <c r="M268" s="125"/>
      <c r="N268" s="125"/>
      <c r="O268" s="123">
        <f t="shared" si="237"/>
        <v>0</v>
      </c>
      <c r="P268" s="118">
        <f t="shared" si="240"/>
        <v>0</v>
      </c>
      <c r="Q268" s="18"/>
      <c r="R268" s="44"/>
    </row>
    <row r="269" spans="1:18" ht="83.25" customHeight="1" thickTop="1" thickBot="1" x14ac:dyDescent="0.25">
      <c r="A269" s="239" t="s">
        <v>1020</v>
      </c>
      <c r="B269" s="239" t="s">
        <v>669</v>
      </c>
      <c r="C269" s="239"/>
      <c r="D269" s="239" t="s">
        <v>670</v>
      </c>
      <c r="E269" s="501">
        <f>E270</f>
        <v>215280</v>
      </c>
      <c r="F269" s="501">
        <f t="shared" ref="F269:P270" si="265">F270</f>
        <v>0</v>
      </c>
      <c r="G269" s="501">
        <f t="shared" si="265"/>
        <v>0</v>
      </c>
      <c r="H269" s="501">
        <f t="shared" si="265"/>
        <v>0</v>
      </c>
      <c r="I269" s="501">
        <f t="shared" si="265"/>
        <v>215280</v>
      </c>
      <c r="J269" s="501">
        <f t="shared" si="265"/>
        <v>0</v>
      </c>
      <c r="K269" s="501">
        <f t="shared" si="265"/>
        <v>0</v>
      </c>
      <c r="L269" s="501">
        <f t="shared" si="265"/>
        <v>0</v>
      </c>
      <c r="M269" s="501">
        <f t="shared" si="265"/>
        <v>0</v>
      </c>
      <c r="N269" s="501">
        <f t="shared" si="265"/>
        <v>0</v>
      </c>
      <c r="O269" s="501">
        <f t="shared" si="265"/>
        <v>0</v>
      </c>
      <c r="P269" s="501">
        <f t="shared" si="265"/>
        <v>215280</v>
      </c>
      <c r="Q269" s="18"/>
      <c r="R269" s="44"/>
    </row>
    <row r="270" spans="1:18" ht="130.5" customHeight="1" thickTop="1" thickBot="1" x14ac:dyDescent="0.25">
      <c r="A270" s="508" t="s">
        <v>1021</v>
      </c>
      <c r="B270" s="508" t="s">
        <v>672</v>
      </c>
      <c r="C270" s="508"/>
      <c r="D270" s="508" t="s">
        <v>673</v>
      </c>
      <c r="E270" s="524">
        <f>E271</f>
        <v>215280</v>
      </c>
      <c r="F270" s="524">
        <f t="shared" si="265"/>
        <v>0</v>
      </c>
      <c r="G270" s="524">
        <f t="shared" si="265"/>
        <v>0</v>
      </c>
      <c r="H270" s="524">
        <f t="shared" si="265"/>
        <v>0</v>
      </c>
      <c r="I270" s="524">
        <f t="shared" si="265"/>
        <v>215280</v>
      </c>
      <c r="J270" s="524">
        <f t="shared" si="265"/>
        <v>0</v>
      </c>
      <c r="K270" s="524">
        <f t="shared" si="265"/>
        <v>0</v>
      </c>
      <c r="L270" s="524">
        <f t="shared" si="265"/>
        <v>0</v>
      </c>
      <c r="M270" s="524">
        <f t="shared" si="265"/>
        <v>0</v>
      </c>
      <c r="N270" s="524">
        <f t="shared" si="265"/>
        <v>0</v>
      </c>
      <c r="O270" s="524">
        <f t="shared" si="265"/>
        <v>0</v>
      </c>
      <c r="P270" s="524">
        <f t="shared" si="265"/>
        <v>215280</v>
      </c>
      <c r="Q270" s="18"/>
      <c r="R270" s="44"/>
    </row>
    <row r="271" spans="1:18" ht="110.25" customHeight="1" thickTop="1" thickBot="1" x14ac:dyDescent="0.25">
      <c r="A271" s="94" t="s">
        <v>1022</v>
      </c>
      <c r="B271" s="94" t="s">
        <v>353</v>
      </c>
      <c r="C271" s="94" t="s">
        <v>42</v>
      </c>
      <c r="D271" s="94" t="s">
        <v>354</v>
      </c>
      <c r="E271" s="521">
        <f>F271+I271</f>
        <v>215280</v>
      </c>
      <c r="F271" s="504"/>
      <c r="G271" s="504"/>
      <c r="H271" s="504"/>
      <c r="I271" s="504">
        <v>215280</v>
      </c>
      <c r="J271" s="501">
        <f>L271+O271</f>
        <v>0</v>
      </c>
      <c r="K271" s="504"/>
      <c r="L271" s="504"/>
      <c r="M271" s="504"/>
      <c r="N271" s="504"/>
      <c r="O271" s="502">
        <f>K271</f>
        <v>0</v>
      </c>
      <c r="P271" s="501">
        <f>E271+J271</f>
        <v>215280</v>
      </c>
      <c r="Q271" s="18"/>
      <c r="R271" s="44"/>
    </row>
    <row r="272" spans="1:18" ht="91.5" thickTop="1" thickBot="1" x14ac:dyDescent="0.25">
      <c r="A272" s="514" t="s">
        <v>153</v>
      </c>
      <c r="B272" s="514"/>
      <c r="C272" s="514"/>
      <c r="D272" s="515" t="s">
        <v>537</v>
      </c>
      <c r="E272" s="516">
        <f>E273</f>
        <v>62079733.789999992</v>
      </c>
      <c r="F272" s="517">
        <f t="shared" ref="F272:G272" si="266">F273</f>
        <v>39499109.590000004</v>
      </c>
      <c r="G272" s="517">
        <f t="shared" si="266"/>
        <v>9009267</v>
      </c>
      <c r="H272" s="517">
        <f>H273</f>
        <v>236135</v>
      </c>
      <c r="I272" s="517">
        <f t="shared" ref="I272" si="267">I273</f>
        <v>22580624.199999999</v>
      </c>
      <c r="J272" s="516">
        <f>J273</f>
        <v>10248493.630000001</v>
      </c>
      <c r="K272" s="517">
        <f>K273</f>
        <v>9664770</v>
      </c>
      <c r="L272" s="517">
        <f>L273</f>
        <v>583723.63</v>
      </c>
      <c r="M272" s="517">
        <f t="shared" ref="M272" si="268">M273</f>
        <v>0</v>
      </c>
      <c r="N272" s="517">
        <f>N273</f>
        <v>0</v>
      </c>
      <c r="O272" s="516">
        <f>O273</f>
        <v>9664770</v>
      </c>
      <c r="P272" s="517">
        <f>P273</f>
        <v>72328227.419999987</v>
      </c>
      <c r="Q272" s="18"/>
      <c r="R272" s="48"/>
    </row>
    <row r="273" spans="1:18" ht="144.75" customHeight="1" thickTop="1" thickBot="1" x14ac:dyDescent="0.25">
      <c r="A273" s="511" t="s">
        <v>154</v>
      </c>
      <c r="B273" s="511"/>
      <c r="C273" s="511"/>
      <c r="D273" s="512" t="s">
        <v>538</v>
      </c>
      <c r="E273" s="513">
        <f>E274+E281+E291+E299+E278</f>
        <v>62079733.789999992</v>
      </c>
      <c r="F273" s="513">
        <f>F274+F281+F291+F299+F278</f>
        <v>39499109.590000004</v>
      </c>
      <c r="G273" s="513">
        <f>G274+G281+G291+G299+G278</f>
        <v>9009267</v>
      </c>
      <c r="H273" s="513">
        <f>H274+H281+H291+H299+H278</f>
        <v>236135</v>
      </c>
      <c r="I273" s="513">
        <f>I274+I281+I291+I299+I278</f>
        <v>22580624.199999999</v>
      </c>
      <c r="J273" s="513">
        <f>L273+O273</f>
        <v>10248493.630000001</v>
      </c>
      <c r="K273" s="513">
        <f>K274+K281+K291+K299+K278</f>
        <v>9664770</v>
      </c>
      <c r="L273" s="513">
        <f>L274+L281+L291+L299+L278</f>
        <v>583723.63</v>
      </c>
      <c r="M273" s="513">
        <f>M274+M281+M291+M299+M278</f>
        <v>0</v>
      </c>
      <c r="N273" s="513">
        <f>N274+N281+N291+N299+N278</f>
        <v>0</v>
      </c>
      <c r="O273" s="513">
        <f>O274+O281+O291+O299+O278</f>
        <v>9664770</v>
      </c>
      <c r="P273" s="513">
        <f>E273+J273</f>
        <v>72328227.419999987</v>
      </c>
      <c r="Q273" s="546" t="b">
        <f>P273=P275+P280+P283+P285+P286+P287+P288+P289+P301+P298+P295</f>
        <v>1</v>
      </c>
      <c r="R273" s="52"/>
    </row>
    <row r="274" spans="1:18" ht="93.75" customHeight="1" thickTop="1" thickBot="1" x14ac:dyDescent="0.25">
      <c r="A274" s="239" t="s">
        <v>752</v>
      </c>
      <c r="B274" s="239" t="s">
        <v>652</v>
      </c>
      <c r="C274" s="239"/>
      <c r="D274" s="483" t="s">
        <v>653</v>
      </c>
      <c r="E274" s="501">
        <f>SUM(E275:E277)</f>
        <v>13186608</v>
      </c>
      <c r="F274" s="501">
        <f t="shared" ref="F274:N274" si="269">SUM(F275:F277)</f>
        <v>13066608</v>
      </c>
      <c r="G274" s="501">
        <f t="shared" si="269"/>
        <v>9009267</v>
      </c>
      <c r="H274" s="501">
        <f t="shared" si="269"/>
        <v>236135</v>
      </c>
      <c r="I274" s="501">
        <f t="shared" si="269"/>
        <v>120000</v>
      </c>
      <c r="J274" s="501">
        <f t="shared" si="269"/>
        <v>0</v>
      </c>
      <c r="K274" s="501">
        <f t="shared" si="269"/>
        <v>0</v>
      </c>
      <c r="L274" s="501">
        <f t="shared" si="269"/>
        <v>0</v>
      </c>
      <c r="M274" s="501">
        <f t="shared" si="269"/>
        <v>0</v>
      </c>
      <c r="N274" s="501">
        <f t="shared" si="269"/>
        <v>0</v>
      </c>
      <c r="O274" s="501">
        <f>SUM(O275:O277)</f>
        <v>0</v>
      </c>
      <c r="P274" s="501">
        <f>SUM(P275:P277)</f>
        <v>13186608</v>
      </c>
      <c r="Q274" s="45"/>
      <c r="R274" s="52"/>
    </row>
    <row r="275" spans="1:18" ht="144.75" customHeight="1" thickTop="1" thickBot="1" x14ac:dyDescent="0.25">
      <c r="A275" s="94" t="s">
        <v>410</v>
      </c>
      <c r="B275" s="94" t="s">
        <v>231</v>
      </c>
      <c r="C275" s="94" t="s">
        <v>229</v>
      </c>
      <c r="D275" s="469" t="s">
        <v>1515</v>
      </c>
      <c r="E275" s="471">
        <f>F275+I275</f>
        <v>13186608</v>
      </c>
      <c r="F275" s="520">
        <v>13066608</v>
      </c>
      <c r="G275" s="520">
        <v>9009267</v>
      </c>
      <c r="H275" s="520">
        <v>236135</v>
      </c>
      <c r="I275" s="520">
        <f>(0)+120000</f>
        <v>120000</v>
      </c>
      <c r="J275" s="501">
        <f t="shared" ref="J275:J298" si="270">L275+O275</f>
        <v>0</v>
      </c>
      <c r="K275" s="520"/>
      <c r="L275" s="522"/>
      <c r="M275" s="522"/>
      <c r="N275" s="522"/>
      <c r="O275" s="502">
        <f t="shared" ref="O275:O295" si="271">K275</f>
        <v>0</v>
      </c>
      <c r="P275" s="501">
        <f t="shared" ref="P275:P286" si="272">+J275+E275</f>
        <v>13186608</v>
      </c>
      <c r="Q275" s="18"/>
      <c r="R275" s="52"/>
    </row>
    <row r="276" spans="1:18" ht="93" hidden="1" thickTop="1" thickBot="1" x14ac:dyDescent="0.25">
      <c r="A276" s="119" t="s">
        <v>600</v>
      </c>
      <c r="B276" s="119" t="s">
        <v>352</v>
      </c>
      <c r="C276" s="119" t="s">
        <v>598</v>
      </c>
      <c r="D276" s="119" t="s">
        <v>599</v>
      </c>
      <c r="E276" s="118">
        <f t="shared" ref="E276:E277" si="273">F276</f>
        <v>0</v>
      </c>
      <c r="F276" s="120">
        <v>0</v>
      </c>
      <c r="G276" s="120"/>
      <c r="H276" s="120"/>
      <c r="I276" s="120"/>
      <c r="J276" s="118">
        <f t="shared" si="270"/>
        <v>0</v>
      </c>
      <c r="K276" s="120"/>
      <c r="L276" s="121"/>
      <c r="M276" s="122"/>
      <c r="N276" s="122"/>
      <c r="O276" s="123">
        <f t="shared" si="271"/>
        <v>0</v>
      </c>
      <c r="P276" s="118">
        <f>+J276+E276</f>
        <v>0</v>
      </c>
      <c r="Q276" s="18"/>
      <c r="R276" s="52"/>
    </row>
    <row r="277" spans="1:18" ht="48" hidden="1" thickTop="1" thickBot="1" x14ac:dyDescent="0.25">
      <c r="A277" s="119" t="s">
        <v>1033</v>
      </c>
      <c r="B277" s="119" t="s">
        <v>42</v>
      </c>
      <c r="C277" s="119" t="s">
        <v>41</v>
      </c>
      <c r="D277" s="119" t="s">
        <v>242</v>
      </c>
      <c r="E277" s="118">
        <f t="shared" si="273"/>
        <v>0</v>
      </c>
      <c r="F277" s="120"/>
      <c r="G277" s="120"/>
      <c r="H277" s="120"/>
      <c r="I277" s="120"/>
      <c r="J277" s="118">
        <f t="shared" si="270"/>
        <v>0</v>
      </c>
      <c r="K277" s="120"/>
      <c r="L277" s="121"/>
      <c r="M277" s="122"/>
      <c r="N277" s="122"/>
      <c r="O277" s="123"/>
      <c r="P277" s="118">
        <f>+J277+E277</f>
        <v>0</v>
      </c>
      <c r="Q277" s="18"/>
      <c r="R277" s="52"/>
    </row>
    <row r="278" spans="1:18" ht="123" customHeight="1" thickTop="1" thickBot="1" x14ac:dyDescent="0.25">
      <c r="A278" s="483" t="s">
        <v>1452</v>
      </c>
      <c r="B278" s="483" t="s">
        <v>678</v>
      </c>
      <c r="C278" s="483"/>
      <c r="D278" s="483" t="s">
        <v>679</v>
      </c>
      <c r="E278" s="485">
        <f t="shared" ref="E278:P278" si="274">SUM(E279:E280)</f>
        <v>0</v>
      </c>
      <c r="F278" s="485">
        <f t="shared" si="274"/>
        <v>0</v>
      </c>
      <c r="G278" s="485">
        <f t="shared" si="274"/>
        <v>0</v>
      </c>
      <c r="H278" s="485">
        <f t="shared" si="274"/>
        <v>0</v>
      </c>
      <c r="I278" s="485">
        <f t="shared" si="274"/>
        <v>0</v>
      </c>
      <c r="J278" s="485">
        <f t="shared" si="274"/>
        <v>9664770</v>
      </c>
      <c r="K278" s="485">
        <f t="shared" si="274"/>
        <v>9664770</v>
      </c>
      <c r="L278" s="485">
        <f t="shared" si="274"/>
        <v>0</v>
      </c>
      <c r="M278" s="485">
        <f t="shared" si="274"/>
        <v>0</v>
      </c>
      <c r="N278" s="485">
        <f t="shared" si="274"/>
        <v>0</v>
      </c>
      <c r="O278" s="485">
        <f t="shared" si="274"/>
        <v>9664770</v>
      </c>
      <c r="P278" s="485">
        <f t="shared" si="274"/>
        <v>9664770</v>
      </c>
      <c r="Q278" s="18"/>
      <c r="R278" s="52"/>
    </row>
    <row r="279" spans="1:18" ht="45" hidden="1" customHeight="1" thickTop="1" thickBot="1" x14ac:dyDescent="0.25">
      <c r="A279" s="119" t="s">
        <v>1453</v>
      </c>
      <c r="B279" s="119" t="s">
        <v>1080</v>
      </c>
      <c r="C279" s="119" t="s">
        <v>201</v>
      </c>
      <c r="D279" s="277" t="s">
        <v>1081</v>
      </c>
      <c r="E279" s="118"/>
      <c r="F279" s="125"/>
      <c r="G279" s="125"/>
      <c r="H279" s="125"/>
      <c r="I279" s="125"/>
      <c r="J279" s="118">
        <f>L279+O279</f>
        <v>0</v>
      </c>
      <c r="K279" s="125"/>
      <c r="L279" s="125"/>
      <c r="M279" s="125"/>
      <c r="N279" s="125"/>
      <c r="O279" s="123">
        <f>K279</f>
        <v>0</v>
      </c>
      <c r="P279" s="118">
        <f>E279+J279</f>
        <v>0</v>
      </c>
      <c r="Q279" s="18"/>
      <c r="R279" s="52"/>
    </row>
    <row r="280" spans="1:18" ht="194.25" customHeight="1" thickTop="1" thickBot="1" x14ac:dyDescent="0.25">
      <c r="A280" s="469" t="s">
        <v>1506</v>
      </c>
      <c r="B280" s="469" t="s">
        <v>1377</v>
      </c>
      <c r="C280" s="469" t="s">
        <v>186</v>
      </c>
      <c r="D280" s="486" t="s">
        <v>1505</v>
      </c>
      <c r="E280" s="521">
        <f>F280+I280</f>
        <v>0</v>
      </c>
      <c r="F280" s="125"/>
      <c r="G280" s="125"/>
      <c r="H280" s="125"/>
      <c r="I280" s="125"/>
      <c r="J280" s="485">
        <f>L280+O280</f>
        <v>9664770</v>
      </c>
      <c r="K280" s="487">
        <v>9664770</v>
      </c>
      <c r="L280" s="125"/>
      <c r="M280" s="125"/>
      <c r="N280" s="125"/>
      <c r="O280" s="488">
        <f>K280</f>
        <v>9664770</v>
      </c>
      <c r="P280" s="485">
        <f>E280+J280</f>
        <v>9664770</v>
      </c>
      <c r="Q280" s="18"/>
      <c r="R280" s="52"/>
    </row>
    <row r="281" spans="1:18" ht="104.25" customHeight="1" thickTop="1" thickBot="1" x14ac:dyDescent="0.25">
      <c r="A281" s="483" t="s">
        <v>753</v>
      </c>
      <c r="B281" s="483" t="s">
        <v>707</v>
      </c>
      <c r="C281" s="116"/>
      <c r="D281" s="484" t="s">
        <v>708</v>
      </c>
      <c r="E281" s="485">
        <f>SUM(E282:E290)-E282</f>
        <v>32680635.569999997</v>
      </c>
      <c r="F281" s="485">
        <f t="shared" ref="F281:P281" si="275">SUM(F282:F290)-F282</f>
        <v>22220011.370000001</v>
      </c>
      <c r="G281" s="485">
        <f t="shared" si="275"/>
        <v>0</v>
      </c>
      <c r="H281" s="485">
        <f t="shared" si="275"/>
        <v>0</v>
      </c>
      <c r="I281" s="485">
        <f t="shared" si="275"/>
        <v>10460624.199999999</v>
      </c>
      <c r="J281" s="485">
        <f t="shared" si="275"/>
        <v>0</v>
      </c>
      <c r="K281" s="485">
        <f t="shared" si="275"/>
        <v>0</v>
      </c>
      <c r="L281" s="485">
        <f t="shared" si="275"/>
        <v>0</v>
      </c>
      <c r="M281" s="485">
        <f t="shared" si="275"/>
        <v>0</v>
      </c>
      <c r="N281" s="485">
        <f t="shared" si="275"/>
        <v>0</v>
      </c>
      <c r="O281" s="485">
        <f t="shared" si="275"/>
        <v>0</v>
      </c>
      <c r="P281" s="485">
        <f t="shared" si="275"/>
        <v>32680635.569999997</v>
      </c>
      <c r="Q281" s="18"/>
      <c r="R281" s="52"/>
    </row>
    <row r="282" spans="1:18" s="31" customFormat="1" ht="129" customHeight="1" thickTop="1" thickBot="1" x14ac:dyDescent="0.25">
      <c r="A282" s="481" t="s">
        <v>754</v>
      </c>
      <c r="B282" s="481" t="s">
        <v>755</v>
      </c>
      <c r="C282" s="131"/>
      <c r="D282" s="481" t="s">
        <v>1504</v>
      </c>
      <c r="E282" s="482">
        <f>SUM(E283:E286)</f>
        <v>15885424.199999999</v>
      </c>
      <c r="F282" s="482">
        <f t="shared" ref="F282:P282" si="276">SUM(F283:F286)</f>
        <v>5424800</v>
      </c>
      <c r="G282" s="482">
        <f t="shared" si="276"/>
        <v>0</v>
      </c>
      <c r="H282" s="482">
        <f t="shared" si="276"/>
        <v>0</v>
      </c>
      <c r="I282" s="482">
        <f t="shared" si="276"/>
        <v>10460624.199999999</v>
      </c>
      <c r="J282" s="482">
        <f t="shared" si="276"/>
        <v>0</v>
      </c>
      <c r="K282" s="482">
        <f t="shared" si="276"/>
        <v>0</v>
      </c>
      <c r="L282" s="482">
        <f t="shared" si="276"/>
        <v>0</v>
      </c>
      <c r="M282" s="482">
        <f t="shared" si="276"/>
        <v>0</v>
      </c>
      <c r="N282" s="482">
        <f t="shared" si="276"/>
        <v>0</v>
      </c>
      <c r="O282" s="482">
        <f t="shared" si="276"/>
        <v>0</v>
      </c>
      <c r="P282" s="482">
        <f t="shared" si="276"/>
        <v>15885424.199999999</v>
      </c>
      <c r="Q282" s="34"/>
      <c r="R282" s="52"/>
    </row>
    <row r="283" spans="1:18" ht="88.5" customHeight="1" thickTop="1" thickBot="1" x14ac:dyDescent="0.25">
      <c r="A283" s="469" t="s">
        <v>274</v>
      </c>
      <c r="B283" s="469" t="s">
        <v>275</v>
      </c>
      <c r="C283" s="469" t="s">
        <v>331</v>
      </c>
      <c r="D283" s="469" t="s">
        <v>276</v>
      </c>
      <c r="E283" s="471">
        <f>F283+I283</f>
        <v>7706924.2000000002</v>
      </c>
      <c r="F283" s="470">
        <f>(2035000)+2211300</f>
        <v>4246300</v>
      </c>
      <c r="G283" s="120"/>
      <c r="H283" s="120"/>
      <c r="I283" s="470">
        <f>((2007403)+2138130)-684908.8</f>
        <v>3460624.2</v>
      </c>
      <c r="J283" s="485">
        <f t="shared" si="270"/>
        <v>0</v>
      </c>
      <c r="K283" s="470"/>
      <c r="L283" s="494"/>
      <c r="M283" s="494"/>
      <c r="N283" s="494"/>
      <c r="O283" s="488">
        <f t="shared" si="271"/>
        <v>0</v>
      </c>
      <c r="P283" s="485">
        <f t="shared" si="272"/>
        <v>7706924.2000000002</v>
      </c>
      <c r="Q283" s="18"/>
      <c r="R283" s="52"/>
    </row>
    <row r="284" spans="1:18" ht="48" hidden="1" thickTop="1" thickBot="1" x14ac:dyDescent="0.25">
      <c r="A284" s="119" t="s">
        <v>1340</v>
      </c>
      <c r="B284" s="119" t="s">
        <v>280</v>
      </c>
      <c r="C284" s="119" t="s">
        <v>277</v>
      </c>
      <c r="D284" s="119" t="s">
        <v>281</v>
      </c>
      <c r="E284" s="142">
        <f>F284</f>
        <v>0</v>
      </c>
      <c r="F284" s="120"/>
      <c r="G284" s="120"/>
      <c r="H284" s="120"/>
      <c r="I284" s="120"/>
      <c r="J284" s="118">
        <f t="shared" ref="J284" si="277">L284+O284</f>
        <v>0</v>
      </c>
      <c r="K284" s="120"/>
      <c r="L284" s="121"/>
      <c r="M284" s="121"/>
      <c r="N284" s="121"/>
      <c r="O284" s="123">
        <f t="shared" ref="O284" si="278">K284</f>
        <v>0</v>
      </c>
      <c r="P284" s="118">
        <f t="shared" ref="P284" si="279">+J284+E284</f>
        <v>0</v>
      </c>
      <c r="Q284" s="18"/>
      <c r="R284" s="52"/>
    </row>
    <row r="285" spans="1:18" ht="82.5" customHeight="1" thickTop="1" thickBot="1" x14ac:dyDescent="0.25">
      <c r="A285" s="469" t="s">
        <v>295</v>
      </c>
      <c r="B285" s="469" t="s">
        <v>296</v>
      </c>
      <c r="C285" s="469" t="s">
        <v>277</v>
      </c>
      <c r="D285" s="469" t="s">
        <v>297</v>
      </c>
      <c r="E285" s="471">
        <f>F285+I285</f>
        <v>7000000</v>
      </c>
      <c r="F285" s="120"/>
      <c r="G285" s="120"/>
      <c r="H285" s="120"/>
      <c r="I285" s="470">
        <f>(7000000)</f>
        <v>7000000</v>
      </c>
      <c r="J285" s="485">
        <f t="shared" si="270"/>
        <v>0</v>
      </c>
      <c r="K285" s="470"/>
      <c r="L285" s="494"/>
      <c r="M285" s="494"/>
      <c r="N285" s="494"/>
      <c r="O285" s="488">
        <f t="shared" si="271"/>
        <v>0</v>
      </c>
      <c r="P285" s="485">
        <f t="shared" si="272"/>
        <v>7000000</v>
      </c>
      <c r="Q285" s="18"/>
      <c r="R285" s="52"/>
    </row>
    <row r="286" spans="1:18" ht="150" customHeight="1" thickTop="1" thickBot="1" x14ac:dyDescent="0.25">
      <c r="A286" s="469" t="s">
        <v>278</v>
      </c>
      <c r="B286" s="469" t="s">
        <v>279</v>
      </c>
      <c r="C286" s="469" t="s">
        <v>277</v>
      </c>
      <c r="D286" s="469" t="s">
        <v>1502</v>
      </c>
      <c r="E286" s="471">
        <f>F286+I286</f>
        <v>1178500</v>
      </c>
      <c r="F286" s="470">
        <f>(178500)+1000000</f>
        <v>1178500</v>
      </c>
      <c r="G286" s="120"/>
      <c r="H286" s="120"/>
      <c r="I286" s="120"/>
      <c r="J286" s="485">
        <f t="shared" si="270"/>
        <v>0</v>
      </c>
      <c r="K286" s="470"/>
      <c r="L286" s="494"/>
      <c r="M286" s="494"/>
      <c r="N286" s="494"/>
      <c r="O286" s="488">
        <f t="shared" si="271"/>
        <v>0</v>
      </c>
      <c r="P286" s="485">
        <f t="shared" si="272"/>
        <v>1178500</v>
      </c>
      <c r="Q286" s="18"/>
      <c r="R286" s="52"/>
    </row>
    <row r="287" spans="1:18" ht="150.75" customHeight="1" thickTop="1" thickBot="1" x14ac:dyDescent="0.25">
      <c r="A287" s="469" t="s">
        <v>880</v>
      </c>
      <c r="B287" s="469" t="s">
        <v>291</v>
      </c>
      <c r="C287" s="469" t="s">
        <v>277</v>
      </c>
      <c r="D287" s="469" t="s">
        <v>292</v>
      </c>
      <c r="E287" s="471">
        <f>F287+I287</f>
        <v>1159200</v>
      </c>
      <c r="F287" s="470">
        <v>1159200</v>
      </c>
      <c r="G287" s="120"/>
      <c r="H287" s="120"/>
      <c r="I287" s="120"/>
      <c r="J287" s="485">
        <f t="shared" ref="J287" si="280">L287+O287</f>
        <v>0</v>
      </c>
      <c r="K287" s="470"/>
      <c r="L287" s="494"/>
      <c r="M287" s="494"/>
      <c r="N287" s="494"/>
      <c r="O287" s="488">
        <f t="shared" ref="O287" si="281">K287</f>
        <v>0</v>
      </c>
      <c r="P287" s="485">
        <f t="shared" ref="P287" si="282">+J287+E287</f>
        <v>1159200</v>
      </c>
      <c r="Q287" s="18"/>
      <c r="R287" s="52"/>
    </row>
    <row r="288" spans="1:18" ht="72.75" customHeight="1" thickTop="1" thickBot="1" x14ac:dyDescent="0.25">
      <c r="A288" s="469" t="s">
        <v>282</v>
      </c>
      <c r="B288" s="469" t="s">
        <v>283</v>
      </c>
      <c r="C288" s="469" t="s">
        <v>277</v>
      </c>
      <c r="D288" s="469" t="s">
        <v>284</v>
      </c>
      <c r="E288" s="471">
        <f>F288+I288</f>
        <v>14000000</v>
      </c>
      <c r="F288" s="470">
        <f>(12000000)+2000000</f>
        <v>14000000</v>
      </c>
      <c r="G288" s="120"/>
      <c r="H288" s="120"/>
      <c r="I288" s="120"/>
      <c r="J288" s="485">
        <f t="shared" si="270"/>
        <v>0</v>
      </c>
      <c r="K288" s="487"/>
      <c r="L288" s="470"/>
      <c r="M288" s="470"/>
      <c r="N288" s="470"/>
      <c r="O288" s="488">
        <f t="shared" si="271"/>
        <v>0</v>
      </c>
      <c r="P288" s="485">
        <f t="shared" ref="P288" si="283">E288+J288</f>
        <v>14000000</v>
      </c>
      <c r="Q288" s="18"/>
      <c r="R288" s="48"/>
    </row>
    <row r="289" spans="1:18" ht="85.5" customHeight="1" thickTop="1" thickBot="1" x14ac:dyDescent="0.25">
      <c r="A289" s="469" t="s">
        <v>1130</v>
      </c>
      <c r="B289" s="469" t="s">
        <v>1038</v>
      </c>
      <c r="C289" s="469" t="s">
        <v>1039</v>
      </c>
      <c r="D289" s="469" t="s">
        <v>1036</v>
      </c>
      <c r="E289" s="471">
        <f>F289+I289</f>
        <v>1636011.37</v>
      </c>
      <c r="F289" s="470">
        <f>(1542648)+93363.37</f>
        <v>1636011.37</v>
      </c>
      <c r="G289" s="120"/>
      <c r="H289" s="120"/>
      <c r="I289" s="120"/>
      <c r="J289" s="485">
        <f t="shared" ref="J289" si="284">L289+O289</f>
        <v>0</v>
      </c>
      <c r="K289" s="487"/>
      <c r="L289" s="470"/>
      <c r="M289" s="470"/>
      <c r="N289" s="470"/>
      <c r="O289" s="488">
        <f t="shared" ref="O289" si="285">K289</f>
        <v>0</v>
      </c>
      <c r="P289" s="485">
        <f t="shared" ref="P289" si="286">E289+J289</f>
        <v>1636011.37</v>
      </c>
      <c r="Q289" s="18"/>
      <c r="R289" s="48"/>
    </row>
    <row r="290" spans="1:18" ht="54" hidden="1" thickTop="1" thickBot="1" x14ac:dyDescent="0.25">
      <c r="A290" s="119" t="s">
        <v>1353</v>
      </c>
      <c r="B290" s="119" t="s">
        <v>1354</v>
      </c>
      <c r="C290" s="119" t="s">
        <v>1039</v>
      </c>
      <c r="D290" s="119" t="s">
        <v>1278</v>
      </c>
      <c r="E290" s="142"/>
      <c r="F290" s="120"/>
      <c r="G290" s="120"/>
      <c r="H290" s="120"/>
      <c r="I290" s="120"/>
      <c r="J290" s="118">
        <f t="shared" ref="J290" si="287">L290+O290</f>
        <v>0</v>
      </c>
      <c r="K290" s="125"/>
      <c r="L290" s="120"/>
      <c r="M290" s="120"/>
      <c r="N290" s="120"/>
      <c r="O290" s="123">
        <f t="shared" ref="O290" si="288">K290</f>
        <v>0</v>
      </c>
      <c r="P290" s="118">
        <f t="shared" ref="P290" si="289">E290+J290</f>
        <v>0</v>
      </c>
      <c r="Q290" s="18"/>
      <c r="R290" s="48"/>
    </row>
    <row r="291" spans="1:18" ht="122.25" customHeight="1" thickTop="1" thickBot="1" x14ac:dyDescent="0.25">
      <c r="A291" s="483" t="s">
        <v>756</v>
      </c>
      <c r="B291" s="483" t="s">
        <v>713</v>
      </c>
      <c r="C291" s="483"/>
      <c r="D291" s="483" t="s">
        <v>757</v>
      </c>
      <c r="E291" s="471">
        <f>E294+E292</f>
        <v>4212490.22</v>
      </c>
      <c r="F291" s="471">
        <f t="shared" ref="F291:P291" si="290">F294+F292</f>
        <v>4212490.22</v>
      </c>
      <c r="G291" s="471">
        <f t="shared" si="290"/>
        <v>0</v>
      </c>
      <c r="H291" s="471">
        <f t="shared" si="290"/>
        <v>0</v>
      </c>
      <c r="I291" s="471">
        <f t="shared" si="290"/>
        <v>0</v>
      </c>
      <c r="J291" s="471">
        <f t="shared" si="290"/>
        <v>583723.63</v>
      </c>
      <c r="K291" s="471">
        <f t="shared" si="290"/>
        <v>0</v>
      </c>
      <c r="L291" s="471">
        <f t="shared" si="290"/>
        <v>583723.63</v>
      </c>
      <c r="M291" s="471">
        <f t="shared" si="290"/>
        <v>0</v>
      </c>
      <c r="N291" s="471">
        <f t="shared" si="290"/>
        <v>0</v>
      </c>
      <c r="O291" s="471">
        <f t="shared" si="290"/>
        <v>0</v>
      </c>
      <c r="P291" s="471">
        <f t="shared" si="290"/>
        <v>4796213.8499999996</v>
      </c>
      <c r="Q291" s="18"/>
      <c r="R291" s="48"/>
    </row>
    <row r="292" spans="1:18" ht="102.75" hidden="1" customHeight="1" thickTop="1" thickBot="1" x14ac:dyDescent="0.25">
      <c r="A292" s="127" t="s">
        <v>1432</v>
      </c>
      <c r="B292" s="127" t="s">
        <v>800</v>
      </c>
      <c r="C292" s="127"/>
      <c r="D292" s="127" t="s">
        <v>801</v>
      </c>
      <c r="E292" s="128">
        <f>SUM(E293)</f>
        <v>0</v>
      </c>
      <c r="F292" s="128">
        <f t="shared" ref="F292:P292" si="291">SUM(F293)</f>
        <v>0</v>
      </c>
      <c r="G292" s="128">
        <f t="shared" si="291"/>
        <v>0</v>
      </c>
      <c r="H292" s="128">
        <f t="shared" si="291"/>
        <v>0</v>
      </c>
      <c r="I292" s="128">
        <f t="shared" si="291"/>
        <v>0</v>
      </c>
      <c r="J292" s="128">
        <f t="shared" si="291"/>
        <v>0</v>
      </c>
      <c r="K292" s="128">
        <f t="shared" si="291"/>
        <v>0</v>
      </c>
      <c r="L292" s="128">
        <f t="shared" si="291"/>
        <v>0</v>
      </c>
      <c r="M292" s="128">
        <f t="shared" si="291"/>
        <v>0</v>
      </c>
      <c r="N292" s="128">
        <f t="shared" si="291"/>
        <v>0</v>
      </c>
      <c r="O292" s="128">
        <f t="shared" si="291"/>
        <v>0</v>
      </c>
      <c r="P292" s="128">
        <f t="shared" si="291"/>
        <v>0</v>
      </c>
      <c r="Q292" s="18"/>
      <c r="R292" s="48"/>
    </row>
    <row r="293" spans="1:18" ht="48" hidden="1" thickTop="1" thickBot="1" x14ac:dyDescent="0.25">
      <c r="A293" s="119" t="s">
        <v>1433</v>
      </c>
      <c r="B293" s="119" t="s">
        <v>301</v>
      </c>
      <c r="C293" s="119" t="s">
        <v>302</v>
      </c>
      <c r="D293" s="119" t="s">
        <v>448</v>
      </c>
      <c r="E293" s="118"/>
      <c r="F293" s="125"/>
      <c r="G293" s="125"/>
      <c r="H293" s="125"/>
      <c r="I293" s="125"/>
      <c r="J293" s="118">
        <f>L293+O293</f>
        <v>0</v>
      </c>
      <c r="K293" s="125"/>
      <c r="L293" s="125"/>
      <c r="M293" s="125"/>
      <c r="N293" s="125"/>
      <c r="O293" s="123">
        <f>(K293)</f>
        <v>0</v>
      </c>
      <c r="P293" s="118">
        <f>E293+J293</f>
        <v>0</v>
      </c>
      <c r="Q293" s="18"/>
      <c r="R293" s="48"/>
    </row>
    <row r="294" spans="1:18" ht="96" customHeight="1" thickTop="1" thickBot="1" x14ac:dyDescent="0.25">
      <c r="A294" s="496" t="s">
        <v>758</v>
      </c>
      <c r="B294" s="496" t="s">
        <v>659</v>
      </c>
      <c r="C294" s="496"/>
      <c r="D294" s="496" t="s">
        <v>657</v>
      </c>
      <c r="E294" s="530">
        <f>E295+E297+E296</f>
        <v>4212490.22</v>
      </c>
      <c r="F294" s="530">
        <f t="shared" ref="F294:P294" si="292">F295+F297+F296</f>
        <v>4212490.22</v>
      </c>
      <c r="G294" s="530">
        <f t="shared" si="292"/>
        <v>0</v>
      </c>
      <c r="H294" s="530">
        <f t="shared" si="292"/>
        <v>0</v>
      </c>
      <c r="I294" s="530">
        <f t="shared" si="292"/>
        <v>0</v>
      </c>
      <c r="J294" s="530">
        <f>J295+J297+J296</f>
        <v>583723.63</v>
      </c>
      <c r="K294" s="530">
        <f t="shared" si="292"/>
        <v>0</v>
      </c>
      <c r="L294" s="530">
        <f t="shared" si="292"/>
        <v>583723.63</v>
      </c>
      <c r="M294" s="530">
        <f t="shared" si="292"/>
        <v>0</v>
      </c>
      <c r="N294" s="530">
        <f t="shared" si="292"/>
        <v>0</v>
      </c>
      <c r="O294" s="530">
        <f t="shared" si="292"/>
        <v>0</v>
      </c>
      <c r="P294" s="530">
        <f t="shared" si="292"/>
        <v>4796213.8499999996</v>
      </c>
      <c r="Q294" s="18"/>
      <c r="R294" s="48"/>
    </row>
    <row r="295" spans="1:18" ht="116.25" customHeight="1" thickTop="1" thickBot="1" x14ac:dyDescent="0.25">
      <c r="A295" s="469" t="s">
        <v>290</v>
      </c>
      <c r="B295" s="469" t="s">
        <v>207</v>
      </c>
      <c r="C295" s="469" t="s">
        <v>208</v>
      </c>
      <c r="D295" s="469" t="s">
        <v>40</v>
      </c>
      <c r="E295" s="471">
        <f>F295+I295</f>
        <v>4212490.22</v>
      </c>
      <c r="F295" s="470">
        <f>(3717242.3)+495247.92</f>
        <v>4212490.22</v>
      </c>
      <c r="G295" s="470"/>
      <c r="H295" s="470"/>
      <c r="I295" s="470"/>
      <c r="J295" s="485">
        <f t="shared" si="270"/>
        <v>0</v>
      </c>
      <c r="K295" s="487"/>
      <c r="L295" s="470"/>
      <c r="M295" s="470"/>
      <c r="N295" s="470"/>
      <c r="O295" s="488">
        <f t="shared" si="271"/>
        <v>0</v>
      </c>
      <c r="P295" s="485">
        <f>E295+J295</f>
        <v>4212490.22</v>
      </c>
      <c r="Q295" s="18"/>
      <c r="R295" s="52"/>
    </row>
    <row r="296" spans="1:18" ht="48" hidden="1" thickTop="1" thickBot="1" x14ac:dyDescent="0.25">
      <c r="A296" s="119" t="s">
        <v>874</v>
      </c>
      <c r="B296" s="119" t="s">
        <v>192</v>
      </c>
      <c r="C296" s="119" t="s">
        <v>165</v>
      </c>
      <c r="D296" s="119" t="s">
        <v>33</v>
      </c>
      <c r="E296" s="351">
        <f t="shared" ref="E296" si="293">F296</f>
        <v>0</v>
      </c>
      <c r="F296" s="352"/>
      <c r="G296" s="352"/>
      <c r="H296" s="352"/>
      <c r="I296" s="352"/>
      <c r="J296" s="335">
        <f t="shared" ref="J296" si="294">L296+O296</f>
        <v>0</v>
      </c>
      <c r="K296" s="336">
        <f>((10000000)+20000000)-30000000</f>
        <v>0</v>
      </c>
      <c r="L296" s="352"/>
      <c r="M296" s="352"/>
      <c r="N296" s="352"/>
      <c r="O296" s="337">
        <f t="shared" ref="O296" si="295">K296</f>
        <v>0</v>
      </c>
      <c r="P296" s="335">
        <f>E296+J296</f>
        <v>0</v>
      </c>
      <c r="Q296" s="18"/>
      <c r="R296" s="52"/>
    </row>
    <row r="297" spans="1:18" ht="93.75" customHeight="1" thickTop="1" thickBot="1" x14ac:dyDescent="0.25">
      <c r="A297" s="481" t="s">
        <v>759</v>
      </c>
      <c r="B297" s="481" t="s">
        <v>662</v>
      </c>
      <c r="C297" s="481"/>
      <c r="D297" s="481" t="s">
        <v>660</v>
      </c>
      <c r="E297" s="697">
        <f>E298</f>
        <v>0</v>
      </c>
      <c r="F297" s="697">
        <f t="shared" ref="F297:P297" si="296">F298</f>
        <v>0</v>
      </c>
      <c r="G297" s="697">
        <f t="shared" si="296"/>
        <v>0</v>
      </c>
      <c r="H297" s="697">
        <f t="shared" si="296"/>
        <v>0</v>
      </c>
      <c r="I297" s="697">
        <f t="shared" si="296"/>
        <v>0</v>
      </c>
      <c r="J297" s="697">
        <f t="shared" si="296"/>
        <v>583723.63</v>
      </c>
      <c r="K297" s="697">
        <f t="shared" si="296"/>
        <v>0</v>
      </c>
      <c r="L297" s="697">
        <f t="shared" si="296"/>
        <v>583723.63</v>
      </c>
      <c r="M297" s="697">
        <f t="shared" si="296"/>
        <v>0</v>
      </c>
      <c r="N297" s="697">
        <f t="shared" si="296"/>
        <v>0</v>
      </c>
      <c r="O297" s="697">
        <f t="shared" si="296"/>
        <v>0</v>
      </c>
      <c r="P297" s="697">
        <f t="shared" si="296"/>
        <v>583723.63</v>
      </c>
      <c r="Q297" s="18"/>
      <c r="R297" s="48"/>
    </row>
    <row r="298" spans="1:18" ht="321.75" customHeight="1" thickTop="1" thickBot="1" x14ac:dyDescent="0.25">
      <c r="A298" s="469" t="s">
        <v>413</v>
      </c>
      <c r="B298" s="469" t="s">
        <v>329</v>
      </c>
      <c r="C298" s="469" t="s">
        <v>165</v>
      </c>
      <c r="D298" s="698" t="s">
        <v>1456</v>
      </c>
      <c r="E298" s="471">
        <f>F298+I298</f>
        <v>0</v>
      </c>
      <c r="F298" s="478"/>
      <c r="G298" s="478"/>
      <c r="H298" s="478"/>
      <c r="I298" s="478"/>
      <c r="J298" s="485">
        <f t="shared" si="270"/>
        <v>583723.63</v>
      </c>
      <c r="K298" s="478"/>
      <c r="L298" s="478">
        <v>583723.63</v>
      </c>
      <c r="M298" s="478"/>
      <c r="N298" s="478"/>
      <c r="O298" s="488">
        <f>((K298+884000)-450000)-434000</f>
        <v>0</v>
      </c>
      <c r="P298" s="699">
        <f>E298+J298</f>
        <v>583723.63</v>
      </c>
      <c r="Q298" s="18"/>
      <c r="R298" s="48"/>
    </row>
    <row r="299" spans="1:18" ht="104.25" customHeight="1" thickTop="1" thickBot="1" x14ac:dyDescent="0.25">
      <c r="A299" s="483" t="s">
        <v>1108</v>
      </c>
      <c r="B299" s="483" t="s">
        <v>664</v>
      </c>
      <c r="C299" s="483"/>
      <c r="D299" s="483" t="s">
        <v>665</v>
      </c>
      <c r="E299" s="485">
        <f>E302+E300</f>
        <v>12000000</v>
      </c>
      <c r="F299" s="485">
        <f t="shared" ref="F299:I299" si="297">F302+F300</f>
        <v>0</v>
      </c>
      <c r="G299" s="485">
        <f t="shared" si="297"/>
        <v>0</v>
      </c>
      <c r="H299" s="485">
        <f t="shared" si="297"/>
        <v>0</v>
      </c>
      <c r="I299" s="485">
        <f t="shared" si="297"/>
        <v>12000000</v>
      </c>
      <c r="J299" s="485">
        <f>J302+J300</f>
        <v>0</v>
      </c>
      <c r="K299" s="485">
        <f t="shared" ref="K299:N299" si="298">K302+K300</f>
        <v>0</v>
      </c>
      <c r="L299" s="485">
        <f t="shared" si="298"/>
        <v>0</v>
      </c>
      <c r="M299" s="485">
        <f t="shared" si="298"/>
        <v>0</v>
      </c>
      <c r="N299" s="485">
        <f t="shared" si="298"/>
        <v>0</v>
      </c>
      <c r="O299" s="485">
        <f>O302+O300</f>
        <v>0</v>
      </c>
      <c r="P299" s="485">
        <f>P302+P300</f>
        <v>12000000</v>
      </c>
      <c r="Q299" s="18"/>
      <c r="R299" s="48"/>
    </row>
    <row r="300" spans="1:18" ht="101.25" customHeight="1" thickTop="1" thickBot="1" x14ac:dyDescent="0.25">
      <c r="A300" s="496" t="s">
        <v>1280</v>
      </c>
      <c r="B300" s="496" t="s">
        <v>774</v>
      </c>
      <c r="C300" s="496"/>
      <c r="D300" s="497" t="s">
        <v>1140</v>
      </c>
      <c r="E300" s="495">
        <f>SUM(E301:E303)</f>
        <v>12000000</v>
      </c>
      <c r="F300" s="495">
        <f t="shared" ref="F300:P300" si="299">SUM(F301:F303)</f>
        <v>0</v>
      </c>
      <c r="G300" s="495">
        <f t="shared" si="299"/>
        <v>0</v>
      </c>
      <c r="H300" s="495">
        <f t="shared" si="299"/>
        <v>0</v>
      </c>
      <c r="I300" s="495">
        <f t="shared" si="299"/>
        <v>12000000</v>
      </c>
      <c r="J300" s="495">
        <f t="shared" si="299"/>
        <v>0</v>
      </c>
      <c r="K300" s="495">
        <f t="shared" si="299"/>
        <v>0</v>
      </c>
      <c r="L300" s="495">
        <f t="shared" si="299"/>
        <v>0</v>
      </c>
      <c r="M300" s="495">
        <f t="shared" si="299"/>
        <v>0</v>
      </c>
      <c r="N300" s="495">
        <f t="shared" si="299"/>
        <v>0</v>
      </c>
      <c r="O300" s="495">
        <f t="shared" si="299"/>
        <v>0</v>
      </c>
      <c r="P300" s="495">
        <f t="shared" si="299"/>
        <v>12000000</v>
      </c>
      <c r="Q300" s="18"/>
      <c r="R300" s="48"/>
    </row>
    <row r="301" spans="1:18" ht="125.25" customHeight="1" thickTop="1" thickBot="1" x14ac:dyDescent="0.25">
      <c r="A301" s="469" t="s">
        <v>1281</v>
      </c>
      <c r="B301" s="469" t="s">
        <v>499</v>
      </c>
      <c r="C301" s="469" t="s">
        <v>245</v>
      </c>
      <c r="D301" s="469" t="s">
        <v>500</v>
      </c>
      <c r="E301" s="471">
        <f>F301+I301</f>
        <v>12000000</v>
      </c>
      <c r="F301" s="120"/>
      <c r="G301" s="120"/>
      <c r="H301" s="120"/>
      <c r="I301" s="470">
        <f>((5000000)+2000000)+5000000</f>
        <v>12000000</v>
      </c>
      <c r="J301" s="485">
        <f>L301+O301</f>
        <v>0</v>
      </c>
      <c r="K301" s="125"/>
      <c r="L301" s="120"/>
      <c r="M301" s="120"/>
      <c r="N301" s="120"/>
      <c r="O301" s="488">
        <f>K301</f>
        <v>0</v>
      </c>
      <c r="P301" s="485">
        <f>E301+J301</f>
        <v>12000000</v>
      </c>
      <c r="Q301" s="18"/>
      <c r="R301" s="48"/>
    </row>
    <row r="302" spans="1:18" ht="47.25" hidden="1" thickTop="1" thickBot="1" x14ac:dyDescent="0.25">
      <c r="A302" s="127" t="s">
        <v>1109</v>
      </c>
      <c r="B302" s="127" t="s">
        <v>1066</v>
      </c>
      <c r="C302" s="127"/>
      <c r="D302" s="127" t="s">
        <v>1064</v>
      </c>
      <c r="E302" s="128">
        <f t="shared" ref="E302:P302" si="300">SUM(E303:E303)</f>
        <v>0</v>
      </c>
      <c r="F302" s="128">
        <f t="shared" si="300"/>
        <v>0</v>
      </c>
      <c r="G302" s="128">
        <f t="shared" si="300"/>
        <v>0</v>
      </c>
      <c r="H302" s="128">
        <f t="shared" si="300"/>
        <v>0</v>
      </c>
      <c r="I302" s="128">
        <f t="shared" si="300"/>
        <v>0</v>
      </c>
      <c r="J302" s="128">
        <f t="shared" si="300"/>
        <v>0</v>
      </c>
      <c r="K302" s="128">
        <f t="shared" si="300"/>
        <v>0</v>
      </c>
      <c r="L302" s="128">
        <f t="shared" si="300"/>
        <v>0</v>
      </c>
      <c r="M302" s="128">
        <f t="shared" si="300"/>
        <v>0</v>
      </c>
      <c r="N302" s="128">
        <f t="shared" si="300"/>
        <v>0</v>
      </c>
      <c r="O302" s="128">
        <f t="shared" si="300"/>
        <v>0</v>
      </c>
      <c r="P302" s="128">
        <f t="shared" si="300"/>
        <v>0</v>
      </c>
      <c r="Q302" s="18"/>
      <c r="R302" s="48"/>
    </row>
    <row r="303" spans="1:18" ht="48" hidden="1" thickTop="1" thickBot="1" x14ac:dyDescent="0.25">
      <c r="A303" s="119" t="s">
        <v>1110</v>
      </c>
      <c r="B303" s="119" t="s">
        <v>1093</v>
      </c>
      <c r="C303" s="119" t="s">
        <v>1068</v>
      </c>
      <c r="D303" s="119" t="s">
        <v>1094</v>
      </c>
      <c r="E303" s="118">
        <f>F303</f>
        <v>0</v>
      </c>
      <c r="F303" s="125"/>
      <c r="G303" s="125"/>
      <c r="H303" s="125"/>
      <c r="I303" s="125"/>
      <c r="J303" s="118">
        <f>L303+O303</f>
        <v>0</v>
      </c>
      <c r="K303" s="125"/>
      <c r="L303" s="125"/>
      <c r="M303" s="125"/>
      <c r="N303" s="125"/>
      <c r="O303" s="123">
        <f>K303</f>
        <v>0</v>
      </c>
      <c r="P303" s="118">
        <f>E303+J303</f>
        <v>0</v>
      </c>
      <c r="Q303" s="18"/>
      <c r="R303" s="48"/>
    </row>
    <row r="304" spans="1:18" ht="120" customHeight="1" thickTop="1" thickBot="1" x14ac:dyDescent="0.25">
      <c r="A304" s="514" t="s">
        <v>518</v>
      </c>
      <c r="B304" s="514"/>
      <c r="C304" s="514"/>
      <c r="D304" s="515" t="s">
        <v>535</v>
      </c>
      <c r="E304" s="516">
        <f>E305</f>
        <v>669260251.77999997</v>
      </c>
      <c r="F304" s="517">
        <f t="shared" ref="F304:G304" si="301">F305</f>
        <v>667240983.77999997</v>
      </c>
      <c r="G304" s="517">
        <f t="shared" si="301"/>
        <v>10319222</v>
      </c>
      <c r="H304" s="517">
        <f>H305</f>
        <v>421861</v>
      </c>
      <c r="I304" s="517">
        <f t="shared" ref="I304" si="302">I305</f>
        <v>2019268</v>
      </c>
      <c r="J304" s="516">
        <f>J305</f>
        <v>52245089.080000006</v>
      </c>
      <c r="K304" s="517">
        <f>K305</f>
        <v>48547845.370000005</v>
      </c>
      <c r="L304" s="517">
        <f>L305</f>
        <v>1939728.71</v>
      </c>
      <c r="M304" s="517">
        <f t="shared" ref="M304" si="303">M305</f>
        <v>0</v>
      </c>
      <c r="N304" s="517">
        <f>N305</f>
        <v>0</v>
      </c>
      <c r="O304" s="516">
        <f>O305</f>
        <v>50305360.370000005</v>
      </c>
      <c r="P304" s="517">
        <f>P305</f>
        <v>721505340.86000001</v>
      </c>
      <c r="Q304" s="18"/>
      <c r="R304" s="48"/>
    </row>
    <row r="305" spans="1:18" ht="120" customHeight="1" thickTop="1" thickBot="1" x14ac:dyDescent="0.25">
      <c r="A305" s="511" t="s">
        <v>519</v>
      </c>
      <c r="B305" s="511"/>
      <c r="C305" s="511"/>
      <c r="D305" s="512" t="s">
        <v>536</v>
      </c>
      <c r="E305" s="513">
        <f>E306+E310+E319+E330+E335</f>
        <v>669260251.77999997</v>
      </c>
      <c r="F305" s="513">
        <f>F306+F310+F319+F330+F335</f>
        <v>667240983.77999997</v>
      </c>
      <c r="G305" s="513">
        <f>G306+G310+G319+G330+G335</f>
        <v>10319222</v>
      </c>
      <c r="H305" s="513">
        <f>H306+H310+H319+H330+H335</f>
        <v>421861</v>
      </c>
      <c r="I305" s="513">
        <f>I306+I310+I319+I330+I335</f>
        <v>2019268</v>
      </c>
      <c r="J305" s="513">
        <f t="shared" ref="J305:J328" si="304">L305+O305</f>
        <v>52245089.080000006</v>
      </c>
      <c r="K305" s="513">
        <f>K306+K310+K319+K330+K335</f>
        <v>48547845.370000005</v>
      </c>
      <c r="L305" s="513">
        <f>L306+L310+L319+L330+L335</f>
        <v>1939728.71</v>
      </c>
      <c r="M305" s="513">
        <f>M306+M310+M319+M330+M335</f>
        <v>0</v>
      </c>
      <c r="N305" s="513">
        <f>N306+N310+N319+N330+N335</f>
        <v>0</v>
      </c>
      <c r="O305" s="513">
        <f>O306+O310+O319+O330+O335</f>
        <v>50305360.370000005</v>
      </c>
      <c r="P305" s="513">
        <f>E305+J305</f>
        <v>721505340.86000001</v>
      </c>
      <c r="Q305" s="546" t="b">
        <f>P305=P307+P309+P312+P313+P315+P316+P317+P318+P323+P326+P332+P333+P337+P308+P328</f>
        <v>0</v>
      </c>
      <c r="R305" s="43"/>
    </row>
    <row r="306" spans="1:18" ht="113.25" customHeight="1" thickTop="1" thickBot="1" x14ac:dyDescent="0.25">
      <c r="A306" s="239" t="s">
        <v>761</v>
      </c>
      <c r="B306" s="239" t="s">
        <v>652</v>
      </c>
      <c r="C306" s="239"/>
      <c r="D306" s="239" t="s">
        <v>653</v>
      </c>
      <c r="E306" s="501">
        <f>SUM(E307:E309)</f>
        <v>11013663</v>
      </c>
      <c r="F306" s="501">
        <f t="shared" ref="F306:P306" si="305">SUM(F307:F309)</f>
        <v>10923663</v>
      </c>
      <c r="G306" s="501">
        <f t="shared" si="305"/>
        <v>8289570</v>
      </c>
      <c r="H306" s="501">
        <f t="shared" si="305"/>
        <v>360196</v>
      </c>
      <c r="I306" s="501">
        <f t="shared" si="305"/>
        <v>90000</v>
      </c>
      <c r="J306" s="501">
        <f t="shared" si="305"/>
        <v>0</v>
      </c>
      <c r="K306" s="501">
        <f t="shared" si="305"/>
        <v>0</v>
      </c>
      <c r="L306" s="501">
        <f t="shared" si="305"/>
        <v>0</v>
      </c>
      <c r="M306" s="501">
        <f t="shared" si="305"/>
        <v>0</v>
      </c>
      <c r="N306" s="501">
        <f t="shared" si="305"/>
        <v>0</v>
      </c>
      <c r="O306" s="501">
        <f t="shared" si="305"/>
        <v>0</v>
      </c>
      <c r="P306" s="501">
        <f t="shared" si="305"/>
        <v>11013663</v>
      </c>
      <c r="Q306" s="45"/>
      <c r="R306" s="43"/>
    </row>
    <row r="307" spans="1:18" ht="168" customHeight="1" thickTop="1" thickBot="1" x14ac:dyDescent="0.25">
      <c r="A307" s="94" t="s">
        <v>520</v>
      </c>
      <c r="B307" s="94" t="s">
        <v>231</v>
      </c>
      <c r="C307" s="94" t="s">
        <v>229</v>
      </c>
      <c r="D307" s="94" t="s">
        <v>1515</v>
      </c>
      <c r="E307" s="521">
        <f>F307+I307</f>
        <v>10973045</v>
      </c>
      <c r="F307" s="520">
        <f>((10767154)+30000)+135891-50000</f>
        <v>10883045</v>
      </c>
      <c r="G307" s="520">
        <v>8289570</v>
      </c>
      <c r="H307" s="520">
        <f>(((304058)+23647)+30000)+2491</f>
        <v>360196</v>
      </c>
      <c r="I307" s="520">
        <f>(0)+90000</f>
        <v>90000</v>
      </c>
      <c r="J307" s="501">
        <f t="shared" si="304"/>
        <v>0</v>
      </c>
      <c r="K307" s="520"/>
      <c r="L307" s="522"/>
      <c r="M307" s="522"/>
      <c r="N307" s="522"/>
      <c r="O307" s="502">
        <f t="shared" ref="O307:O326" si="306">K307</f>
        <v>0</v>
      </c>
      <c r="P307" s="501">
        <f t="shared" ref="P307:P313" si="307">+J307+E307</f>
        <v>10973045</v>
      </c>
      <c r="Q307" s="18"/>
      <c r="R307" s="43"/>
    </row>
    <row r="308" spans="1:18" ht="165" customHeight="1" thickTop="1" thickBot="1" x14ac:dyDescent="0.25">
      <c r="A308" s="94" t="s">
        <v>602</v>
      </c>
      <c r="B308" s="94" t="s">
        <v>352</v>
      </c>
      <c r="C308" s="94" t="s">
        <v>598</v>
      </c>
      <c r="D308" s="94" t="s">
        <v>599</v>
      </c>
      <c r="E308" s="521">
        <f>F308+I308</f>
        <v>10000</v>
      </c>
      <c r="F308" s="520">
        <v>10000</v>
      </c>
      <c r="G308" s="520"/>
      <c r="H308" s="520"/>
      <c r="I308" s="520"/>
      <c r="J308" s="501">
        <f t="shared" ref="J308" si="308">L308+O308</f>
        <v>0</v>
      </c>
      <c r="K308" s="520"/>
      <c r="L308" s="522"/>
      <c r="M308" s="522"/>
      <c r="N308" s="522"/>
      <c r="O308" s="502">
        <f t="shared" ref="O308" si="309">K308</f>
        <v>0</v>
      </c>
      <c r="P308" s="501">
        <f t="shared" ref="P308" si="310">+J308+E308</f>
        <v>10000</v>
      </c>
      <c r="Q308" s="18"/>
      <c r="R308" s="43"/>
    </row>
    <row r="309" spans="1:18" ht="108" customHeight="1" thickTop="1" thickBot="1" x14ac:dyDescent="0.25">
      <c r="A309" s="94" t="s">
        <v>521</v>
      </c>
      <c r="B309" s="94" t="s">
        <v>42</v>
      </c>
      <c r="C309" s="94" t="s">
        <v>41</v>
      </c>
      <c r="D309" s="94" t="s">
        <v>242</v>
      </c>
      <c r="E309" s="471">
        <f>F309+I309</f>
        <v>30618</v>
      </c>
      <c r="F309" s="520">
        <v>30618</v>
      </c>
      <c r="G309" s="120"/>
      <c r="H309" s="120"/>
      <c r="I309" s="120"/>
      <c r="J309" s="501">
        <f t="shared" si="304"/>
        <v>0</v>
      </c>
      <c r="K309" s="520"/>
      <c r="L309" s="522"/>
      <c r="M309" s="522"/>
      <c r="N309" s="522"/>
      <c r="O309" s="502">
        <f t="shared" si="306"/>
        <v>0</v>
      </c>
      <c r="P309" s="501">
        <f t="shared" si="307"/>
        <v>30618</v>
      </c>
      <c r="Q309" s="18"/>
      <c r="R309" s="48"/>
    </row>
    <row r="310" spans="1:18" ht="113.25" customHeight="1" thickTop="1" thickBot="1" x14ac:dyDescent="0.25">
      <c r="A310" s="239" t="s">
        <v>762</v>
      </c>
      <c r="B310" s="239" t="s">
        <v>707</v>
      </c>
      <c r="C310" s="239"/>
      <c r="D310" s="542" t="s">
        <v>708</v>
      </c>
      <c r="E310" s="521">
        <f t="shared" ref="E310:P310" si="311">SUM(E311:E318)-E311</f>
        <v>648574112.77999997</v>
      </c>
      <c r="F310" s="521">
        <f t="shared" si="311"/>
        <v>647165974.77999997</v>
      </c>
      <c r="G310" s="521">
        <f t="shared" si="311"/>
        <v>0</v>
      </c>
      <c r="H310" s="521">
        <f t="shared" si="311"/>
        <v>1000</v>
      </c>
      <c r="I310" s="521">
        <f t="shared" si="311"/>
        <v>1408138</v>
      </c>
      <c r="J310" s="521">
        <f t="shared" si="311"/>
        <v>19059339.370000001</v>
      </c>
      <c r="K310" s="521">
        <f t="shared" si="311"/>
        <v>19059339.370000001</v>
      </c>
      <c r="L310" s="521">
        <f t="shared" si="311"/>
        <v>0</v>
      </c>
      <c r="M310" s="521">
        <f t="shared" si="311"/>
        <v>0</v>
      </c>
      <c r="N310" s="521">
        <f t="shared" si="311"/>
        <v>0</v>
      </c>
      <c r="O310" s="521">
        <f t="shared" si="311"/>
        <v>19059339.370000001</v>
      </c>
      <c r="P310" s="521">
        <f t="shared" si="311"/>
        <v>667633452.14999998</v>
      </c>
      <c r="Q310" s="18"/>
      <c r="R310" s="48"/>
    </row>
    <row r="311" spans="1:18" ht="171" customHeight="1" thickTop="1" thickBot="1" x14ac:dyDescent="0.25">
      <c r="A311" s="518" t="s">
        <v>763</v>
      </c>
      <c r="B311" s="518" t="s">
        <v>755</v>
      </c>
      <c r="C311" s="518"/>
      <c r="D311" s="518" t="s">
        <v>1504</v>
      </c>
      <c r="E311" s="543">
        <f>SUM(E312:E314)</f>
        <v>175808378</v>
      </c>
      <c r="F311" s="543">
        <f t="shared" ref="F311:P311" si="312">SUM(F312:F314)</f>
        <v>175600240</v>
      </c>
      <c r="G311" s="543">
        <f t="shared" si="312"/>
        <v>0</v>
      </c>
      <c r="H311" s="543">
        <f t="shared" si="312"/>
        <v>0</v>
      </c>
      <c r="I311" s="543">
        <f t="shared" si="312"/>
        <v>208138</v>
      </c>
      <c r="J311" s="543">
        <f t="shared" si="312"/>
        <v>0</v>
      </c>
      <c r="K311" s="543">
        <f t="shared" si="312"/>
        <v>0</v>
      </c>
      <c r="L311" s="543">
        <f t="shared" si="312"/>
        <v>0</v>
      </c>
      <c r="M311" s="543">
        <f t="shared" si="312"/>
        <v>0</v>
      </c>
      <c r="N311" s="543">
        <f t="shared" si="312"/>
        <v>0</v>
      </c>
      <c r="O311" s="543">
        <f t="shared" si="312"/>
        <v>0</v>
      </c>
      <c r="P311" s="543">
        <f t="shared" si="312"/>
        <v>175808378</v>
      </c>
      <c r="Q311" s="18"/>
      <c r="R311" s="48"/>
    </row>
    <row r="312" spans="1:18" ht="162" customHeight="1" thickTop="1" thickBot="1" x14ac:dyDescent="0.25">
      <c r="A312" s="94" t="s">
        <v>522</v>
      </c>
      <c r="B312" s="94" t="s">
        <v>366</v>
      </c>
      <c r="C312" s="94" t="s">
        <v>277</v>
      </c>
      <c r="D312" s="94" t="s">
        <v>367</v>
      </c>
      <c r="E312" s="471">
        <f>F312+I312</f>
        <v>105000000</v>
      </c>
      <c r="F312" s="520">
        <f>((50000000)+40000000)+15000000</f>
        <v>105000000</v>
      </c>
      <c r="G312" s="120"/>
      <c r="H312" s="120"/>
      <c r="I312" s="120"/>
      <c r="J312" s="501">
        <f t="shared" si="304"/>
        <v>0</v>
      </c>
      <c r="K312" s="520"/>
      <c r="L312" s="522"/>
      <c r="M312" s="522"/>
      <c r="N312" s="522"/>
      <c r="O312" s="502">
        <f t="shared" si="306"/>
        <v>0</v>
      </c>
      <c r="P312" s="501">
        <f t="shared" si="307"/>
        <v>105000000</v>
      </c>
      <c r="Q312" s="18"/>
      <c r="R312" s="48"/>
    </row>
    <row r="313" spans="1:18" ht="123" customHeight="1" thickTop="1" thickBot="1" x14ac:dyDescent="0.25">
      <c r="A313" s="94" t="s">
        <v>523</v>
      </c>
      <c r="B313" s="94" t="s">
        <v>280</v>
      </c>
      <c r="C313" s="94" t="s">
        <v>277</v>
      </c>
      <c r="D313" s="94" t="s">
        <v>281</v>
      </c>
      <c r="E313" s="471">
        <f>F313+I313</f>
        <v>70808378</v>
      </c>
      <c r="F313" s="520">
        <f>(30600240)+40000000</f>
        <v>70600240</v>
      </c>
      <c r="G313" s="120"/>
      <c r="H313" s="120"/>
      <c r="I313" s="520">
        <f>(0)+208138</f>
        <v>208138</v>
      </c>
      <c r="J313" s="501">
        <f t="shared" si="304"/>
        <v>0</v>
      </c>
      <c r="K313" s="520"/>
      <c r="L313" s="522"/>
      <c r="M313" s="522"/>
      <c r="N313" s="522"/>
      <c r="O313" s="502">
        <f t="shared" si="306"/>
        <v>0</v>
      </c>
      <c r="P313" s="501">
        <f t="shared" si="307"/>
        <v>70808378</v>
      </c>
      <c r="Q313" s="18"/>
      <c r="R313" s="48"/>
    </row>
    <row r="314" spans="1:18" ht="93" hidden="1" thickTop="1" thickBot="1" x14ac:dyDescent="0.25">
      <c r="A314" s="119" t="s">
        <v>1220</v>
      </c>
      <c r="B314" s="119" t="s">
        <v>1221</v>
      </c>
      <c r="C314" s="119" t="s">
        <v>277</v>
      </c>
      <c r="D314" s="119" t="s">
        <v>1222</v>
      </c>
      <c r="E314" s="142">
        <f t="shared" ref="E314" si="313">F314</f>
        <v>0</v>
      </c>
      <c r="F314" s="120">
        <v>0</v>
      </c>
      <c r="G314" s="120"/>
      <c r="H314" s="120"/>
      <c r="I314" s="120"/>
      <c r="J314" s="118">
        <f t="shared" ref="J314" si="314">L314+O314</f>
        <v>0</v>
      </c>
      <c r="K314" s="120"/>
      <c r="L314" s="121"/>
      <c r="M314" s="121"/>
      <c r="N314" s="121"/>
      <c r="O314" s="123">
        <f t="shared" ref="O314" si="315">K314</f>
        <v>0</v>
      </c>
      <c r="P314" s="118">
        <f t="shared" ref="P314" si="316">+J314+E314</f>
        <v>0</v>
      </c>
      <c r="Q314" s="18"/>
      <c r="R314" s="48"/>
    </row>
    <row r="315" spans="1:18" ht="171" customHeight="1" thickTop="1" thickBot="1" x14ac:dyDescent="0.25">
      <c r="A315" s="94" t="s">
        <v>524</v>
      </c>
      <c r="B315" s="94" t="s">
        <v>291</v>
      </c>
      <c r="C315" s="94" t="s">
        <v>277</v>
      </c>
      <c r="D315" s="94" t="s">
        <v>292</v>
      </c>
      <c r="E315" s="471">
        <f>F315+I315</f>
        <v>42526384.620000005</v>
      </c>
      <c r="F315" s="520">
        <f>(68765426.62)-26239042</f>
        <v>42526384.620000005</v>
      </c>
      <c r="G315" s="120"/>
      <c r="H315" s="120"/>
      <c r="I315" s="120"/>
      <c r="J315" s="501">
        <f t="shared" si="304"/>
        <v>0</v>
      </c>
      <c r="K315" s="504"/>
      <c r="L315" s="520"/>
      <c r="M315" s="520"/>
      <c r="N315" s="520"/>
      <c r="O315" s="502">
        <f t="shared" si="306"/>
        <v>0</v>
      </c>
      <c r="P315" s="501">
        <f t="shared" ref="P315:P317" si="317">E315+J315</f>
        <v>42526384.620000005</v>
      </c>
      <c r="Q315" s="18"/>
      <c r="R315" s="48"/>
    </row>
    <row r="316" spans="1:18" ht="104.25" customHeight="1" thickTop="1" thickBot="1" x14ac:dyDescent="0.25">
      <c r="A316" s="94" t="s">
        <v>525</v>
      </c>
      <c r="B316" s="94" t="s">
        <v>283</v>
      </c>
      <c r="C316" s="94" t="s">
        <v>277</v>
      </c>
      <c r="D316" s="94" t="s">
        <v>1522</v>
      </c>
      <c r="E316" s="471">
        <f>F316+I316</f>
        <v>426830288.98000002</v>
      </c>
      <c r="F316" s="520">
        <f>((350671588.98)+51099243.38)+23859456.62</f>
        <v>425630288.98000002</v>
      </c>
      <c r="G316" s="120"/>
      <c r="H316" s="520">
        <v>1000</v>
      </c>
      <c r="I316" s="520">
        <f>(0)+1200000</f>
        <v>1200000</v>
      </c>
      <c r="J316" s="501">
        <f t="shared" si="304"/>
        <v>0</v>
      </c>
      <c r="K316" s="504"/>
      <c r="L316" s="520"/>
      <c r="M316" s="520"/>
      <c r="N316" s="520"/>
      <c r="O316" s="502">
        <f t="shared" si="306"/>
        <v>0</v>
      </c>
      <c r="P316" s="501">
        <f t="shared" si="317"/>
        <v>426830288.98000002</v>
      </c>
      <c r="Q316" s="18"/>
      <c r="R316" s="43"/>
    </row>
    <row r="317" spans="1:18" ht="98.25" customHeight="1" thickTop="1" thickBot="1" x14ac:dyDescent="0.25">
      <c r="A317" s="94" t="s">
        <v>1037</v>
      </c>
      <c r="B317" s="94" t="s">
        <v>1038</v>
      </c>
      <c r="C317" s="94" t="s">
        <v>1039</v>
      </c>
      <c r="D317" s="94" t="s">
        <v>1036</v>
      </c>
      <c r="E317" s="471">
        <f>F317+I317</f>
        <v>3409061.18</v>
      </c>
      <c r="F317" s="471">
        <v>3409061.18</v>
      </c>
      <c r="G317" s="120"/>
      <c r="H317" s="120"/>
      <c r="I317" s="120"/>
      <c r="J317" s="501">
        <f t="shared" si="304"/>
        <v>0</v>
      </c>
      <c r="K317" s="504"/>
      <c r="L317" s="520"/>
      <c r="M317" s="520"/>
      <c r="N317" s="520"/>
      <c r="O317" s="502">
        <f t="shared" si="306"/>
        <v>0</v>
      </c>
      <c r="P317" s="501">
        <f t="shared" si="317"/>
        <v>3409061.18</v>
      </c>
      <c r="Q317" s="18"/>
      <c r="R317" s="43"/>
    </row>
    <row r="318" spans="1:18" ht="186" customHeight="1" thickTop="1" thickBot="1" x14ac:dyDescent="0.25">
      <c r="A318" s="94" t="s">
        <v>1355</v>
      </c>
      <c r="B318" s="94" t="s">
        <v>1354</v>
      </c>
      <c r="C318" s="94" t="s">
        <v>1039</v>
      </c>
      <c r="D318" s="94" t="s">
        <v>1742</v>
      </c>
      <c r="E318" s="521">
        <f>F318+I318</f>
        <v>0</v>
      </c>
      <c r="F318" s="120"/>
      <c r="G318" s="120"/>
      <c r="H318" s="120"/>
      <c r="I318" s="120"/>
      <c r="J318" s="501">
        <f t="shared" ref="J318" si="318">L318+O318</f>
        <v>19059339.370000001</v>
      </c>
      <c r="K318" s="504">
        <f>(1000000+427391.2)+16631948.17+1000000</f>
        <v>19059339.370000001</v>
      </c>
      <c r="L318" s="120"/>
      <c r="M318" s="120"/>
      <c r="N318" s="120"/>
      <c r="O318" s="502">
        <f t="shared" ref="O318" si="319">K318</f>
        <v>19059339.370000001</v>
      </c>
      <c r="P318" s="501">
        <f t="shared" ref="P318" si="320">E318+J318</f>
        <v>19059339.370000001</v>
      </c>
      <c r="Q318" s="18"/>
      <c r="R318" s="43"/>
    </row>
    <row r="319" spans="1:18" ht="103.5" customHeight="1" thickTop="1" thickBot="1" x14ac:dyDescent="0.25">
      <c r="A319" s="483" t="s">
        <v>764</v>
      </c>
      <c r="B319" s="483" t="s">
        <v>713</v>
      </c>
      <c r="C319" s="483"/>
      <c r="D319" s="483" t="s">
        <v>757</v>
      </c>
      <c r="E319" s="471">
        <f>E320+E324</f>
        <v>0</v>
      </c>
      <c r="F319" s="471">
        <f t="shared" ref="F319:P319" si="321">F320+F324</f>
        <v>0</v>
      </c>
      <c r="G319" s="471">
        <f t="shared" si="321"/>
        <v>0</v>
      </c>
      <c r="H319" s="471">
        <f t="shared" si="321"/>
        <v>0</v>
      </c>
      <c r="I319" s="471">
        <f t="shared" si="321"/>
        <v>0</v>
      </c>
      <c r="J319" s="471">
        <f t="shared" si="321"/>
        <v>33185749.710000001</v>
      </c>
      <c r="K319" s="471">
        <f t="shared" si="321"/>
        <v>29488506</v>
      </c>
      <c r="L319" s="471">
        <f t="shared" si="321"/>
        <v>1939728.71</v>
      </c>
      <c r="M319" s="471">
        <f t="shared" si="321"/>
        <v>0</v>
      </c>
      <c r="N319" s="471">
        <f t="shared" si="321"/>
        <v>0</v>
      </c>
      <c r="O319" s="471">
        <f t="shared" si="321"/>
        <v>31246021</v>
      </c>
      <c r="P319" s="471">
        <f t="shared" si="321"/>
        <v>33185749.710000001</v>
      </c>
      <c r="Q319" s="18"/>
      <c r="R319" s="48"/>
    </row>
    <row r="320" spans="1:18" ht="106.5" customHeight="1" thickTop="1" thickBot="1" x14ac:dyDescent="0.25">
      <c r="A320" s="496" t="s">
        <v>767</v>
      </c>
      <c r="B320" s="496" t="s">
        <v>768</v>
      </c>
      <c r="C320" s="496"/>
      <c r="D320" s="496" t="s">
        <v>769</v>
      </c>
      <c r="E320" s="530">
        <f>E321+E323</f>
        <v>0</v>
      </c>
      <c r="F320" s="530">
        <f t="shared" ref="F320:P320" si="322">F321+F323</f>
        <v>0</v>
      </c>
      <c r="G320" s="530">
        <f t="shared" si="322"/>
        <v>0</v>
      </c>
      <c r="H320" s="530">
        <f t="shared" si="322"/>
        <v>0</v>
      </c>
      <c r="I320" s="530">
        <f t="shared" si="322"/>
        <v>0</v>
      </c>
      <c r="J320" s="530">
        <f t="shared" si="322"/>
        <v>10000000</v>
      </c>
      <c r="K320" s="530">
        <f t="shared" si="322"/>
        <v>10000000</v>
      </c>
      <c r="L320" s="530">
        <f t="shared" si="322"/>
        <v>0</v>
      </c>
      <c r="M320" s="530">
        <f t="shared" si="322"/>
        <v>0</v>
      </c>
      <c r="N320" s="530">
        <f t="shared" si="322"/>
        <v>0</v>
      </c>
      <c r="O320" s="530">
        <f t="shared" si="322"/>
        <v>10000000</v>
      </c>
      <c r="P320" s="530">
        <f t="shared" si="322"/>
        <v>10000000</v>
      </c>
      <c r="Q320" s="18"/>
      <c r="R320" s="48"/>
    </row>
    <row r="321" spans="1:18" ht="93" hidden="1" thickTop="1" thickBot="1" x14ac:dyDescent="0.25">
      <c r="A321" s="119" t="s">
        <v>897</v>
      </c>
      <c r="B321" s="131" t="s">
        <v>898</v>
      </c>
      <c r="C321" s="127"/>
      <c r="D321" s="131" t="s">
        <v>899</v>
      </c>
      <c r="E321" s="147">
        <f t="shared" ref="E321:P321" si="323">E322</f>
        <v>0</v>
      </c>
      <c r="F321" s="147">
        <f t="shared" si="323"/>
        <v>0</v>
      </c>
      <c r="G321" s="147">
        <f t="shared" si="323"/>
        <v>0</v>
      </c>
      <c r="H321" s="147">
        <f t="shared" si="323"/>
        <v>0</v>
      </c>
      <c r="I321" s="147">
        <f t="shared" si="323"/>
        <v>0</v>
      </c>
      <c r="J321" s="147">
        <f t="shared" si="323"/>
        <v>0</v>
      </c>
      <c r="K321" s="147">
        <f t="shared" si="323"/>
        <v>0</v>
      </c>
      <c r="L321" s="147">
        <f t="shared" si="323"/>
        <v>0</v>
      </c>
      <c r="M321" s="147">
        <f t="shared" si="323"/>
        <v>0</v>
      </c>
      <c r="N321" s="147">
        <f t="shared" si="323"/>
        <v>0</v>
      </c>
      <c r="O321" s="147">
        <f t="shared" si="323"/>
        <v>0</v>
      </c>
      <c r="P321" s="147">
        <f t="shared" si="323"/>
        <v>0</v>
      </c>
      <c r="Q321" s="18"/>
      <c r="R321" s="48"/>
    </row>
    <row r="322" spans="1:18" ht="93" hidden="1" thickTop="1" thickBot="1" x14ac:dyDescent="0.25">
      <c r="A322" s="119" t="s">
        <v>526</v>
      </c>
      <c r="B322" s="119" t="s">
        <v>287</v>
      </c>
      <c r="C322" s="119" t="s">
        <v>289</v>
      </c>
      <c r="D322" s="119" t="s">
        <v>288</v>
      </c>
      <c r="E322" s="142"/>
      <c r="F322" s="120">
        <f>(18000000-3000000-3000000)-12000000</f>
        <v>0</v>
      </c>
      <c r="G322" s="120"/>
      <c r="H322" s="120"/>
      <c r="I322" s="120"/>
      <c r="J322" s="118">
        <f t="shared" si="304"/>
        <v>0</v>
      </c>
      <c r="K322" s="120"/>
      <c r="L322" s="121"/>
      <c r="M322" s="121"/>
      <c r="N322" s="121"/>
      <c r="O322" s="123">
        <f>K322</f>
        <v>0</v>
      </c>
      <c r="P322" s="118">
        <f>+J322+E322</f>
        <v>0</v>
      </c>
      <c r="Q322" s="18"/>
      <c r="R322" s="43"/>
    </row>
    <row r="323" spans="1:18" ht="179.25" customHeight="1" thickTop="1" thickBot="1" x14ac:dyDescent="0.25">
      <c r="A323" s="469" t="s">
        <v>1533</v>
      </c>
      <c r="B323" s="469" t="s">
        <v>1534</v>
      </c>
      <c r="C323" s="469" t="s">
        <v>289</v>
      </c>
      <c r="D323" s="469" t="s">
        <v>1532</v>
      </c>
      <c r="E323" s="521">
        <f>F323+I323</f>
        <v>0</v>
      </c>
      <c r="F323" s="120"/>
      <c r="G323" s="120"/>
      <c r="H323" s="120"/>
      <c r="I323" s="120"/>
      <c r="J323" s="485">
        <f t="shared" ref="J323" si="324">L323+O323</f>
        <v>10000000</v>
      </c>
      <c r="K323" s="470">
        <f>(10427391.2-427391.2)</f>
        <v>10000000</v>
      </c>
      <c r="L323" s="121"/>
      <c r="M323" s="121"/>
      <c r="N323" s="121"/>
      <c r="O323" s="488">
        <f>K323</f>
        <v>10000000</v>
      </c>
      <c r="P323" s="485">
        <f>+J323+E323</f>
        <v>10000000</v>
      </c>
      <c r="Q323" s="18"/>
      <c r="R323" s="43"/>
    </row>
    <row r="324" spans="1:18" ht="84.75" customHeight="1" thickTop="1" thickBot="1" x14ac:dyDescent="0.25">
      <c r="A324" s="496" t="s">
        <v>770</v>
      </c>
      <c r="B324" s="496" t="s">
        <v>659</v>
      </c>
      <c r="C324" s="496"/>
      <c r="D324" s="496" t="s">
        <v>657</v>
      </c>
      <c r="E324" s="530">
        <f t="shared" ref="E324:P324" si="325">SUM(E325:E329)-E327</f>
        <v>0</v>
      </c>
      <c r="F324" s="530">
        <f t="shared" si="325"/>
        <v>0</v>
      </c>
      <c r="G324" s="530">
        <f t="shared" si="325"/>
        <v>0</v>
      </c>
      <c r="H324" s="530">
        <f t="shared" si="325"/>
        <v>0</v>
      </c>
      <c r="I324" s="530">
        <f t="shared" si="325"/>
        <v>0</v>
      </c>
      <c r="J324" s="530">
        <f t="shared" si="325"/>
        <v>23185749.710000001</v>
      </c>
      <c r="K324" s="530">
        <f t="shared" si="325"/>
        <v>19488506</v>
      </c>
      <c r="L324" s="530">
        <f t="shared" si="325"/>
        <v>1939728.71</v>
      </c>
      <c r="M324" s="530">
        <f t="shared" si="325"/>
        <v>0</v>
      </c>
      <c r="N324" s="530">
        <f t="shared" si="325"/>
        <v>0</v>
      </c>
      <c r="O324" s="530">
        <f t="shared" si="325"/>
        <v>21246021</v>
      </c>
      <c r="P324" s="530">
        <f t="shared" si="325"/>
        <v>23185749.710000001</v>
      </c>
      <c r="Q324" s="18"/>
      <c r="R324" s="43"/>
    </row>
    <row r="325" spans="1:18" ht="48" hidden="1" thickTop="1" thickBot="1" x14ac:dyDescent="0.25">
      <c r="A325" s="119" t="s">
        <v>527</v>
      </c>
      <c r="B325" s="119" t="s">
        <v>207</v>
      </c>
      <c r="C325" s="119" t="s">
        <v>208</v>
      </c>
      <c r="D325" s="119" t="s">
        <v>40</v>
      </c>
      <c r="E325" s="142">
        <f t="shared" ref="E325" si="326">F325</f>
        <v>0</v>
      </c>
      <c r="F325" s="120"/>
      <c r="G325" s="120"/>
      <c r="H325" s="120"/>
      <c r="I325" s="120"/>
      <c r="J325" s="118">
        <f t="shared" si="304"/>
        <v>0</v>
      </c>
      <c r="K325" s="125"/>
      <c r="L325" s="120"/>
      <c r="M325" s="120"/>
      <c r="N325" s="120"/>
      <c r="O325" s="123">
        <f t="shared" si="306"/>
        <v>0</v>
      </c>
      <c r="P325" s="118">
        <f>E325+J325</f>
        <v>0</v>
      </c>
      <c r="Q325" s="18"/>
      <c r="R325" s="43"/>
    </row>
    <row r="326" spans="1:18" ht="90.75" customHeight="1" thickTop="1" thickBot="1" x14ac:dyDescent="0.25">
      <c r="A326" s="469" t="s">
        <v>528</v>
      </c>
      <c r="B326" s="469" t="s">
        <v>192</v>
      </c>
      <c r="C326" s="469" t="s">
        <v>165</v>
      </c>
      <c r="D326" s="469" t="s">
        <v>1059</v>
      </c>
      <c r="E326" s="142"/>
      <c r="F326" s="120"/>
      <c r="G326" s="120"/>
      <c r="H326" s="120"/>
      <c r="I326" s="120"/>
      <c r="J326" s="485">
        <f t="shared" si="304"/>
        <v>19488506</v>
      </c>
      <c r="K326" s="487">
        <f>((4032228)+1929550)+12021728+1505000</f>
        <v>19488506</v>
      </c>
      <c r="L326" s="470"/>
      <c r="M326" s="470"/>
      <c r="N326" s="470"/>
      <c r="O326" s="488">
        <f t="shared" si="306"/>
        <v>19488506</v>
      </c>
      <c r="P326" s="485">
        <f>E326+J326</f>
        <v>19488506</v>
      </c>
      <c r="Q326" s="18"/>
      <c r="R326" s="43"/>
    </row>
    <row r="327" spans="1:18" ht="93.75" customHeight="1" thickTop="1" thickBot="1" x14ac:dyDescent="0.25">
      <c r="A327" s="518" t="s">
        <v>771</v>
      </c>
      <c r="B327" s="481" t="s">
        <v>662</v>
      </c>
      <c r="C327" s="481"/>
      <c r="D327" s="481" t="s">
        <v>660</v>
      </c>
      <c r="E327" s="543">
        <f t="shared" ref="E327:P327" si="327">E328+E329</f>
        <v>0</v>
      </c>
      <c r="F327" s="543">
        <f t="shared" si="327"/>
        <v>0</v>
      </c>
      <c r="G327" s="543">
        <f t="shared" si="327"/>
        <v>0</v>
      </c>
      <c r="H327" s="543">
        <f t="shared" si="327"/>
        <v>0</v>
      </c>
      <c r="I327" s="543">
        <f t="shared" si="327"/>
        <v>0</v>
      </c>
      <c r="J327" s="543">
        <f t="shared" si="327"/>
        <v>3697243.71</v>
      </c>
      <c r="K327" s="543">
        <f t="shared" si="327"/>
        <v>0</v>
      </c>
      <c r="L327" s="543">
        <f t="shared" si="327"/>
        <v>1939728.71</v>
      </c>
      <c r="M327" s="543">
        <f t="shared" si="327"/>
        <v>0</v>
      </c>
      <c r="N327" s="543">
        <f t="shared" si="327"/>
        <v>0</v>
      </c>
      <c r="O327" s="543">
        <f t="shared" si="327"/>
        <v>1757515</v>
      </c>
      <c r="P327" s="543">
        <f t="shared" si="327"/>
        <v>3697243.71</v>
      </c>
      <c r="Q327" s="18"/>
      <c r="R327" s="48"/>
    </row>
    <row r="328" spans="1:18" ht="246.75" customHeight="1" thickTop="1" thickBot="1" x14ac:dyDescent="0.25">
      <c r="A328" s="94" t="s">
        <v>529</v>
      </c>
      <c r="B328" s="94" t="s">
        <v>329</v>
      </c>
      <c r="C328" s="94" t="s">
        <v>165</v>
      </c>
      <c r="D328" s="717" t="s">
        <v>1456</v>
      </c>
      <c r="E328" s="521">
        <f>F328+I328</f>
        <v>0</v>
      </c>
      <c r="F328" s="411"/>
      <c r="G328" s="411"/>
      <c r="H328" s="411"/>
      <c r="I328" s="411"/>
      <c r="J328" s="501">
        <f t="shared" si="304"/>
        <v>3697243.71</v>
      </c>
      <c r="K328" s="411"/>
      <c r="L328" s="502">
        <f>1383211.36+556517.35</f>
        <v>1939728.71</v>
      </c>
      <c r="M328" s="411"/>
      <c r="N328" s="411"/>
      <c r="O328" s="502">
        <v>1757515</v>
      </c>
      <c r="P328" s="719">
        <f>E328+J328</f>
        <v>3697243.71</v>
      </c>
      <c r="Q328" s="18"/>
      <c r="R328" s="48"/>
    </row>
    <row r="329" spans="1:18" ht="93.75" hidden="1" customHeight="1" thickTop="1" thickBot="1" x14ac:dyDescent="0.25">
      <c r="A329" s="119" t="s">
        <v>1063</v>
      </c>
      <c r="B329" s="119" t="s">
        <v>251</v>
      </c>
      <c r="C329" s="119" t="s">
        <v>165</v>
      </c>
      <c r="D329" s="119" t="s">
        <v>249</v>
      </c>
      <c r="E329" s="142">
        <f t="shared" ref="E329" si="328">F329</f>
        <v>0</v>
      </c>
      <c r="F329" s="120"/>
      <c r="G329" s="120"/>
      <c r="H329" s="120"/>
      <c r="I329" s="120"/>
      <c r="J329" s="118">
        <f t="shared" ref="J329" si="329">L329+O329</f>
        <v>0</v>
      </c>
      <c r="K329" s="125"/>
      <c r="L329" s="120"/>
      <c r="M329" s="120"/>
      <c r="N329" s="120"/>
      <c r="O329" s="123">
        <f t="shared" ref="O329" si="330">K329</f>
        <v>0</v>
      </c>
      <c r="P329" s="118">
        <f>E329+J329</f>
        <v>0</v>
      </c>
      <c r="Q329" s="18"/>
      <c r="R329" s="48"/>
    </row>
    <row r="330" spans="1:18" ht="96" customHeight="1" thickTop="1" thickBot="1" x14ac:dyDescent="0.25">
      <c r="A330" s="239" t="s">
        <v>772</v>
      </c>
      <c r="B330" s="239" t="s">
        <v>664</v>
      </c>
      <c r="C330" s="239"/>
      <c r="D330" s="483" t="s">
        <v>665</v>
      </c>
      <c r="E330" s="501">
        <f>E331</f>
        <v>4572476</v>
      </c>
      <c r="F330" s="501">
        <f t="shared" ref="F330:P330" si="331">F331</f>
        <v>4151346</v>
      </c>
      <c r="G330" s="501">
        <f t="shared" si="331"/>
        <v>2029652</v>
      </c>
      <c r="H330" s="501">
        <f t="shared" si="331"/>
        <v>60665</v>
      </c>
      <c r="I330" s="501">
        <f t="shared" si="331"/>
        <v>421130</v>
      </c>
      <c r="J330" s="501">
        <f t="shared" si="331"/>
        <v>0</v>
      </c>
      <c r="K330" s="501">
        <f t="shared" si="331"/>
        <v>0</v>
      </c>
      <c r="L330" s="501">
        <f t="shared" si="331"/>
        <v>0</v>
      </c>
      <c r="M330" s="501">
        <f t="shared" si="331"/>
        <v>0</v>
      </c>
      <c r="N330" s="501">
        <f t="shared" si="331"/>
        <v>0</v>
      </c>
      <c r="O330" s="501">
        <f t="shared" si="331"/>
        <v>0</v>
      </c>
      <c r="P330" s="501">
        <f t="shared" si="331"/>
        <v>4572476</v>
      </c>
      <c r="Q330" s="18"/>
      <c r="R330" s="48"/>
    </row>
    <row r="331" spans="1:18" ht="100.5" customHeight="1" thickTop="1" thickBot="1" x14ac:dyDescent="0.25">
      <c r="A331" s="508" t="s">
        <v>773</v>
      </c>
      <c r="B331" s="508" t="s">
        <v>774</v>
      </c>
      <c r="C331" s="508"/>
      <c r="D331" s="545" t="s">
        <v>1140</v>
      </c>
      <c r="E331" s="524">
        <f>SUM(E332:E334)</f>
        <v>4572476</v>
      </c>
      <c r="F331" s="524">
        <f t="shared" ref="F331:P331" si="332">SUM(F332:F334)</f>
        <v>4151346</v>
      </c>
      <c r="G331" s="524">
        <f t="shared" si="332"/>
        <v>2029652</v>
      </c>
      <c r="H331" s="524">
        <f t="shared" si="332"/>
        <v>60665</v>
      </c>
      <c r="I331" s="524">
        <f t="shared" si="332"/>
        <v>421130</v>
      </c>
      <c r="J331" s="524">
        <f t="shared" si="332"/>
        <v>0</v>
      </c>
      <c r="K331" s="524">
        <f t="shared" si="332"/>
        <v>0</v>
      </c>
      <c r="L331" s="524">
        <f t="shared" si="332"/>
        <v>0</v>
      </c>
      <c r="M331" s="524">
        <f t="shared" si="332"/>
        <v>0</v>
      </c>
      <c r="N331" s="524">
        <f t="shared" si="332"/>
        <v>0</v>
      </c>
      <c r="O331" s="524">
        <f t="shared" si="332"/>
        <v>0</v>
      </c>
      <c r="P331" s="524">
        <f t="shared" si="332"/>
        <v>4572476</v>
      </c>
      <c r="Q331" s="18"/>
      <c r="R331" s="48"/>
    </row>
    <row r="332" spans="1:18" ht="140.25" customHeight="1" thickTop="1" thickBot="1" x14ac:dyDescent="0.25">
      <c r="A332" s="94" t="s">
        <v>530</v>
      </c>
      <c r="B332" s="94" t="s">
        <v>499</v>
      </c>
      <c r="C332" s="94" t="s">
        <v>245</v>
      </c>
      <c r="D332" s="94" t="s">
        <v>500</v>
      </c>
      <c r="E332" s="471">
        <f>F332+I332</f>
        <v>1500000</v>
      </c>
      <c r="F332" s="520">
        <f>(500000)+1000000</f>
        <v>1500000</v>
      </c>
      <c r="G332" s="120"/>
      <c r="H332" s="120"/>
      <c r="I332" s="120"/>
      <c r="J332" s="501">
        <f>L332+O332</f>
        <v>0</v>
      </c>
      <c r="K332" s="504">
        <v>0</v>
      </c>
      <c r="L332" s="520"/>
      <c r="M332" s="520"/>
      <c r="N332" s="520"/>
      <c r="O332" s="502">
        <f>K332</f>
        <v>0</v>
      </c>
      <c r="P332" s="501">
        <f>E332+J332</f>
        <v>1500000</v>
      </c>
      <c r="Q332" s="18"/>
      <c r="R332" s="48"/>
    </row>
    <row r="333" spans="1:18" ht="100.5" customHeight="1" thickTop="1" thickBot="1" x14ac:dyDescent="0.25">
      <c r="A333" s="469" t="s">
        <v>531</v>
      </c>
      <c r="B333" s="469" t="s">
        <v>244</v>
      </c>
      <c r="C333" s="469" t="s">
        <v>245</v>
      </c>
      <c r="D333" s="469" t="s">
        <v>243</v>
      </c>
      <c r="E333" s="471">
        <f>F333+I333</f>
        <v>3072476</v>
      </c>
      <c r="F333" s="470">
        <v>2651346</v>
      </c>
      <c r="G333" s="470">
        <v>2029652</v>
      </c>
      <c r="H333" s="470">
        <f>1025+43200+16440</f>
        <v>60665</v>
      </c>
      <c r="I333" s="470">
        <f>((355530)+41600)+24000</f>
        <v>421130</v>
      </c>
      <c r="J333" s="501">
        <f>L333+O333</f>
        <v>0</v>
      </c>
      <c r="K333" s="125"/>
      <c r="L333" s="120"/>
      <c r="M333" s="120"/>
      <c r="N333" s="120"/>
      <c r="O333" s="502">
        <f>K333</f>
        <v>0</v>
      </c>
      <c r="P333" s="501">
        <f>E333+J333</f>
        <v>3072476</v>
      </c>
      <c r="Q333" s="18"/>
      <c r="R333" s="44"/>
    </row>
    <row r="334" spans="1:18" ht="48" hidden="1" thickTop="1" thickBot="1" x14ac:dyDescent="0.25">
      <c r="A334" s="39" t="s">
        <v>532</v>
      </c>
      <c r="B334" s="39" t="s">
        <v>533</v>
      </c>
      <c r="C334" s="39" t="s">
        <v>245</v>
      </c>
      <c r="D334" s="39" t="s">
        <v>534</v>
      </c>
      <c r="E334" s="149">
        <f t="shared" ref="E334" si="333">F334</f>
        <v>0</v>
      </c>
      <c r="F334" s="150">
        <f>(1219000)-1219000</f>
        <v>0</v>
      </c>
      <c r="G334" s="150">
        <f>(354000+540000)-894000</f>
        <v>0</v>
      </c>
      <c r="H334" s="150">
        <f>(6000+3000)-9000</f>
        <v>0</v>
      </c>
      <c r="I334" s="150"/>
      <c r="J334" s="40">
        <f>L334+O334</f>
        <v>0</v>
      </c>
      <c r="K334" s="41"/>
      <c r="L334" s="150"/>
      <c r="M334" s="150"/>
      <c r="N334" s="150"/>
      <c r="O334" s="42">
        <f>K334</f>
        <v>0</v>
      </c>
      <c r="P334" s="40">
        <f>E334+J334</f>
        <v>0</v>
      </c>
      <c r="Q334" s="18"/>
      <c r="R334" s="48"/>
    </row>
    <row r="335" spans="1:18" ht="111.75" customHeight="1" thickTop="1" thickBot="1" x14ac:dyDescent="0.25">
      <c r="A335" s="239" t="s">
        <v>1271</v>
      </c>
      <c r="B335" s="239" t="s">
        <v>669</v>
      </c>
      <c r="C335" s="239"/>
      <c r="D335" s="239" t="s">
        <v>670</v>
      </c>
      <c r="E335" s="501">
        <f>E336</f>
        <v>5100000</v>
      </c>
      <c r="F335" s="501">
        <f t="shared" ref="F335:P335" si="334">F336</f>
        <v>5000000</v>
      </c>
      <c r="G335" s="501">
        <f t="shared" si="334"/>
        <v>0</v>
      </c>
      <c r="H335" s="501">
        <f t="shared" si="334"/>
        <v>0</v>
      </c>
      <c r="I335" s="501">
        <f t="shared" si="334"/>
        <v>100000</v>
      </c>
      <c r="J335" s="501">
        <f t="shared" si="334"/>
        <v>0</v>
      </c>
      <c r="K335" s="501">
        <f t="shared" si="334"/>
        <v>0</v>
      </c>
      <c r="L335" s="501">
        <f t="shared" si="334"/>
        <v>0</v>
      </c>
      <c r="M335" s="501">
        <f t="shared" si="334"/>
        <v>0</v>
      </c>
      <c r="N335" s="501">
        <f t="shared" si="334"/>
        <v>0</v>
      </c>
      <c r="O335" s="501">
        <f t="shared" si="334"/>
        <v>0</v>
      </c>
      <c r="P335" s="501">
        <f t="shared" si="334"/>
        <v>5100000</v>
      </c>
      <c r="Q335" s="18"/>
      <c r="R335" s="48"/>
    </row>
    <row r="336" spans="1:18" ht="113.25" customHeight="1" thickTop="1" thickBot="1" x14ac:dyDescent="0.25">
      <c r="A336" s="508" t="s">
        <v>1272</v>
      </c>
      <c r="B336" s="508" t="s">
        <v>672</v>
      </c>
      <c r="C336" s="508"/>
      <c r="D336" s="508" t="s">
        <v>673</v>
      </c>
      <c r="E336" s="524">
        <f>SUM(E337:E338)</f>
        <v>5100000</v>
      </c>
      <c r="F336" s="524">
        <f t="shared" ref="F336:P336" si="335">SUM(F337:F338)</f>
        <v>5000000</v>
      </c>
      <c r="G336" s="524">
        <f t="shared" si="335"/>
        <v>0</v>
      </c>
      <c r="H336" s="524">
        <f t="shared" si="335"/>
        <v>0</v>
      </c>
      <c r="I336" s="524">
        <f t="shared" si="335"/>
        <v>100000</v>
      </c>
      <c r="J336" s="524">
        <f t="shared" si="335"/>
        <v>0</v>
      </c>
      <c r="K336" s="524">
        <f t="shared" si="335"/>
        <v>0</v>
      </c>
      <c r="L336" s="524">
        <f t="shared" si="335"/>
        <v>0</v>
      </c>
      <c r="M336" s="524">
        <f t="shared" si="335"/>
        <v>0</v>
      </c>
      <c r="N336" s="524">
        <f t="shared" si="335"/>
        <v>0</v>
      </c>
      <c r="O336" s="524">
        <f t="shared" si="335"/>
        <v>0</v>
      </c>
      <c r="P336" s="524">
        <f t="shared" si="335"/>
        <v>5100000</v>
      </c>
      <c r="Q336" s="18"/>
      <c r="R336" s="48"/>
    </row>
    <row r="337" spans="1:18" ht="108.75" customHeight="1" thickTop="1" thickBot="1" x14ac:dyDescent="0.25">
      <c r="A337" s="94" t="s">
        <v>1273</v>
      </c>
      <c r="B337" s="94" t="s">
        <v>353</v>
      </c>
      <c r="C337" s="94" t="s">
        <v>42</v>
      </c>
      <c r="D337" s="94" t="s">
        <v>354</v>
      </c>
      <c r="E337" s="521">
        <f>F337+I337</f>
        <v>5000000</v>
      </c>
      <c r="F337" s="504">
        <f>((500000)+1500000)+3000000</f>
        <v>5000000</v>
      </c>
      <c r="G337" s="504"/>
      <c r="H337" s="504"/>
      <c r="I337" s="504"/>
      <c r="J337" s="501">
        <f>L337+O337</f>
        <v>0</v>
      </c>
      <c r="K337" s="504"/>
      <c r="L337" s="504"/>
      <c r="M337" s="504"/>
      <c r="N337" s="504"/>
      <c r="O337" s="502">
        <f>K337</f>
        <v>0</v>
      </c>
      <c r="P337" s="501">
        <f>E337+J337</f>
        <v>5000000</v>
      </c>
      <c r="Q337" s="18"/>
      <c r="R337" s="48"/>
    </row>
    <row r="338" spans="1:18" ht="108.75" customHeight="1" thickTop="1" thickBot="1" x14ac:dyDescent="0.25">
      <c r="A338" s="94" t="s">
        <v>1805</v>
      </c>
      <c r="B338" s="94" t="s">
        <v>497</v>
      </c>
      <c r="C338" s="94" t="s">
        <v>42</v>
      </c>
      <c r="D338" s="94" t="s">
        <v>498</v>
      </c>
      <c r="E338" s="521">
        <f>F338+I338</f>
        <v>100000</v>
      </c>
      <c r="F338" s="504"/>
      <c r="G338" s="504"/>
      <c r="H338" s="504"/>
      <c r="I338" s="504">
        <v>100000</v>
      </c>
      <c r="J338" s="501">
        <f>L338+O338</f>
        <v>0</v>
      </c>
      <c r="K338" s="504"/>
      <c r="L338" s="504"/>
      <c r="M338" s="504"/>
      <c r="N338" s="504"/>
      <c r="O338" s="502">
        <f>K338</f>
        <v>0</v>
      </c>
      <c r="P338" s="501">
        <f>E338+J338</f>
        <v>100000</v>
      </c>
      <c r="Q338" s="18"/>
      <c r="R338" s="48"/>
    </row>
    <row r="339" spans="1:18" ht="189" customHeight="1" thickTop="1" thickBot="1" x14ac:dyDescent="0.25">
      <c r="A339" s="514" t="s">
        <v>25</v>
      </c>
      <c r="B339" s="514"/>
      <c r="C339" s="514"/>
      <c r="D339" s="515" t="s">
        <v>1169</v>
      </c>
      <c r="E339" s="516">
        <f>E340</f>
        <v>6715534</v>
      </c>
      <c r="F339" s="517">
        <f t="shared" ref="F339:G339" si="336">F340</f>
        <v>6715534</v>
      </c>
      <c r="G339" s="517">
        <f t="shared" si="336"/>
        <v>3243030</v>
      </c>
      <c r="H339" s="517">
        <f>H340</f>
        <v>147710</v>
      </c>
      <c r="I339" s="517">
        <f t="shared" ref="I339" si="337">I340</f>
        <v>0</v>
      </c>
      <c r="J339" s="516">
        <f>J340</f>
        <v>53041250</v>
      </c>
      <c r="K339" s="517">
        <f>K340</f>
        <v>53041250</v>
      </c>
      <c r="L339" s="517">
        <f>L340</f>
        <v>0</v>
      </c>
      <c r="M339" s="517">
        <f t="shared" ref="M339" si="338">M340</f>
        <v>0</v>
      </c>
      <c r="N339" s="517">
        <f>N340</f>
        <v>0</v>
      </c>
      <c r="O339" s="516">
        <f>O340</f>
        <v>53041250</v>
      </c>
      <c r="P339" s="517">
        <f t="shared" ref="P339" si="339">P340</f>
        <v>59756784</v>
      </c>
      <c r="Q339" s="18"/>
    </row>
    <row r="340" spans="1:18" ht="167.25" customHeight="1" thickTop="1" thickBot="1" x14ac:dyDescent="0.25">
      <c r="A340" s="511" t="s">
        <v>26</v>
      </c>
      <c r="B340" s="511"/>
      <c r="C340" s="511"/>
      <c r="D340" s="512" t="s">
        <v>849</v>
      </c>
      <c r="E340" s="513">
        <f>E341+E356+E364+E347+E351+E345+E360</f>
        <v>6715534</v>
      </c>
      <c r="F340" s="513">
        <f t="shared" ref="F340:P340" si="340">F341+F356+F364+F347+F351+F345+F360</f>
        <v>6715534</v>
      </c>
      <c r="G340" s="513">
        <f t="shared" si="340"/>
        <v>3243030</v>
      </c>
      <c r="H340" s="513">
        <f t="shared" si="340"/>
        <v>147710</v>
      </c>
      <c r="I340" s="513">
        <f t="shared" si="340"/>
        <v>0</v>
      </c>
      <c r="J340" s="513">
        <f t="shared" si="340"/>
        <v>53041250</v>
      </c>
      <c r="K340" s="513">
        <f t="shared" si="340"/>
        <v>53041250</v>
      </c>
      <c r="L340" s="513">
        <f t="shared" si="340"/>
        <v>0</v>
      </c>
      <c r="M340" s="513">
        <f t="shared" si="340"/>
        <v>0</v>
      </c>
      <c r="N340" s="513">
        <f t="shared" si="340"/>
        <v>0</v>
      </c>
      <c r="O340" s="513">
        <f t="shared" si="340"/>
        <v>53041250</v>
      </c>
      <c r="P340" s="513">
        <f t="shared" si="340"/>
        <v>59756784</v>
      </c>
      <c r="Q340" s="546" t="b">
        <f>P340=P342+P346+P349+P353+P359+P366+P344+P376+P370+P371</f>
        <v>1</v>
      </c>
      <c r="R340" s="44"/>
    </row>
    <row r="341" spans="1:18" ht="103.5" customHeight="1" thickTop="1" thickBot="1" x14ac:dyDescent="0.25">
      <c r="A341" s="483" t="s">
        <v>775</v>
      </c>
      <c r="B341" s="483" t="s">
        <v>652</v>
      </c>
      <c r="C341" s="483"/>
      <c r="D341" s="483" t="s">
        <v>653</v>
      </c>
      <c r="E341" s="485">
        <f t="shared" ref="E341:P341" si="341">SUM(E342:E344)</f>
        <v>6215534</v>
      </c>
      <c r="F341" s="485">
        <f t="shared" si="341"/>
        <v>6215534</v>
      </c>
      <c r="G341" s="485">
        <f t="shared" si="341"/>
        <v>3243030</v>
      </c>
      <c r="H341" s="485">
        <f t="shared" si="341"/>
        <v>147710</v>
      </c>
      <c r="I341" s="485">
        <f t="shared" si="341"/>
        <v>0</v>
      </c>
      <c r="J341" s="485">
        <f t="shared" si="341"/>
        <v>0</v>
      </c>
      <c r="K341" s="485">
        <f t="shared" si="341"/>
        <v>0</v>
      </c>
      <c r="L341" s="485">
        <f t="shared" si="341"/>
        <v>0</v>
      </c>
      <c r="M341" s="485">
        <f t="shared" si="341"/>
        <v>0</v>
      </c>
      <c r="N341" s="485">
        <f t="shared" si="341"/>
        <v>0</v>
      </c>
      <c r="O341" s="485">
        <f t="shared" si="341"/>
        <v>0</v>
      </c>
      <c r="P341" s="485">
        <f t="shared" si="341"/>
        <v>6215534</v>
      </c>
      <c r="Q341" s="45"/>
      <c r="R341" s="44"/>
    </row>
    <row r="342" spans="1:18" ht="146.25" customHeight="1" thickTop="1" thickBot="1" x14ac:dyDescent="0.25">
      <c r="A342" s="469" t="s">
        <v>406</v>
      </c>
      <c r="B342" s="469" t="s">
        <v>231</v>
      </c>
      <c r="C342" s="469" t="s">
        <v>229</v>
      </c>
      <c r="D342" s="469" t="s">
        <v>1515</v>
      </c>
      <c r="E342" s="471">
        <f>F342+I342</f>
        <v>4531349</v>
      </c>
      <c r="F342" s="487">
        <v>4531349</v>
      </c>
      <c r="G342" s="487">
        <v>3243030</v>
      </c>
      <c r="H342" s="487">
        <v>147710</v>
      </c>
      <c r="I342" s="487"/>
      <c r="J342" s="485">
        <f t="shared" ref="J342:J367" si="342">L342+O342</f>
        <v>0</v>
      </c>
      <c r="K342" s="487"/>
      <c r="L342" s="487"/>
      <c r="M342" s="487"/>
      <c r="N342" s="487"/>
      <c r="O342" s="488">
        <f>K342</f>
        <v>0</v>
      </c>
      <c r="P342" s="485">
        <f t="shared" ref="P342:P367" si="343">E342+J342</f>
        <v>4531349</v>
      </c>
      <c r="Q342" s="45"/>
      <c r="R342" s="48"/>
    </row>
    <row r="343" spans="1:18" ht="93" hidden="1" thickTop="1" thickBot="1" x14ac:dyDescent="0.25">
      <c r="A343" s="119" t="s">
        <v>603</v>
      </c>
      <c r="B343" s="119" t="s">
        <v>352</v>
      </c>
      <c r="C343" s="119" t="s">
        <v>598</v>
      </c>
      <c r="D343" s="119" t="s">
        <v>599</v>
      </c>
      <c r="E343" s="142">
        <f>F343</f>
        <v>0</v>
      </c>
      <c r="F343" s="120">
        <v>0</v>
      </c>
      <c r="G343" s="120"/>
      <c r="H343" s="120"/>
      <c r="I343" s="120"/>
      <c r="J343" s="118">
        <f t="shared" si="342"/>
        <v>0</v>
      </c>
      <c r="K343" s="120"/>
      <c r="L343" s="121"/>
      <c r="M343" s="121"/>
      <c r="N343" s="121"/>
      <c r="O343" s="123">
        <f t="shared" ref="O343" si="344">K343</f>
        <v>0</v>
      </c>
      <c r="P343" s="118">
        <f t="shared" ref="P343" si="345">+J343+E343</f>
        <v>0</v>
      </c>
      <c r="Q343" s="45"/>
      <c r="R343" s="48"/>
    </row>
    <row r="344" spans="1:18" ht="103.5" customHeight="1" thickTop="1" thickBot="1" x14ac:dyDescent="0.25">
      <c r="A344" s="469" t="s">
        <v>879</v>
      </c>
      <c r="B344" s="469" t="s">
        <v>42</v>
      </c>
      <c r="C344" s="469" t="s">
        <v>41</v>
      </c>
      <c r="D344" s="469" t="s">
        <v>242</v>
      </c>
      <c r="E344" s="471">
        <f>F344+I344</f>
        <v>1684185</v>
      </c>
      <c r="F344" s="487">
        <v>1684185</v>
      </c>
      <c r="G344" s="487"/>
      <c r="H344" s="487"/>
      <c r="I344" s="487"/>
      <c r="J344" s="485">
        <f t="shared" ref="J344" si="346">L344+O344</f>
        <v>0</v>
      </c>
      <c r="K344" s="470"/>
      <c r="L344" s="494"/>
      <c r="M344" s="494"/>
      <c r="N344" s="494"/>
      <c r="O344" s="488">
        <f t="shared" ref="O344" si="347">K344</f>
        <v>0</v>
      </c>
      <c r="P344" s="485">
        <f t="shared" ref="P344" si="348">+J344+E344</f>
        <v>1684185</v>
      </c>
      <c r="Q344" s="45"/>
      <c r="R344" s="48"/>
    </row>
    <row r="345" spans="1:18" ht="95.25" customHeight="1" thickTop="1" thickBot="1" x14ac:dyDescent="0.25">
      <c r="A345" s="239" t="s">
        <v>1357</v>
      </c>
      <c r="B345" s="239" t="s">
        <v>675</v>
      </c>
      <c r="C345" s="239"/>
      <c r="D345" s="239" t="s">
        <v>676</v>
      </c>
      <c r="E345" s="485">
        <f>E346</f>
        <v>0</v>
      </c>
      <c r="F345" s="485">
        <f t="shared" ref="F345:P345" si="349">F346</f>
        <v>0</v>
      </c>
      <c r="G345" s="485">
        <f t="shared" si="349"/>
        <v>0</v>
      </c>
      <c r="H345" s="485">
        <f t="shared" si="349"/>
        <v>0</v>
      </c>
      <c r="I345" s="485">
        <f t="shared" si="349"/>
        <v>0</v>
      </c>
      <c r="J345" s="485">
        <f t="shared" si="349"/>
        <v>21300000</v>
      </c>
      <c r="K345" s="485">
        <f t="shared" si="349"/>
        <v>21300000</v>
      </c>
      <c r="L345" s="485">
        <f t="shared" si="349"/>
        <v>0</v>
      </c>
      <c r="M345" s="485">
        <f t="shared" si="349"/>
        <v>0</v>
      </c>
      <c r="N345" s="485">
        <f t="shared" si="349"/>
        <v>0</v>
      </c>
      <c r="O345" s="485">
        <f t="shared" si="349"/>
        <v>21300000</v>
      </c>
      <c r="P345" s="485">
        <f t="shared" si="349"/>
        <v>21300000</v>
      </c>
      <c r="Q345" s="45"/>
      <c r="R345" s="48"/>
    </row>
    <row r="346" spans="1:18" ht="165" customHeight="1" thickTop="1" thickBot="1" x14ac:dyDescent="0.25">
      <c r="A346" s="94" t="s">
        <v>1358</v>
      </c>
      <c r="B346" s="94" t="s">
        <v>1359</v>
      </c>
      <c r="C346" s="94" t="s">
        <v>205</v>
      </c>
      <c r="D346" s="94" t="s">
        <v>1538</v>
      </c>
      <c r="E346" s="521">
        <f>F346+I346</f>
        <v>0</v>
      </c>
      <c r="F346" s="120"/>
      <c r="G346" s="120"/>
      <c r="H346" s="120"/>
      <c r="I346" s="120"/>
      <c r="J346" s="501">
        <f t="shared" ref="J346" si="350">L346+O346</f>
        <v>21300000</v>
      </c>
      <c r="K346" s="520">
        <f>(16300000)+6000000-1000000</f>
        <v>21300000</v>
      </c>
      <c r="L346" s="121"/>
      <c r="M346" s="121"/>
      <c r="N346" s="121"/>
      <c r="O346" s="502">
        <f t="shared" ref="O346" si="351">K346</f>
        <v>21300000</v>
      </c>
      <c r="P346" s="501">
        <f t="shared" ref="P346" si="352">+J346+E346</f>
        <v>21300000</v>
      </c>
      <c r="Q346" s="45"/>
      <c r="R346" s="48"/>
    </row>
    <row r="347" spans="1:18" s="340" customFormat="1" ht="109.5" customHeight="1" thickTop="1" thickBot="1" x14ac:dyDescent="0.25">
      <c r="A347" s="239" t="s">
        <v>1113</v>
      </c>
      <c r="B347" s="239" t="s">
        <v>678</v>
      </c>
      <c r="C347" s="239"/>
      <c r="D347" s="239" t="s">
        <v>679</v>
      </c>
      <c r="E347" s="485">
        <f>SUM(E350:E350)+E348</f>
        <v>0</v>
      </c>
      <c r="F347" s="485">
        <f t="shared" ref="F347:P347" si="353">SUM(F350:F350)+F348</f>
        <v>0</v>
      </c>
      <c r="G347" s="485">
        <f t="shared" si="353"/>
        <v>0</v>
      </c>
      <c r="H347" s="485">
        <f t="shared" si="353"/>
        <v>0</v>
      </c>
      <c r="I347" s="485">
        <f t="shared" si="353"/>
        <v>0</v>
      </c>
      <c r="J347" s="485">
        <f t="shared" si="353"/>
        <v>500000</v>
      </c>
      <c r="K347" s="485">
        <f t="shared" si="353"/>
        <v>500000</v>
      </c>
      <c r="L347" s="485">
        <f t="shared" si="353"/>
        <v>0</v>
      </c>
      <c r="M347" s="485">
        <f t="shared" si="353"/>
        <v>0</v>
      </c>
      <c r="N347" s="485">
        <f t="shared" si="353"/>
        <v>0</v>
      </c>
      <c r="O347" s="485">
        <f t="shared" si="353"/>
        <v>500000</v>
      </c>
      <c r="P347" s="485">
        <f t="shared" si="353"/>
        <v>500000</v>
      </c>
      <c r="Q347" s="338"/>
      <c r="R347" s="339"/>
    </row>
    <row r="348" spans="1:18" s="340" customFormat="1" ht="109.5" customHeight="1" thickTop="1" thickBot="1" x14ac:dyDescent="0.25">
      <c r="A348" s="518" t="s">
        <v>1554</v>
      </c>
      <c r="B348" s="518" t="s">
        <v>705</v>
      </c>
      <c r="C348" s="518"/>
      <c r="D348" s="507" t="s">
        <v>1520</v>
      </c>
      <c r="E348" s="524">
        <f>SUM(E349:E350)</f>
        <v>0</v>
      </c>
      <c r="F348" s="524">
        <f t="shared" ref="F348" si="354">SUM(F349:F350)</f>
        <v>0</v>
      </c>
      <c r="G348" s="524">
        <f t="shared" ref="G348" si="355">SUM(G349:G350)</f>
        <v>0</v>
      </c>
      <c r="H348" s="524">
        <f t="shared" ref="H348" si="356">SUM(H349:H350)</f>
        <v>0</v>
      </c>
      <c r="I348" s="524">
        <f t="shared" ref="I348" si="357">SUM(I349:I350)</f>
        <v>0</v>
      </c>
      <c r="J348" s="524">
        <f t="shared" ref="J348" si="358">SUM(J349:J350)</f>
        <v>500000</v>
      </c>
      <c r="K348" s="524">
        <f t="shared" ref="K348" si="359">SUM(K349:K350)</f>
        <v>500000</v>
      </c>
      <c r="L348" s="524">
        <f t="shared" ref="L348" si="360">SUM(L349:L350)</f>
        <v>0</v>
      </c>
      <c r="M348" s="524">
        <f t="shared" ref="M348" si="361">SUM(M349:M350)</f>
        <v>0</v>
      </c>
      <c r="N348" s="524">
        <f t="shared" ref="N348" si="362">SUM(N349:N350)</f>
        <v>0</v>
      </c>
      <c r="O348" s="524">
        <f t="shared" ref="O348" si="363">SUM(O349:O350)</f>
        <v>500000</v>
      </c>
      <c r="P348" s="524">
        <f t="shared" ref="P348" si="364">SUM(P349:P350)</f>
        <v>500000</v>
      </c>
      <c r="Q348" s="338"/>
      <c r="R348" s="339"/>
    </row>
    <row r="349" spans="1:18" s="340" customFormat="1" ht="192.75" customHeight="1" thickTop="1" thickBot="1" x14ac:dyDescent="0.25">
      <c r="A349" s="94" t="s">
        <v>1555</v>
      </c>
      <c r="B349" s="94" t="s">
        <v>1459</v>
      </c>
      <c r="C349" s="94" t="s">
        <v>180</v>
      </c>
      <c r="D349" s="507" t="s">
        <v>1709</v>
      </c>
      <c r="E349" s="521">
        <f>F349+I349</f>
        <v>0</v>
      </c>
      <c r="F349" s="128"/>
      <c r="G349" s="128"/>
      <c r="H349" s="128"/>
      <c r="I349" s="128"/>
      <c r="J349" s="501">
        <f t="shared" ref="J349" si="365">L349+O349</f>
        <v>500000</v>
      </c>
      <c r="K349" s="504">
        <v>500000</v>
      </c>
      <c r="L349" s="504"/>
      <c r="M349" s="504"/>
      <c r="N349" s="504"/>
      <c r="O349" s="502">
        <f>K349</f>
        <v>500000</v>
      </c>
      <c r="P349" s="501">
        <f t="shared" ref="P349" si="366">E349+J349</f>
        <v>500000</v>
      </c>
      <c r="Q349" s="338"/>
      <c r="R349" s="339"/>
    </row>
    <row r="350" spans="1:18" s="340" customFormat="1" ht="93" hidden="1" thickTop="1" thickBot="1" x14ac:dyDescent="0.25">
      <c r="A350" s="313" t="s">
        <v>1114</v>
      </c>
      <c r="B350" s="313" t="s">
        <v>1080</v>
      </c>
      <c r="C350" s="313" t="s">
        <v>201</v>
      </c>
      <c r="D350" s="353" t="s">
        <v>1434</v>
      </c>
      <c r="E350" s="335">
        <f t="shared" ref="E350" si="367">F350</f>
        <v>0</v>
      </c>
      <c r="F350" s="336">
        <v>0</v>
      </c>
      <c r="G350" s="336"/>
      <c r="H350" s="336"/>
      <c r="I350" s="336"/>
      <c r="J350" s="335">
        <f>L350+O350</f>
        <v>0</v>
      </c>
      <c r="K350" s="336">
        <f>((0)+1000000)-1000000</f>
        <v>0</v>
      </c>
      <c r="L350" s="336"/>
      <c r="M350" s="336"/>
      <c r="N350" s="336"/>
      <c r="O350" s="337">
        <f>K350</f>
        <v>0</v>
      </c>
      <c r="P350" s="335">
        <f>E350+J350</f>
        <v>0</v>
      </c>
      <c r="Q350" s="338"/>
      <c r="R350" s="339"/>
    </row>
    <row r="351" spans="1:18" ht="87.75" customHeight="1" thickTop="1" thickBot="1" x14ac:dyDescent="0.25">
      <c r="A351" s="239" t="s">
        <v>1360</v>
      </c>
      <c r="B351" s="239" t="s">
        <v>720</v>
      </c>
      <c r="C351" s="239"/>
      <c r="D351" s="239" t="s">
        <v>721</v>
      </c>
      <c r="E351" s="501">
        <f>E352</f>
        <v>0</v>
      </c>
      <c r="F351" s="501">
        <f t="shared" ref="F351:P351" si="368">F352</f>
        <v>0</v>
      </c>
      <c r="G351" s="501">
        <f t="shared" si="368"/>
        <v>0</v>
      </c>
      <c r="H351" s="501">
        <f t="shared" si="368"/>
        <v>0</v>
      </c>
      <c r="I351" s="501">
        <f t="shared" si="368"/>
        <v>0</v>
      </c>
      <c r="J351" s="501">
        <f t="shared" si="368"/>
        <v>3689988</v>
      </c>
      <c r="K351" s="501">
        <f t="shared" si="368"/>
        <v>3689988</v>
      </c>
      <c r="L351" s="501">
        <f t="shared" si="368"/>
        <v>0</v>
      </c>
      <c r="M351" s="501">
        <f t="shared" si="368"/>
        <v>0</v>
      </c>
      <c r="N351" s="501">
        <f t="shared" si="368"/>
        <v>0</v>
      </c>
      <c r="O351" s="501">
        <f t="shared" si="368"/>
        <v>3689988</v>
      </c>
      <c r="P351" s="501">
        <f t="shared" si="368"/>
        <v>3689988</v>
      </c>
      <c r="Q351" s="45"/>
      <c r="R351" s="48"/>
    </row>
    <row r="352" spans="1:18" ht="134.25" customHeight="1" thickTop="1" thickBot="1" x14ac:dyDescent="0.25">
      <c r="A352" s="518" t="s">
        <v>1361</v>
      </c>
      <c r="B352" s="518" t="s">
        <v>723</v>
      </c>
      <c r="C352" s="518"/>
      <c r="D352" s="507" t="s">
        <v>724</v>
      </c>
      <c r="E352" s="524">
        <f>SUM(E353:E354)</f>
        <v>0</v>
      </c>
      <c r="F352" s="524">
        <f t="shared" ref="F352:P352" si="369">SUM(F353:F354)</f>
        <v>0</v>
      </c>
      <c r="G352" s="524">
        <f t="shared" si="369"/>
        <v>0</v>
      </c>
      <c r="H352" s="524">
        <f t="shared" si="369"/>
        <v>0</v>
      </c>
      <c r="I352" s="524">
        <f t="shared" si="369"/>
        <v>0</v>
      </c>
      <c r="J352" s="524">
        <f t="shared" si="369"/>
        <v>3689988</v>
      </c>
      <c r="K352" s="524">
        <f t="shared" si="369"/>
        <v>3689988</v>
      </c>
      <c r="L352" s="524">
        <f t="shared" si="369"/>
        <v>0</v>
      </c>
      <c r="M352" s="524">
        <f t="shared" si="369"/>
        <v>0</v>
      </c>
      <c r="N352" s="524">
        <f t="shared" si="369"/>
        <v>0</v>
      </c>
      <c r="O352" s="524">
        <f t="shared" si="369"/>
        <v>3689988</v>
      </c>
      <c r="P352" s="524">
        <f t="shared" si="369"/>
        <v>3689988</v>
      </c>
      <c r="Q352" s="45"/>
      <c r="R352" s="48"/>
    </row>
    <row r="353" spans="1:18" ht="175.5" customHeight="1" thickTop="1" thickBot="1" x14ac:dyDescent="0.25">
      <c r="A353" s="94" t="s">
        <v>1544</v>
      </c>
      <c r="B353" s="94" t="s">
        <v>1545</v>
      </c>
      <c r="C353" s="94" t="s">
        <v>177</v>
      </c>
      <c r="D353" s="507" t="s">
        <v>1543</v>
      </c>
      <c r="E353" s="521">
        <f>F353+I353</f>
        <v>0</v>
      </c>
      <c r="F353" s="128"/>
      <c r="G353" s="128"/>
      <c r="H353" s="128"/>
      <c r="I353" s="128"/>
      <c r="J353" s="501">
        <f t="shared" ref="J353" si="370">L353+O353</f>
        <v>3689988</v>
      </c>
      <c r="K353" s="504">
        <f>((1000000)+1836296)+853692</f>
        <v>3689988</v>
      </c>
      <c r="L353" s="504"/>
      <c r="M353" s="504"/>
      <c r="N353" s="504"/>
      <c r="O353" s="502">
        <f>K353</f>
        <v>3689988</v>
      </c>
      <c r="P353" s="501">
        <f t="shared" ref="P353" si="371">E353+J353</f>
        <v>3689988</v>
      </c>
      <c r="Q353" s="45"/>
      <c r="R353" s="48"/>
    </row>
    <row r="354" spans="1:18" ht="72.75" hidden="1" customHeight="1" thickTop="1" thickBot="1" x14ac:dyDescent="0.25">
      <c r="A354" s="119" t="s">
        <v>1363</v>
      </c>
      <c r="B354" s="119" t="s">
        <v>1364</v>
      </c>
      <c r="C354" s="119" t="s">
        <v>177</v>
      </c>
      <c r="D354" s="277" t="s">
        <v>1362</v>
      </c>
      <c r="E354" s="118"/>
      <c r="F354" s="125"/>
      <c r="G354" s="125"/>
      <c r="H354" s="125"/>
      <c r="I354" s="125"/>
      <c r="J354" s="118">
        <f t="shared" ref="J354" si="372">L354+O354</f>
        <v>0</v>
      </c>
      <c r="K354" s="125"/>
      <c r="L354" s="125"/>
      <c r="M354" s="125"/>
      <c r="N354" s="125"/>
      <c r="O354" s="123">
        <f>K354</f>
        <v>0</v>
      </c>
      <c r="P354" s="118">
        <f t="shared" ref="P354" si="373">E354+J354</f>
        <v>0</v>
      </c>
      <c r="Q354" s="45"/>
      <c r="R354" s="48"/>
    </row>
    <row r="355" spans="1:18" ht="48" hidden="1" thickTop="1" thickBot="1" x14ac:dyDescent="0.25">
      <c r="A355" s="119"/>
      <c r="B355" s="119"/>
      <c r="C355" s="119"/>
      <c r="D355" s="277"/>
      <c r="E355" s="118"/>
      <c r="F355" s="125"/>
      <c r="G355" s="125"/>
      <c r="H355" s="125"/>
      <c r="I355" s="125"/>
      <c r="J355" s="118"/>
      <c r="K355" s="125"/>
      <c r="L355" s="125"/>
      <c r="M355" s="125"/>
      <c r="N355" s="125"/>
      <c r="O355" s="123"/>
      <c r="P355" s="118"/>
      <c r="Q355" s="45"/>
      <c r="R355" s="48"/>
    </row>
    <row r="356" spans="1:18" ht="103.5" customHeight="1" thickTop="1" thickBot="1" x14ac:dyDescent="0.25">
      <c r="A356" s="239" t="s">
        <v>776</v>
      </c>
      <c r="B356" s="239" t="s">
        <v>734</v>
      </c>
      <c r="C356" s="94"/>
      <c r="D356" s="239" t="s">
        <v>735</v>
      </c>
      <c r="E356" s="521">
        <f>E357+E359</f>
        <v>0</v>
      </c>
      <c r="F356" s="521">
        <f t="shared" ref="F356:P356" si="374">F357+F359</f>
        <v>0</v>
      </c>
      <c r="G356" s="521">
        <f t="shared" si="374"/>
        <v>0</v>
      </c>
      <c r="H356" s="521">
        <f t="shared" si="374"/>
        <v>0</v>
      </c>
      <c r="I356" s="521">
        <f t="shared" si="374"/>
        <v>0</v>
      </c>
      <c r="J356" s="521">
        <f t="shared" si="374"/>
        <v>3315815</v>
      </c>
      <c r="K356" s="521">
        <f t="shared" si="374"/>
        <v>3315815</v>
      </c>
      <c r="L356" s="521">
        <f t="shared" si="374"/>
        <v>0</v>
      </c>
      <c r="M356" s="521">
        <f t="shared" si="374"/>
        <v>0</v>
      </c>
      <c r="N356" s="521">
        <f t="shared" si="374"/>
        <v>0</v>
      </c>
      <c r="O356" s="521">
        <f t="shared" si="374"/>
        <v>3315815</v>
      </c>
      <c r="P356" s="521">
        <f t="shared" si="374"/>
        <v>3315815</v>
      </c>
      <c r="Q356" s="45"/>
      <c r="R356" s="48"/>
    </row>
    <row r="357" spans="1:18" ht="82.5" hidden="1" customHeight="1" thickTop="1" thickBot="1" x14ac:dyDescent="0.25">
      <c r="A357" s="131" t="s">
        <v>777</v>
      </c>
      <c r="B357" s="131" t="s">
        <v>778</v>
      </c>
      <c r="C357" s="131"/>
      <c r="D357" s="131" t="s">
        <v>779</v>
      </c>
      <c r="E357" s="147">
        <f>E358</f>
        <v>0</v>
      </c>
      <c r="F357" s="147">
        <f t="shared" ref="F357:P357" si="375">F358</f>
        <v>0</v>
      </c>
      <c r="G357" s="147">
        <f t="shared" si="375"/>
        <v>0</v>
      </c>
      <c r="H357" s="147">
        <f t="shared" si="375"/>
        <v>0</v>
      </c>
      <c r="I357" s="147">
        <f t="shared" si="375"/>
        <v>0</v>
      </c>
      <c r="J357" s="147">
        <f t="shared" si="375"/>
        <v>0</v>
      </c>
      <c r="K357" s="147">
        <f t="shared" si="375"/>
        <v>0</v>
      </c>
      <c r="L357" s="147">
        <f t="shared" si="375"/>
        <v>0</v>
      </c>
      <c r="M357" s="147">
        <f t="shared" si="375"/>
        <v>0</v>
      </c>
      <c r="N357" s="147">
        <f t="shared" si="375"/>
        <v>0</v>
      </c>
      <c r="O357" s="147">
        <f t="shared" si="375"/>
        <v>0</v>
      </c>
      <c r="P357" s="147">
        <f t="shared" si="375"/>
        <v>0</v>
      </c>
      <c r="Q357" s="45"/>
      <c r="R357" s="48"/>
    </row>
    <row r="358" spans="1:18" ht="184.5" hidden="1" thickTop="1" thickBot="1" x14ac:dyDescent="0.25">
      <c r="A358" s="119" t="s">
        <v>422</v>
      </c>
      <c r="B358" s="119" t="s">
        <v>423</v>
      </c>
      <c r="C358" s="119" t="s">
        <v>190</v>
      </c>
      <c r="D358" s="119" t="s">
        <v>1062</v>
      </c>
      <c r="E358" s="118"/>
      <c r="F358" s="125"/>
      <c r="G358" s="125"/>
      <c r="H358" s="125"/>
      <c r="I358" s="125"/>
      <c r="J358" s="118">
        <f t="shared" si="342"/>
        <v>0</v>
      </c>
      <c r="K358" s="125"/>
      <c r="L358" s="125"/>
      <c r="M358" s="125"/>
      <c r="N358" s="125"/>
      <c r="O358" s="123">
        <f t="shared" ref="O358" si="376">K358</f>
        <v>0</v>
      </c>
      <c r="P358" s="118">
        <f t="shared" si="343"/>
        <v>0</v>
      </c>
      <c r="Q358" s="45"/>
      <c r="R358" s="44"/>
    </row>
    <row r="359" spans="1:18" ht="195" customHeight="1" thickTop="1" thickBot="1" x14ac:dyDescent="0.25">
      <c r="A359" s="94" t="s">
        <v>1548</v>
      </c>
      <c r="B359" s="94" t="s">
        <v>1455</v>
      </c>
      <c r="C359" s="94" t="s">
        <v>190</v>
      </c>
      <c r="D359" s="94" t="s">
        <v>1549</v>
      </c>
      <c r="E359" s="521">
        <f>F359+I359</f>
        <v>0</v>
      </c>
      <c r="F359" s="125"/>
      <c r="G359" s="125"/>
      <c r="H359" s="125"/>
      <c r="I359" s="125"/>
      <c r="J359" s="501">
        <f t="shared" ref="J359" si="377">L359+O359</f>
        <v>3315815</v>
      </c>
      <c r="K359" s="504">
        <f>(5000000)-1684185</f>
        <v>3315815</v>
      </c>
      <c r="L359" s="504"/>
      <c r="M359" s="504"/>
      <c r="N359" s="504"/>
      <c r="O359" s="502">
        <f t="shared" ref="O359" si="378">K359</f>
        <v>3315815</v>
      </c>
      <c r="P359" s="501">
        <f t="shared" ref="P359" si="379">E359+J359</f>
        <v>3315815</v>
      </c>
      <c r="Q359" s="45"/>
      <c r="R359" s="44"/>
    </row>
    <row r="360" spans="1:18" ht="141.75" hidden="1" customHeight="1" thickTop="1" thickBot="1" x14ac:dyDescent="0.25">
      <c r="A360" s="239" t="s">
        <v>1559</v>
      </c>
      <c r="B360" s="239" t="s">
        <v>707</v>
      </c>
      <c r="C360" s="94"/>
      <c r="D360" s="239" t="s">
        <v>708</v>
      </c>
      <c r="E360" s="521">
        <f>E361+E363</f>
        <v>0</v>
      </c>
      <c r="F360" s="521">
        <f t="shared" ref="F360" si="380">F361+F363</f>
        <v>0</v>
      </c>
      <c r="G360" s="521">
        <f t="shared" ref="G360" si="381">G361+G363</f>
        <v>0</v>
      </c>
      <c r="H360" s="521">
        <f t="shared" ref="H360" si="382">H361+H363</f>
        <v>0</v>
      </c>
      <c r="I360" s="521">
        <f t="shared" ref="I360" si="383">I361+I363</f>
        <v>0</v>
      </c>
      <c r="J360" s="521">
        <f t="shared" ref="J360" si="384">J361+J363</f>
        <v>0</v>
      </c>
      <c r="K360" s="521">
        <f t="shared" ref="K360" si="385">K361+K363</f>
        <v>0</v>
      </c>
      <c r="L360" s="521">
        <f t="shared" ref="L360" si="386">L361+L363</f>
        <v>0</v>
      </c>
      <c r="M360" s="521">
        <f t="shared" ref="M360" si="387">M361+M363</f>
        <v>0</v>
      </c>
      <c r="N360" s="521">
        <f t="shared" ref="N360" si="388">N361+N363</f>
        <v>0</v>
      </c>
      <c r="O360" s="521">
        <f t="shared" ref="O360" si="389">O361+O363</f>
        <v>0</v>
      </c>
      <c r="P360" s="521">
        <f t="shared" ref="P360" si="390">P361+P363</f>
        <v>0</v>
      </c>
      <c r="Q360" s="45"/>
      <c r="R360" s="44"/>
    </row>
    <row r="361" spans="1:18" ht="195" hidden="1" customHeight="1" thickTop="1" thickBot="1" x14ac:dyDescent="0.25">
      <c r="A361" s="94" t="s">
        <v>1560</v>
      </c>
      <c r="B361" s="94" t="s">
        <v>1354</v>
      </c>
      <c r="C361" s="94" t="s">
        <v>1039</v>
      </c>
      <c r="D361" s="94" t="s">
        <v>1529</v>
      </c>
      <c r="E361" s="118"/>
      <c r="F361" s="125"/>
      <c r="G361" s="125"/>
      <c r="H361" s="125"/>
      <c r="I361" s="125"/>
      <c r="J361" s="501">
        <f t="shared" ref="J361" si="391">L361+O361</f>
        <v>0</v>
      </c>
      <c r="K361" s="504">
        <v>0</v>
      </c>
      <c r="L361" s="504"/>
      <c r="M361" s="504"/>
      <c r="N361" s="504"/>
      <c r="O361" s="502">
        <f t="shared" ref="O361" si="392">K361</f>
        <v>0</v>
      </c>
      <c r="P361" s="501">
        <f t="shared" ref="P361" si="393">E361+J361</f>
        <v>0</v>
      </c>
      <c r="Q361" s="45"/>
      <c r="R361" s="44"/>
    </row>
    <row r="362" spans="1:18" ht="195" hidden="1" customHeight="1" thickTop="1" thickBot="1" x14ac:dyDescent="0.25">
      <c r="A362" s="94"/>
      <c r="B362" s="94"/>
      <c r="C362" s="94"/>
      <c r="D362" s="94"/>
      <c r="E362" s="118"/>
      <c r="F362" s="125"/>
      <c r="G362" s="125"/>
      <c r="H362" s="125"/>
      <c r="I362" s="125"/>
      <c r="J362" s="501"/>
      <c r="K362" s="504"/>
      <c r="L362" s="504"/>
      <c r="M362" s="504"/>
      <c r="N362" s="504"/>
      <c r="O362" s="502"/>
      <c r="P362" s="501"/>
      <c r="Q362" s="45"/>
      <c r="R362" s="44"/>
    </row>
    <row r="363" spans="1:18" ht="195" hidden="1" customHeight="1" thickTop="1" thickBot="1" x14ac:dyDescent="0.25">
      <c r="A363" s="94"/>
      <c r="B363" s="94"/>
      <c r="C363" s="94"/>
      <c r="D363" s="94"/>
      <c r="E363" s="118"/>
      <c r="F363" s="125"/>
      <c r="G363" s="125"/>
      <c r="H363" s="125"/>
      <c r="I363" s="125"/>
      <c r="J363" s="501"/>
      <c r="K363" s="504"/>
      <c r="L363" s="504"/>
      <c r="M363" s="504"/>
      <c r="N363" s="504"/>
      <c r="O363" s="502"/>
      <c r="P363" s="501"/>
      <c r="Q363" s="45"/>
      <c r="R363" s="44"/>
    </row>
    <row r="364" spans="1:18" ht="106.5" customHeight="1" thickTop="1" thickBot="1" x14ac:dyDescent="0.25">
      <c r="A364" s="483" t="s">
        <v>780</v>
      </c>
      <c r="B364" s="483" t="s">
        <v>713</v>
      </c>
      <c r="C364" s="469"/>
      <c r="D364" s="483" t="s">
        <v>757</v>
      </c>
      <c r="E364" s="485">
        <f>E365+E372+E368</f>
        <v>500000</v>
      </c>
      <c r="F364" s="485">
        <f t="shared" ref="F364:P364" si="394">F365+F372+F368</f>
        <v>500000</v>
      </c>
      <c r="G364" s="485">
        <f t="shared" si="394"/>
        <v>0</v>
      </c>
      <c r="H364" s="485">
        <f t="shared" si="394"/>
        <v>0</v>
      </c>
      <c r="I364" s="485">
        <f t="shared" si="394"/>
        <v>0</v>
      </c>
      <c r="J364" s="485">
        <f t="shared" si="394"/>
        <v>24235447</v>
      </c>
      <c r="K364" s="485">
        <f t="shared" si="394"/>
        <v>24235447</v>
      </c>
      <c r="L364" s="485">
        <f t="shared" si="394"/>
        <v>0</v>
      </c>
      <c r="M364" s="485">
        <f t="shared" si="394"/>
        <v>0</v>
      </c>
      <c r="N364" s="485">
        <f t="shared" si="394"/>
        <v>0</v>
      </c>
      <c r="O364" s="485">
        <f t="shared" si="394"/>
        <v>24235447</v>
      </c>
      <c r="P364" s="485">
        <f t="shared" si="394"/>
        <v>24735447</v>
      </c>
      <c r="Q364" s="43"/>
      <c r="R364" s="44"/>
    </row>
    <row r="365" spans="1:18" ht="109.5" customHeight="1" thickTop="1" thickBot="1" x14ac:dyDescent="0.25">
      <c r="A365" s="496" t="s">
        <v>781</v>
      </c>
      <c r="B365" s="496" t="s">
        <v>765</v>
      </c>
      <c r="C365" s="496"/>
      <c r="D365" s="496" t="s">
        <v>1711</v>
      </c>
      <c r="E365" s="495">
        <f>E366</f>
        <v>0</v>
      </c>
      <c r="F365" s="495">
        <f t="shared" ref="F365:P365" si="395">F366</f>
        <v>0</v>
      </c>
      <c r="G365" s="495">
        <f t="shared" si="395"/>
        <v>0</v>
      </c>
      <c r="H365" s="495">
        <f t="shared" si="395"/>
        <v>0</v>
      </c>
      <c r="I365" s="495">
        <f t="shared" si="395"/>
        <v>0</v>
      </c>
      <c r="J365" s="495">
        <f t="shared" si="395"/>
        <v>23268747</v>
      </c>
      <c r="K365" s="495">
        <f t="shared" si="395"/>
        <v>23268747</v>
      </c>
      <c r="L365" s="495">
        <f t="shared" si="395"/>
        <v>0</v>
      </c>
      <c r="M365" s="495">
        <f t="shared" si="395"/>
        <v>0</v>
      </c>
      <c r="N365" s="495">
        <f t="shared" si="395"/>
        <v>0</v>
      </c>
      <c r="O365" s="495">
        <f t="shared" si="395"/>
        <v>23268747</v>
      </c>
      <c r="P365" s="495">
        <f t="shared" si="395"/>
        <v>23268747</v>
      </c>
      <c r="Q365" s="43"/>
      <c r="R365" s="44"/>
    </row>
    <row r="366" spans="1:18" ht="184.5" customHeight="1" thickTop="1" thickBot="1" x14ac:dyDescent="0.3">
      <c r="A366" s="469" t="s">
        <v>307</v>
      </c>
      <c r="B366" s="469" t="s">
        <v>308</v>
      </c>
      <c r="C366" s="469" t="s">
        <v>165</v>
      </c>
      <c r="D366" s="469" t="s">
        <v>1525</v>
      </c>
      <c r="E366" s="521">
        <f>F366+I366</f>
        <v>0</v>
      </c>
      <c r="F366" s="125"/>
      <c r="G366" s="125"/>
      <c r="H366" s="125"/>
      <c r="I366" s="125"/>
      <c r="J366" s="485">
        <f t="shared" si="342"/>
        <v>23268747</v>
      </c>
      <c r="K366" s="487">
        <f>((10900000)+12073938)+294809</f>
        <v>23268747</v>
      </c>
      <c r="L366" s="487"/>
      <c r="M366" s="487"/>
      <c r="N366" s="487"/>
      <c r="O366" s="488">
        <f>K366</f>
        <v>23268747</v>
      </c>
      <c r="P366" s="485">
        <f t="shared" si="343"/>
        <v>23268747</v>
      </c>
      <c r="Q366" s="151"/>
      <c r="R366" s="44"/>
    </row>
    <row r="367" spans="1:18" ht="48" hidden="1" thickTop="1" thickBot="1" x14ac:dyDescent="0.25">
      <c r="A367" s="39" t="s">
        <v>426</v>
      </c>
      <c r="B367" s="39" t="s">
        <v>341</v>
      </c>
      <c r="C367" s="39" t="s">
        <v>165</v>
      </c>
      <c r="D367" s="39" t="s">
        <v>256</v>
      </c>
      <c r="E367" s="40">
        <f>F367</f>
        <v>0</v>
      </c>
      <c r="F367" s="41"/>
      <c r="G367" s="41"/>
      <c r="H367" s="41"/>
      <c r="I367" s="41"/>
      <c r="J367" s="40">
        <f t="shared" si="342"/>
        <v>0</v>
      </c>
      <c r="K367" s="41">
        <v>0</v>
      </c>
      <c r="L367" s="41"/>
      <c r="M367" s="41"/>
      <c r="N367" s="41"/>
      <c r="O367" s="42">
        <f>K367</f>
        <v>0</v>
      </c>
      <c r="P367" s="40">
        <f t="shared" si="343"/>
        <v>0</v>
      </c>
      <c r="Q367" s="18"/>
      <c r="R367" s="44"/>
    </row>
    <row r="368" spans="1:18" ht="129" customHeight="1" thickTop="1" thickBot="1" x14ac:dyDescent="0.25">
      <c r="A368" s="496" t="s">
        <v>1788</v>
      </c>
      <c r="B368" s="496" t="s">
        <v>768</v>
      </c>
      <c r="C368" s="496"/>
      <c r="D368" s="496" t="s">
        <v>769</v>
      </c>
      <c r="E368" s="495">
        <f>E371+E369</f>
        <v>200000</v>
      </c>
      <c r="F368" s="495">
        <f t="shared" ref="F368:P368" si="396">F371+F369</f>
        <v>200000</v>
      </c>
      <c r="G368" s="495">
        <f t="shared" si="396"/>
        <v>0</v>
      </c>
      <c r="H368" s="495">
        <f t="shared" si="396"/>
        <v>0</v>
      </c>
      <c r="I368" s="495">
        <f t="shared" si="396"/>
        <v>0</v>
      </c>
      <c r="J368" s="495">
        <f t="shared" si="396"/>
        <v>966700</v>
      </c>
      <c r="K368" s="495">
        <f t="shared" si="396"/>
        <v>966700</v>
      </c>
      <c r="L368" s="495">
        <f t="shared" si="396"/>
        <v>0</v>
      </c>
      <c r="M368" s="495">
        <f t="shared" si="396"/>
        <v>0</v>
      </c>
      <c r="N368" s="495">
        <f t="shared" si="396"/>
        <v>0</v>
      </c>
      <c r="O368" s="495">
        <f t="shared" si="396"/>
        <v>966700</v>
      </c>
      <c r="P368" s="495">
        <f t="shared" si="396"/>
        <v>1166700</v>
      </c>
      <c r="Q368" s="18"/>
      <c r="R368" s="44"/>
    </row>
    <row r="369" spans="1:18" ht="129" customHeight="1" thickTop="1" thickBot="1" x14ac:dyDescent="0.25">
      <c r="A369" s="518" t="s">
        <v>1796</v>
      </c>
      <c r="B369" s="518" t="s">
        <v>898</v>
      </c>
      <c r="C369" s="518"/>
      <c r="D369" s="518" t="s">
        <v>899</v>
      </c>
      <c r="E369" s="543">
        <f>E370</f>
        <v>200000</v>
      </c>
      <c r="F369" s="543">
        <f t="shared" ref="F369:P369" si="397">F370</f>
        <v>200000</v>
      </c>
      <c r="G369" s="543">
        <f t="shared" si="397"/>
        <v>0</v>
      </c>
      <c r="H369" s="543">
        <f t="shared" si="397"/>
        <v>0</v>
      </c>
      <c r="I369" s="543">
        <f t="shared" si="397"/>
        <v>0</v>
      </c>
      <c r="J369" s="543">
        <f t="shared" si="397"/>
        <v>0</v>
      </c>
      <c r="K369" s="543">
        <f t="shared" si="397"/>
        <v>0</v>
      </c>
      <c r="L369" s="543">
        <f t="shared" si="397"/>
        <v>0</v>
      </c>
      <c r="M369" s="543">
        <f t="shared" si="397"/>
        <v>0</v>
      </c>
      <c r="N369" s="543">
        <f t="shared" si="397"/>
        <v>0</v>
      </c>
      <c r="O369" s="543">
        <f t="shared" si="397"/>
        <v>0</v>
      </c>
      <c r="P369" s="543">
        <f t="shared" si="397"/>
        <v>200000</v>
      </c>
      <c r="Q369" s="18"/>
      <c r="R369" s="44"/>
    </row>
    <row r="370" spans="1:18" ht="197.25" customHeight="1" thickTop="1" thickBot="1" x14ac:dyDescent="0.25">
      <c r="A370" s="94" t="s">
        <v>1797</v>
      </c>
      <c r="B370" s="94" t="s">
        <v>287</v>
      </c>
      <c r="C370" s="94" t="s">
        <v>289</v>
      </c>
      <c r="D370" s="721" t="s">
        <v>288</v>
      </c>
      <c r="E370" s="521">
        <f>F370+I370</f>
        <v>200000</v>
      </c>
      <c r="F370" s="504">
        <v>200000</v>
      </c>
      <c r="G370" s="504"/>
      <c r="H370" s="504"/>
      <c r="I370" s="504"/>
      <c r="J370" s="501">
        <f t="shared" ref="J370" si="398">L370+O370</f>
        <v>0</v>
      </c>
      <c r="K370" s="504"/>
      <c r="L370" s="504"/>
      <c r="M370" s="504"/>
      <c r="N370" s="504"/>
      <c r="O370" s="502">
        <f>K370</f>
        <v>0</v>
      </c>
      <c r="P370" s="501">
        <f t="shared" ref="P370" si="399">E370+J370</f>
        <v>200000</v>
      </c>
      <c r="Q370" s="18"/>
      <c r="R370" s="44"/>
    </row>
    <row r="371" spans="1:18" ht="195" customHeight="1" thickTop="1" thickBot="1" x14ac:dyDescent="0.25">
      <c r="A371" s="469" t="s">
        <v>1789</v>
      </c>
      <c r="B371" s="469" t="s">
        <v>1534</v>
      </c>
      <c r="C371" s="469" t="s">
        <v>289</v>
      </c>
      <c r="D371" s="469" t="s">
        <v>1532</v>
      </c>
      <c r="E371" s="521">
        <f>F371+I371</f>
        <v>0</v>
      </c>
      <c r="F371" s="125"/>
      <c r="G371" s="125"/>
      <c r="H371" s="125"/>
      <c r="I371" s="125"/>
      <c r="J371" s="485">
        <f t="shared" ref="J371" si="400">L371+O371</f>
        <v>966700</v>
      </c>
      <c r="K371" s="487">
        <v>966700</v>
      </c>
      <c r="L371" s="487"/>
      <c r="M371" s="487"/>
      <c r="N371" s="487"/>
      <c r="O371" s="488">
        <f>K371</f>
        <v>966700</v>
      </c>
      <c r="P371" s="485">
        <f t="shared" ref="P371" si="401">E371+J371</f>
        <v>966700</v>
      </c>
      <c r="Q371" s="18"/>
      <c r="R371" s="44"/>
    </row>
    <row r="372" spans="1:18" ht="115.5" customHeight="1" thickTop="1" thickBot="1" x14ac:dyDescent="0.25">
      <c r="A372" s="496" t="s">
        <v>925</v>
      </c>
      <c r="B372" s="496" t="s">
        <v>659</v>
      </c>
      <c r="C372" s="496"/>
      <c r="D372" s="496" t="s">
        <v>657</v>
      </c>
      <c r="E372" s="530">
        <f>E373</f>
        <v>300000</v>
      </c>
      <c r="F372" s="530">
        <f>F373</f>
        <v>300000</v>
      </c>
      <c r="G372" s="530">
        <f>G373</f>
        <v>0</v>
      </c>
      <c r="H372" s="530">
        <f>H373</f>
        <v>0</v>
      </c>
      <c r="I372" s="530">
        <f>I373</f>
        <v>0</v>
      </c>
      <c r="J372" s="530">
        <f t="shared" ref="J372:O372" si="402">J373</f>
        <v>0</v>
      </c>
      <c r="K372" s="530">
        <f t="shared" si="402"/>
        <v>0</v>
      </c>
      <c r="L372" s="530">
        <f t="shared" si="402"/>
        <v>0</v>
      </c>
      <c r="M372" s="530">
        <f t="shared" si="402"/>
        <v>0</v>
      </c>
      <c r="N372" s="530">
        <f t="shared" si="402"/>
        <v>0</v>
      </c>
      <c r="O372" s="530">
        <f t="shared" si="402"/>
        <v>0</v>
      </c>
      <c r="P372" s="530">
        <f>P373</f>
        <v>300000</v>
      </c>
      <c r="Q372" s="18"/>
      <c r="R372" s="44"/>
    </row>
    <row r="373" spans="1:18" ht="116.25" customHeight="1" thickTop="1" thickBot="1" x14ac:dyDescent="0.25">
      <c r="A373" s="481" t="s">
        <v>926</v>
      </c>
      <c r="B373" s="481" t="s">
        <v>662</v>
      </c>
      <c r="C373" s="481"/>
      <c r="D373" s="481" t="s">
        <v>660</v>
      </c>
      <c r="E373" s="697">
        <f>E374+E376</f>
        <v>300000</v>
      </c>
      <c r="F373" s="697">
        <f t="shared" ref="F373:P373" si="403">F374+F376</f>
        <v>300000</v>
      </c>
      <c r="G373" s="697">
        <f t="shared" si="403"/>
        <v>0</v>
      </c>
      <c r="H373" s="697">
        <f t="shared" si="403"/>
        <v>0</v>
      </c>
      <c r="I373" s="697">
        <f t="shared" si="403"/>
        <v>0</v>
      </c>
      <c r="J373" s="697">
        <f t="shared" si="403"/>
        <v>0</v>
      </c>
      <c r="K373" s="697">
        <f t="shared" si="403"/>
        <v>0</v>
      </c>
      <c r="L373" s="697">
        <f t="shared" si="403"/>
        <v>0</v>
      </c>
      <c r="M373" s="697">
        <f t="shared" si="403"/>
        <v>0</v>
      </c>
      <c r="N373" s="697">
        <f t="shared" si="403"/>
        <v>0</v>
      </c>
      <c r="O373" s="697">
        <f t="shared" si="403"/>
        <v>0</v>
      </c>
      <c r="P373" s="697">
        <f t="shared" si="403"/>
        <v>300000</v>
      </c>
      <c r="Q373" s="18"/>
      <c r="R373" s="44"/>
    </row>
    <row r="374" spans="1:18" ht="184.5" hidden="1" thickTop="1" thickBot="1" x14ac:dyDescent="0.7">
      <c r="A374" s="803" t="s">
        <v>927</v>
      </c>
      <c r="B374" s="803" t="s">
        <v>329</v>
      </c>
      <c r="C374" s="803" t="s">
        <v>165</v>
      </c>
      <c r="D374" s="152" t="s">
        <v>429</v>
      </c>
      <c r="E374" s="804">
        <f t="shared" ref="E374" si="404">F374</f>
        <v>0</v>
      </c>
      <c r="F374" s="796"/>
      <c r="G374" s="796"/>
      <c r="H374" s="796"/>
      <c r="I374" s="796"/>
      <c r="J374" s="804">
        <f t="shared" ref="J374" si="405">L374+O374</f>
        <v>0</v>
      </c>
      <c r="K374" s="796"/>
      <c r="L374" s="796"/>
      <c r="M374" s="796"/>
      <c r="N374" s="796"/>
      <c r="O374" s="797">
        <f>K374</f>
        <v>0</v>
      </c>
      <c r="P374" s="802">
        <f>E374+J374</f>
        <v>0</v>
      </c>
      <c r="Q374" s="18"/>
      <c r="R374" s="44"/>
    </row>
    <row r="375" spans="1:18" ht="93" hidden="1" thickTop="1" thickBot="1" x14ac:dyDescent="0.25">
      <c r="A375" s="803"/>
      <c r="B375" s="803"/>
      <c r="C375" s="803"/>
      <c r="D375" s="153" t="s">
        <v>430</v>
      </c>
      <c r="E375" s="804"/>
      <c r="F375" s="796"/>
      <c r="G375" s="796"/>
      <c r="H375" s="796"/>
      <c r="I375" s="796"/>
      <c r="J375" s="804"/>
      <c r="K375" s="796"/>
      <c r="L375" s="796"/>
      <c r="M375" s="796"/>
      <c r="N375" s="796"/>
      <c r="O375" s="797"/>
      <c r="P375" s="802"/>
      <c r="Q375" s="18"/>
      <c r="R375" s="44"/>
    </row>
    <row r="376" spans="1:18" ht="106.5" customHeight="1" thickTop="1" thickBot="1" x14ac:dyDescent="0.25">
      <c r="A376" s="469" t="s">
        <v>1073</v>
      </c>
      <c r="B376" s="469" t="s">
        <v>251</v>
      </c>
      <c r="C376" s="469" t="s">
        <v>165</v>
      </c>
      <c r="D376" s="696" t="s">
        <v>249</v>
      </c>
      <c r="E376" s="471">
        <f>F376+I376</f>
        <v>300000</v>
      </c>
      <c r="F376" s="487">
        <v>300000</v>
      </c>
      <c r="G376" s="487"/>
      <c r="H376" s="487"/>
      <c r="I376" s="487"/>
      <c r="J376" s="485">
        <f t="shared" ref="J376" si="406">L376+O376</f>
        <v>0</v>
      </c>
      <c r="K376" s="487"/>
      <c r="L376" s="487"/>
      <c r="M376" s="487"/>
      <c r="N376" s="487"/>
      <c r="O376" s="488">
        <f>K376</f>
        <v>0</v>
      </c>
      <c r="P376" s="485">
        <f t="shared" ref="P376" si="407">E376+J376</f>
        <v>300000</v>
      </c>
      <c r="Q376" s="18"/>
      <c r="R376" s="44"/>
    </row>
    <row r="377" spans="1:18" ht="91.5" thickTop="1" thickBot="1" x14ac:dyDescent="0.25">
      <c r="A377" s="514" t="s">
        <v>155</v>
      </c>
      <c r="B377" s="514"/>
      <c r="C377" s="514"/>
      <c r="D377" s="515" t="s">
        <v>850</v>
      </c>
      <c r="E377" s="516">
        <f>E378</f>
        <v>12823783</v>
      </c>
      <c r="F377" s="517">
        <f t="shared" ref="F377:G377" si="408">F378</f>
        <v>12823783</v>
      </c>
      <c r="G377" s="517">
        <f t="shared" si="408"/>
        <v>9665347</v>
      </c>
      <c r="H377" s="517">
        <f>H378</f>
        <v>383080</v>
      </c>
      <c r="I377" s="517">
        <f t="shared" ref="I377" si="409">I378</f>
        <v>0</v>
      </c>
      <c r="J377" s="516">
        <f>J378</f>
        <v>1240000</v>
      </c>
      <c r="K377" s="517">
        <f>K378</f>
        <v>1240000</v>
      </c>
      <c r="L377" s="517">
        <f>L378</f>
        <v>0</v>
      </c>
      <c r="M377" s="517">
        <f t="shared" ref="M377" si="410">M378</f>
        <v>0</v>
      </c>
      <c r="N377" s="517">
        <f>N378</f>
        <v>0</v>
      </c>
      <c r="O377" s="516">
        <f>O378</f>
        <v>1240000</v>
      </c>
      <c r="P377" s="517">
        <f t="shared" ref="P377" si="411">P378</f>
        <v>14063783</v>
      </c>
      <c r="Q377" s="18"/>
    </row>
    <row r="378" spans="1:18" ht="148.5" customHeight="1" thickTop="1" thickBot="1" x14ac:dyDescent="0.25">
      <c r="A378" s="511" t="s">
        <v>156</v>
      </c>
      <c r="B378" s="511"/>
      <c r="C378" s="511"/>
      <c r="D378" s="512" t="s">
        <v>851</v>
      </c>
      <c r="E378" s="513">
        <f>E379+E383</f>
        <v>12823783</v>
      </c>
      <c r="F378" s="513">
        <f>F379+F383</f>
        <v>12823783</v>
      </c>
      <c r="G378" s="513">
        <f>G379+G383</f>
        <v>9665347</v>
      </c>
      <c r="H378" s="513">
        <f>H379+H383</f>
        <v>383080</v>
      </c>
      <c r="I378" s="513">
        <f>I379+I383</f>
        <v>0</v>
      </c>
      <c r="J378" s="513">
        <f>L378+O378</f>
        <v>1240000</v>
      </c>
      <c r="K378" s="513">
        <f>K379+K383</f>
        <v>1240000</v>
      </c>
      <c r="L378" s="513">
        <f>L379+L383</f>
        <v>0</v>
      </c>
      <c r="M378" s="513">
        <f>M379+M383</f>
        <v>0</v>
      </c>
      <c r="N378" s="513">
        <f>N379+N383</f>
        <v>0</v>
      </c>
      <c r="O378" s="513">
        <f>O379+O383</f>
        <v>1240000</v>
      </c>
      <c r="P378" s="513">
        <f>E378+J378</f>
        <v>14063783</v>
      </c>
      <c r="Q378" s="546" t="b">
        <f>P378=P380+P385+P386+P382</f>
        <v>0</v>
      </c>
      <c r="R378" s="44"/>
    </row>
    <row r="379" spans="1:18" ht="90.75" customHeight="1" thickTop="1" thickBot="1" x14ac:dyDescent="0.25">
      <c r="A379" s="239" t="s">
        <v>783</v>
      </c>
      <c r="B379" s="239" t="s">
        <v>652</v>
      </c>
      <c r="C379" s="239"/>
      <c r="D379" s="483" t="s">
        <v>653</v>
      </c>
      <c r="E379" s="501">
        <f>SUM(E380:E382)</f>
        <v>12823783</v>
      </c>
      <c r="F379" s="501">
        <f t="shared" ref="F379:N379" si="412">SUM(F380:F382)</f>
        <v>12823783</v>
      </c>
      <c r="G379" s="501">
        <f t="shared" si="412"/>
        <v>9665347</v>
      </c>
      <c r="H379" s="501">
        <f t="shared" si="412"/>
        <v>383080</v>
      </c>
      <c r="I379" s="501">
        <f t="shared" si="412"/>
        <v>0</v>
      </c>
      <c r="J379" s="501">
        <f t="shared" si="412"/>
        <v>0</v>
      </c>
      <c r="K379" s="501">
        <f t="shared" si="412"/>
        <v>0</v>
      </c>
      <c r="L379" s="501">
        <f t="shared" si="412"/>
        <v>0</v>
      </c>
      <c r="M379" s="501">
        <f t="shared" si="412"/>
        <v>0</v>
      </c>
      <c r="N379" s="501">
        <f t="shared" si="412"/>
        <v>0</v>
      </c>
      <c r="O379" s="501">
        <f>SUM(O380:O382)</f>
        <v>0</v>
      </c>
      <c r="P379" s="501">
        <f>SUM(P380:P382)</f>
        <v>12823783</v>
      </c>
      <c r="Q379" s="45"/>
      <c r="R379" s="44"/>
    </row>
    <row r="380" spans="1:18" ht="149.25" customHeight="1" thickTop="1" thickBot="1" x14ac:dyDescent="0.25">
      <c r="A380" s="94" t="s">
        <v>408</v>
      </c>
      <c r="B380" s="94" t="s">
        <v>231</v>
      </c>
      <c r="C380" s="94" t="s">
        <v>229</v>
      </c>
      <c r="D380" s="469" t="s">
        <v>1515</v>
      </c>
      <c r="E380" s="471">
        <f>F380+I380</f>
        <v>12718883</v>
      </c>
      <c r="F380" s="504">
        <f>((12580883)+30000+25000+20000)+63000</f>
        <v>12718883</v>
      </c>
      <c r="G380" s="504">
        <v>9665347</v>
      </c>
      <c r="H380" s="504">
        <v>383080</v>
      </c>
      <c r="I380" s="125"/>
      <c r="J380" s="501">
        <f>L380+O380</f>
        <v>0</v>
      </c>
      <c r="K380" s="125"/>
      <c r="L380" s="125"/>
      <c r="M380" s="125"/>
      <c r="N380" s="125"/>
      <c r="O380" s="502">
        <f>K380</f>
        <v>0</v>
      </c>
      <c r="P380" s="501">
        <f>E380+J380</f>
        <v>12718883</v>
      </c>
      <c r="Q380" s="45"/>
      <c r="R380" s="44"/>
    </row>
    <row r="381" spans="1:18" ht="132" customHeight="1" thickTop="1" thickBot="1" x14ac:dyDescent="0.25">
      <c r="A381" s="94" t="s">
        <v>604</v>
      </c>
      <c r="B381" s="94" t="s">
        <v>352</v>
      </c>
      <c r="C381" s="94" t="s">
        <v>598</v>
      </c>
      <c r="D381" s="94" t="s">
        <v>599</v>
      </c>
      <c r="E381" s="521">
        <f>F381+I381</f>
        <v>5000</v>
      </c>
      <c r="F381" s="520">
        <v>5000</v>
      </c>
      <c r="G381" s="520"/>
      <c r="H381" s="520"/>
      <c r="I381" s="520"/>
      <c r="J381" s="501">
        <f t="shared" ref="J381:J382" si="413">L381+O381</f>
        <v>0</v>
      </c>
      <c r="K381" s="520"/>
      <c r="L381" s="522"/>
      <c r="M381" s="522"/>
      <c r="N381" s="522"/>
      <c r="O381" s="502">
        <f t="shared" ref="O381:O382" si="414">K381</f>
        <v>0</v>
      </c>
      <c r="P381" s="501">
        <f t="shared" ref="P381" si="415">+J381+E381</f>
        <v>5000</v>
      </c>
      <c r="Q381" s="45"/>
      <c r="R381" s="44"/>
    </row>
    <row r="382" spans="1:18" ht="96.75" customHeight="1" thickTop="1" thickBot="1" x14ac:dyDescent="0.25">
      <c r="A382" s="94" t="s">
        <v>1129</v>
      </c>
      <c r="B382" s="94" t="s">
        <v>42</v>
      </c>
      <c r="C382" s="94" t="s">
        <v>41</v>
      </c>
      <c r="D382" s="94" t="s">
        <v>242</v>
      </c>
      <c r="E382" s="471">
        <f>F382+I382</f>
        <v>99900</v>
      </c>
      <c r="F382" s="504">
        <v>99900</v>
      </c>
      <c r="G382" s="125"/>
      <c r="H382" s="125"/>
      <c r="I382" s="125"/>
      <c r="J382" s="501">
        <f t="shared" si="413"/>
        <v>0</v>
      </c>
      <c r="K382" s="504"/>
      <c r="L382" s="504"/>
      <c r="M382" s="504"/>
      <c r="N382" s="504"/>
      <c r="O382" s="502">
        <f t="shared" si="414"/>
        <v>0</v>
      </c>
      <c r="P382" s="501">
        <f>E382+J382</f>
        <v>99900</v>
      </c>
      <c r="Q382" s="45"/>
      <c r="R382" s="44"/>
    </row>
    <row r="383" spans="1:18" ht="87.75" customHeight="1" thickTop="1" thickBot="1" x14ac:dyDescent="0.25">
      <c r="A383" s="239" t="s">
        <v>865</v>
      </c>
      <c r="B383" s="239" t="s">
        <v>713</v>
      </c>
      <c r="C383" s="94"/>
      <c r="D383" s="239" t="s">
        <v>757</v>
      </c>
      <c r="E383" s="501">
        <f>E384</f>
        <v>0</v>
      </c>
      <c r="F383" s="501">
        <f t="shared" ref="F383:P383" si="416">F384</f>
        <v>0</v>
      </c>
      <c r="G383" s="501">
        <f t="shared" si="416"/>
        <v>0</v>
      </c>
      <c r="H383" s="501">
        <f t="shared" si="416"/>
        <v>0</v>
      </c>
      <c r="I383" s="501">
        <f t="shared" si="416"/>
        <v>0</v>
      </c>
      <c r="J383" s="501">
        <f t="shared" si="416"/>
        <v>1240000</v>
      </c>
      <c r="K383" s="501">
        <f t="shared" si="416"/>
        <v>1240000</v>
      </c>
      <c r="L383" s="501">
        <f t="shared" si="416"/>
        <v>0</v>
      </c>
      <c r="M383" s="501">
        <f t="shared" si="416"/>
        <v>0</v>
      </c>
      <c r="N383" s="501">
        <f t="shared" si="416"/>
        <v>0</v>
      </c>
      <c r="O383" s="501">
        <f t="shared" si="416"/>
        <v>1240000</v>
      </c>
      <c r="P383" s="501">
        <f t="shared" si="416"/>
        <v>1240000</v>
      </c>
      <c r="Q383" s="45"/>
      <c r="R383" s="44"/>
    </row>
    <row r="384" spans="1:18" ht="147" customHeight="1" thickTop="1" thickBot="1" x14ac:dyDescent="0.25">
      <c r="A384" s="508" t="s">
        <v>866</v>
      </c>
      <c r="B384" s="508" t="s">
        <v>765</v>
      </c>
      <c r="C384" s="508"/>
      <c r="D384" s="496" t="s">
        <v>1711</v>
      </c>
      <c r="E384" s="524">
        <f>SUM(E385:E387)</f>
        <v>0</v>
      </c>
      <c r="F384" s="524">
        <f t="shared" ref="F384:P384" si="417">SUM(F385:F387)</f>
        <v>0</v>
      </c>
      <c r="G384" s="524">
        <f t="shared" si="417"/>
        <v>0</v>
      </c>
      <c r="H384" s="524">
        <f t="shared" si="417"/>
        <v>0</v>
      </c>
      <c r="I384" s="524">
        <f t="shared" si="417"/>
        <v>0</v>
      </c>
      <c r="J384" s="524">
        <f t="shared" si="417"/>
        <v>1240000</v>
      </c>
      <c r="K384" s="524">
        <f t="shared" si="417"/>
        <v>1240000</v>
      </c>
      <c r="L384" s="524">
        <f t="shared" si="417"/>
        <v>0</v>
      </c>
      <c r="M384" s="524">
        <f t="shared" si="417"/>
        <v>0</v>
      </c>
      <c r="N384" s="524">
        <f t="shared" si="417"/>
        <v>0</v>
      </c>
      <c r="O384" s="524">
        <f t="shared" si="417"/>
        <v>1240000</v>
      </c>
      <c r="P384" s="524">
        <f t="shared" si="417"/>
        <v>1240000</v>
      </c>
      <c r="Q384" s="45"/>
      <c r="R384" s="44"/>
    </row>
    <row r="385" spans="1:18" ht="182.25" customHeight="1" thickTop="1" thickBot="1" x14ac:dyDescent="0.25">
      <c r="A385" s="94" t="s">
        <v>1524</v>
      </c>
      <c r="B385" s="94" t="s">
        <v>308</v>
      </c>
      <c r="C385" s="94" t="s">
        <v>165</v>
      </c>
      <c r="D385" s="94" t="s">
        <v>1525</v>
      </c>
      <c r="E385" s="521">
        <f>F385+I385</f>
        <v>0</v>
      </c>
      <c r="F385" s="520"/>
      <c r="G385" s="520"/>
      <c r="H385" s="520"/>
      <c r="I385" s="520"/>
      <c r="J385" s="501">
        <f t="shared" ref="J385:J386" si="418">L385+O385</f>
        <v>1140000</v>
      </c>
      <c r="K385" s="520">
        <f>(500000)+640000</f>
        <v>1140000</v>
      </c>
      <c r="L385" s="522"/>
      <c r="M385" s="522"/>
      <c r="N385" s="522"/>
      <c r="O385" s="502">
        <f t="shared" ref="O385:O386" si="419">K385</f>
        <v>1140000</v>
      </c>
      <c r="P385" s="501">
        <f t="shared" ref="P385:P386" si="420">+J385+E385</f>
        <v>1140000</v>
      </c>
      <c r="Q385" s="45"/>
      <c r="R385" s="44"/>
    </row>
    <row r="386" spans="1:18" ht="127.5" customHeight="1" thickTop="1" thickBot="1" x14ac:dyDescent="0.25">
      <c r="A386" s="94" t="s">
        <v>867</v>
      </c>
      <c r="B386" s="94" t="s">
        <v>868</v>
      </c>
      <c r="C386" s="94" t="s">
        <v>298</v>
      </c>
      <c r="D386" s="94" t="s">
        <v>869</v>
      </c>
      <c r="E386" s="521">
        <f>F386+I386</f>
        <v>0</v>
      </c>
      <c r="F386" s="520"/>
      <c r="G386" s="520"/>
      <c r="H386" s="520"/>
      <c r="I386" s="520"/>
      <c r="J386" s="501">
        <f t="shared" si="418"/>
        <v>100000</v>
      </c>
      <c r="K386" s="520">
        <f>(0)+100000</f>
        <v>100000</v>
      </c>
      <c r="L386" s="522"/>
      <c r="M386" s="522"/>
      <c r="N386" s="522"/>
      <c r="O386" s="502">
        <f t="shared" si="419"/>
        <v>100000</v>
      </c>
      <c r="P386" s="501">
        <f t="shared" si="420"/>
        <v>100000</v>
      </c>
      <c r="Q386" s="45"/>
      <c r="R386" s="44"/>
    </row>
    <row r="387" spans="1:18" ht="136.5" hidden="1" customHeight="1" thickTop="1" thickBot="1" x14ac:dyDescent="0.25">
      <c r="A387" s="94" t="s">
        <v>1366</v>
      </c>
      <c r="B387" s="94" t="s">
        <v>1368</v>
      </c>
      <c r="C387" s="94" t="s">
        <v>298</v>
      </c>
      <c r="D387" s="94" t="s">
        <v>1367</v>
      </c>
      <c r="E387" s="521"/>
      <c r="F387" s="520"/>
      <c r="G387" s="520"/>
      <c r="H387" s="520"/>
      <c r="I387" s="520"/>
      <c r="J387" s="501">
        <f t="shared" ref="J387" si="421">L387+O387</f>
        <v>0</v>
      </c>
      <c r="K387" s="520"/>
      <c r="L387" s="522"/>
      <c r="M387" s="522"/>
      <c r="N387" s="522"/>
      <c r="O387" s="502">
        <f t="shared" ref="O387" si="422">K387</f>
        <v>0</v>
      </c>
      <c r="P387" s="501">
        <f t="shared" ref="P387" si="423">+J387+E387</f>
        <v>0</v>
      </c>
      <c r="Q387" s="45"/>
      <c r="R387" s="44"/>
    </row>
    <row r="388" spans="1:18" ht="120" customHeight="1" thickTop="1" thickBot="1" x14ac:dyDescent="0.25">
      <c r="A388" s="514" t="s">
        <v>433</v>
      </c>
      <c r="B388" s="514"/>
      <c r="C388" s="514"/>
      <c r="D388" s="515" t="s">
        <v>435</v>
      </c>
      <c r="E388" s="516">
        <f>E389</f>
        <v>218894914.28999999</v>
      </c>
      <c r="F388" s="517">
        <f t="shared" ref="F388:G388" si="424">F389</f>
        <v>218559659.28999999</v>
      </c>
      <c r="G388" s="517">
        <f t="shared" si="424"/>
        <v>6665180</v>
      </c>
      <c r="H388" s="517">
        <f>H389</f>
        <v>222771</v>
      </c>
      <c r="I388" s="517">
        <f t="shared" ref="I388" si="425">I389</f>
        <v>335255</v>
      </c>
      <c r="J388" s="516">
        <f>J389</f>
        <v>7500000</v>
      </c>
      <c r="K388" s="517">
        <f>K389</f>
        <v>7500000</v>
      </c>
      <c r="L388" s="517">
        <f>L389</f>
        <v>0</v>
      </c>
      <c r="M388" s="517">
        <f t="shared" ref="M388" si="426">M389</f>
        <v>0</v>
      </c>
      <c r="N388" s="517">
        <f>N389</f>
        <v>0</v>
      </c>
      <c r="O388" s="516">
        <f>O389</f>
        <v>7500000</v>
      </c>
      <c r="P388" s="517">
        <f t="shared" ref="P388" si="427">P389</f>
        <v>226394914.28999999</v>
      </c>
      <c r="Q388" s="18"/>
    </row>
    <row r="389" spans="1:18" ht="120" customHeight="1" thickTop="1" thickBot="1" x14ac:dyDescent="0.25">
      <c r="A389" s="511" t="s">
        <v>434</v>
      </c>
      <c r="B389" s="511"/>
      <c r="C389" s="511"/>
      <c r="D389" s="512" t="s">
        <v>436</v>
      </c>
      <c r="E389" s="513">
        <f t="shared" ref="E389:O389" si="428">E390+E393+E405+E408</f>
        <v>218894914.28999999</v>
      </c>
      <c r="F389" s="513">
        <f t="shared" si="428"/>
        <v>218559659.28999999</v>
      </c>
      <c r="G389" s="513">
        <f t="shared" si="428"/>
        <v>6665180</v>
      </c>
      <c r="H389" s="513">
        <f t="shared" si="428"/>
        <v>222771</v>
      </c>
      <c r="I389" s="513">
        <f t="shared" si="428"/>
        <v>335255</v>
      </c>
      <c r="J389" s="513">
        <f t="shared" si="428"/>
        <v>7500000</v>
      </c>
      <c r="K389" s="513">
        <f t="shared" si="428"/>
        <v>7500000</v>
      </c>
      <c r="L389" s="513">
        <f t="shared" si="428"/>
        <v>0</v>
      </c>
      <c r="M389" s="513">
        <f t="shared" si="428"/>
        <v>0</v>
      </c>
      <c r="N389" s="513">
        <f t="shared" si="428"/>
        <v>0</v>
      </c>
      <c r="O389" s="513">
        <f t="shared" si="428"/>
        <v>7500000</v>
      </c>
      <c r="P389" s="513">
        <f>E389+J389</f>
        <v>226394914.28999999</v>
      </c>
      <c r="Q389" s="546" t="b">
        <f>P389=P391+P395+P398+P400+P407+P402+P401+P409+P404</f>
        <v>1</v>
      </c>
      <c r="R389" s="44"/>
    </row>
    <row r="390" spans="1:18" ht="125.25" customHeight="1" thickTop="1" thickBot="1" x14ac:dyDescent="0.25">
      <c r="A390" s="483" t="s">
        <v>784</v>
      </c>
      <c r="B390" s="483" t="s">
        <v>652</v>
      </c>
      <c r="C390" s="483"/>
      <c r="D390" s="483" t="s">
        <v>653</v>
      </c>
      <c r="E390" s="485">
        <f>SUM(E391:E392)</f>
        <v>12191857</v>
      </c>
      <c r="F390" s="485">
        <f t="shared" ref="F390" si="429">SUM(F391:F392)</f>
        <v>12136602</v>
      </c>
      <c r="G390" s="485">
        <f t="shared" ref="G390" si="430">SUM(G391:G392)</f>
        <v>6665180</v>
      </c>
      <c r="H390" s="485">
        <f t="shared" ref="H390" si="431">SUM(H391:H392)</f>
        <v>222771</v>
      </c>
      <c r="I390" s="485">
        <f t="shared" ref="I390" si="432">SUM(I391:I392)</f>
        <v>55255</v>
      </c>
      <c r="J390" s="485">
        <f t="shared" ref="J390" si="433">SUM(J391:J392)</f>
        <v>0</v>
      </c>
      <c r="K390" s="485">
        <f t="shared" ref="K390" si="434">SUM(K391:K392)</f>
        <v>0</v>
      </c>
      <c r="L390" s="485">
        <f t="shared" ref="L390" si="435">SUM(L391:L392)</f>
        <v>0</v>
      </c>
      <c r="M390" s="485">
        <f t="shared" ref="M390" si="436">SUM(M391:M392)</f>
        <v>0</v>
      </c>
      <c r="N390" s="485">
        <f t="shared" ref="N390" si="437">SUM(N391:N392)</f>
        <v>0</v>
      </c>
      <c r="O390" s="485">
        <f t="shared" ref="O390" si="438">SUM(O391:O392)</f>
        <v>0</v>
      </c>
      <c r="P390" s="485">
        <f t="shared" ref="P390" si="439">SUM(P391:P392)</f>
        <v>12191857</v>
      </c>
      <c r="Q390" s="45"/>
      <c r="R390" s="44"/>
    </row>
    <row r="391" spans="1:18" ht="165" customHeight="1" thickTop="1" thickBot="1" x14ac:dyDescent="0.25">
      <c r="A391" s="469" t="s">
        <v>437</v>
      </c>
      <c r="B391" s="469" t="s">
        <v>231</v>
      </c>
      <c r="C391" s="469" t="s">
        <v>229</v>
      </c>
      <c r="D391" s="469" t="s">
        <v>1515</v>
      </c>
      <c r="E391" s="471">
        <f>F391+I391</f>
        <v>12191857</v>
      </c>
      <c r="F391" s="487">
        <f>(12035617-55255)+156240</f>
        <v>12136602</v>
      </c>
      <c r="G391" s="487">
        <v>6665180</v>
      </c>
      <c r="H391" s="487">
        <v>222771</v>
      </c>
      <c r="I391" s="487">
        <v>55255</v>
      </c>
      <c r="J391" s="485">
        <f>L391+O391</f>
        <v>0</v>
      </c>
      <c r="K391" s="487"/>
      <c r="L391" s="487"/>
      <c r="M391" s="487"/>
      <c r="N391" s="487"/>
      <c r="O391" s="488">
        <f>K391</f>
        <v>0</v>
      </c>
      <c r="P391" s="485">
        <f>E391+J391</f>
        <v>12191857</v>
      </c>
      <c r="Q391" s="45"/>
      <c r="R391" s="44"/>
    </row>
    <row r="392" spans="1:18" ht="93" hidden="1" thickTop="1" thickBot="1" x14ac:dyDescent="0.25">
      <c r="A392" s="119" t="s">
        <v>605</v>
      </c>
      <c r="B392" s="119" t="s">
        <v>352</v>
      </c>
      <c r="C392" s="119" t="s">
        <v>598</v>
      </c>
      <c r="D392" s="119" t="s">
        <v>599</v>
      </c>
      <c r="E392" s="118">
        <f>F392</f>
        <v>0</v>
      </c>
      <c r="F392" s="125">
        <v>0</v>
      </c>
      <c r="G392" s="125"/>
      <c r="H392" s="125"/>
      <c r="I392" s="125"/>
      <c r="J392" s="118">
        <f t="shared" ref="J392" si="440">L392+O392</f>
        <v>0</v>
      </c>
      <c r="K392" s="125"/>
      <c r="L392" s="125"/>
      <c r="M392" s="125"/>
      <c r="N392" s="125"/>
      <c r="O392" s="123">
        <f t="shared" ref="O392" si="441">K392</f>
        <v>0</v>
      </c>
      <c r="P392" s="118">
        <f t="shared" ref="P392" si="442">+J392+E392</f>
        <v>0</v>
      </c>
      <c r="Q392" s="45"/>
      <c r="R392" s="44"/>
    </row>
    <row r="393" spans="1:18" ht="113.25" customHeight="1" thickTop="1" thickBot="1" x14ac:dyDescent="0.25">
      <c r="A393" s="239" t="s">
        <v>785</v>
      </c>
      <c r="B393" s="239" t="s">
        <v>713</v>
      </c>
      <c r="C393" s="94"/>
      <c r="D393" s="239" t="s">
        <v>757</v>
      </c>
      <c r="E393" s="501">
        <f>E396+E403+E394</f>
        <v>205133057.28999999</v>
      </c>
      <c r="F393" s="501">
        <f t="shared" ref="F393:P393" si="443">F396+F403+F394</f>
        <v>205133057.28999999</v>
      </c>
      <c r="G393" s="501">
        <f t="shared" si="443"/>
        <v>0</v>
      </c>
      <c r="H393" s="501">
        <f t="shared" si="443"/>
        <v>0</v>
      </c>
      <c r="I393" s="501">
        <f t="shared" si="443"/>
        <v>0</v>
      </c>
      <c r="J393" s="501">
        <f t="shared" si="443"/>
        <v>7500000</v>
      </c>
      <c r="K393" s="501">
        <f t="shared" si="443"/>
        <v>7500000</v>
      </c>
      <c r="L393" s="501">
        <f t="shared" si="443"/>
        <v>0</v>
      </c>
      <c r="M393" s="501">
        <f t="shared" si="443"/>
        <v>0</v>
      </c>
      <c r="N393" s="501">
        <f t="shared" si="443"/>
        <v>0</v>
      </c>
      <c r="O393" s="501">
        <f t="shared" si="443"/>
        <v>7500000</v>
      </c>
      <c r="P393" s="501">
        <f t="shared" si="443"/>
        <v>212633057.28999999</v>
      </c>
      <c r="Q393" s="45"/>
      <c r="R393" s="48"/>
    </row>
    <row r="394" spans="1:18" ht="156.75" hidden="1" customHeight="1" thickTop="1" thickBot="1" x14ac:dyDescent="0.25">
      <c r="A394" s="691" t="s">
        <v>1562</v>
      </c>
      <c r="B394" s="691" t="s">
        <v>765</v>
      </c>
      <c r="C394" s="691"/>
      <c r="D394" s="691" t="s">
        <v>1711</v>
      </c>
      <c r="E394" s="495">
        <f>E395</f>
        <v>0</v>
      </c>
      <c r="F394" s="495">
        <f t="shared" ref="F394:P394" si="444">F395</f>
        <v>0</v>
      </c>
      <c r="G394" s="495">
        <f t="shared" si="444"/>
        <v>0</v>
      </c>
      <c r="H394" s="495">
        <f t="shared" si="444"/>
        <v>0</v>
      </c>
      <c r="I394" s="495">
        <f t="shared" si="444"/>
        <v>0</v>
      </c>
      <c r="J394" s="495">
        <f t="shared" si="444"/>
        <v>0</v>
      </c>
      <c r="K394" s="495">
        <f t="shared" si="444"/>
        <v>0</v>
      </c>
      <c r="L394" s="495">
        <f t="shared" si="444"/>
        <v>0</v>
      </c>
      <c r="M394" s="495">
        <f t="shared" si="444"/>
        <v>0</v>
      </c>
      <c r="N394" s="495">
        <f t="shared" si="444"/>
        <v>0</v>
      </c>
      <c r="O394" s="495">
        <f t="shared" si="444"/>
        <v>0</v>
      </c>
      <c r="P394" s="495">
        <f t="shared" si="444"/>
        <v>0</v>
      </c>
      <c r="Q394" s="45"/>
      <c r="R394" s="48"/>
    </row>
    <row r="395" spans="1:18" ht="231.75" hidden="1" customHeight="1" thickTop="1" thickBot="1" x14ac:dyDescent="0.25">
      <c r="A395" s="692" t="s">
        <v>1563</v>
      </c>
      <c r="B395" s="692" t="s">
        <v>308</v>
      </c>
      <c r="C395" s="692" t="s">
        <v>165</v>
      </c>
      <c r="D395" s="692" t="s">
        <v>1525</v>
      </c>
      <c r="E395" s="471"/>
      <c r="F395" s="504"/>
      <c r="G395" s="125"/>
      <c r="H395" s="125"/>
      <c r="I395" s="125"/>
      <c r="J395" s="501">
        <f>L395+O395</f>
        <v>0</v>
      </c>
      <c r="K395" s="487">
        <f>(3000000)-3000000</f>
        <v>0</v>
      </c>
      <c r="L395" s="125"/>
      <c r="M395" s="125"/>
      <c r="N395" s="125"/>
      <c r="O395" s="502">
        <f>K395</f>
        <v>0</v>
      </c>
      <c r="P395" s="501">
        <f>E395+J395</f>
        <v>0</v>
      </c>
      <c r="Q395" s="45"/>
      <c r="R395" s="48"/>
    </row>
    <row r="396" spans="1:18" ht="135" customHeight="1" thickTop="1" thickBot="1" x14ac:dyDescent="0.25">
      <c r="A396" s="508" t="s">
        <v>786</v>
      </c>
      <c r="B396" s="508" t="s">
        <v>768</v>
      </c>
      <c r="C396" s="508"/>
      <c r="D396" s="508" t="s">
        <v>769</v>
      </c>
      <c r="E396" s="524">
        <f>E399+E402+E397</f>
        <v>205133057.28999999</v>
      </c>
      <c r="F396" s="524">
        <f t="shared" ref="F396:P396" si="445">F399+F402+F397</f>
        <v>205133057.28999999</v>
      </c>
      <c r="G396" s="524">
        <f t="shared" si="445"/>
        <v>0</v>
      </c>
      <c r="H396" s="524">
        <f t="shared" si="445"/>
        <v>0</v>
      </c>
      <c r="I396" s="524">
        <f t="shared" si="445"/>
        <v>0</v>
      </c>
      <c r="J396" s="524">
        <f t="shared" si="445"/>
        <v>7000000</v>
      </c>
      <c r="K396" s="524">
        <f t="shared" si="445"/>
        <v>7000000</v>
      </c>
      <c r="L396" s="524">
        <f t="shared" si="445"/>
        <v>0</v>
      </c>
      <c r="M396" s="524">
        <f t="shared" si="445"/>
        <v>0</v>
      </c>
      <c r="N396" s="524">
        <f t="shared" si="445"/>
        <v>0</v>
      </c>
      <c r="O396" s="524">
        <f t="shared" si="445"/>
        <v>7000000</v>
      </c>
      <c r="P396" s="524">
        <f t="shared" si="445"/>
        <v>212133057.28999999</v>
      </c>
      <c r="Q396" s="45"/>
      <c r="R396" s="48"/>
    </row>
    <row r="397" spans="1:18" ht="130.5" customHeight="1" thickTop="1" thickBot="1" x14ac:dyDescent="0.25">
      <c r="A397" s="518" t="s">
        <v>943</v>
      </c>
      <c r="B397" s="518" t="s">
        <v>944</v>
      </c>
      <c r="C397" s="131"/>
      <c r="D397" s="518" t="s">
        <v>942</v>
      </c>
      <c r="E397" s="519">
        <f>E398</f>
        <v>7300000</v>
      </c>
      <c r="F397" s="519">
        <f t="shared" ref="F397:O397" si="446">F398</f>
        <v>7300000</v>
      </c>
      <c r="G397" s="519">
        <f t="shared" si="446"/>
        <v>0</v>
      </c>
      <c r="H397" s="519">
        <f t="shared" si="446"/>
        <v>0</v>
      </c>
      <c r="I397" s="519">
        <f t="shared" si="446"/>
        <v>0</v>
      </c>
      <c r="J397" s="519">
        <f t="shared" si="446"/>
        <v>0</v>
      </c>
      <c r="K397" s="519">
        <f t="shared" si="446"/>
        <v>0</v>
      </c>
      <c r="L397" s="519">
        <f t="shared" si="446"/>
        <v>0</v>
      </c>
      <c r="M397" s="519">
        <f t="shared" si="446"/>
        <v>0</v>
      </c>
      <c r="N397" s="519">
        <f t="shared" si="446"/>
        <v>0</v>
      </c>
      <c r="O397" s="519">
        <f t="shared" si="446"/>
        <v>0</v>
      </c>
      <c r="P397" s="519">
        <f t="shared" ref="P397" si="447">P398</f>
        <v>7300000</v>
      </c>
      <c r="Q397" s="45"/>
      <c r="R397" s="48"/>
    </row>
    <row r="398" spans="1:18" ht="89.25" customHeight="1" thickTop="1" thickBot="1" x14ac:dyDescent="0.25">
      <c r="A398" s="94" t="s">
        <v>452</v>
      </c>
      <c r="B398" s="94" t="s">
        <v>401</v>
      </c>
      <c r="C398" s="94" t="s">
        <v>402</v>
      </c>
      <c r="D398" s="94" t="s">
        <v>403</v>
      </c>
      <c r="E398" s="471">
        <f>F398+I398</f>
        <v>7300000</v>
      </c>
      <c r="F398" s="504">
        <f>((2600000)+500000)+4200000</f>
        <v>7300000</v>
      </c>
      <c r="G398" s="125"/>
      <c r="H398" s="125"/>
      <c r="I398" s="125"/>
      <c r="J398" s="501">
        <f>L398+O398</f>
        <v>0</v>
      </c>
      <c r="K398" s="125"/>
      <c r="L398" s="125"/>
      <c r="M398" s="125"/>
      <c r="N398" s="125"/>
      <c r="O398" s="502">
        <f>K398</f>
        <v>0</v>
      </c>
      <c r="P398" s="501">
        <f>E398+J398</f>
        <v>7300000</v>
      </c>
      <c r="Q398" s="45"/>
      <c r="R398" s="48"/>
    </row>
    <row r="399" spans="1:18" ht="93" thickTop="1" thickBot="1" x14ac:dyDescent="0.25">
      <c r="A399" s="518" t="s">
        <v>787</v>
      </c>
      <c r="B399" s="518" t="s">
        <v>788</v>
      </c>
      <c r="C399" s="518"/>
      <c r="D399" s="518" t="s">
        <v>789</v>
      </c>
      <c r="E399" s="519">
        <f t="shared" ref="E399:P399" si="448">SUM(E400:E401)</f>
        <v>197518293.47999999</v>
      </c>
      <c r="F399" s="519">
        <f t="shared" si="448"/>
        <v>197518293.47999999</v>
      </c>
      <c r="G399" s="519">
        <f t="shared" si="448"/>
        <v>0</v>
      </c>
      <c r="H399" s="519">
        <f t="shared" si="448"/>
        <v>0</v>
      </c>
      <c r="I399" s="519">
        <f t="shared" si="448"/>
        <v>0</v>
      </c>
      <c r="J399" s="519">
        <f t="shared" si="448"/>
        <v>7000000</v>
      </c>
      <c r="K399" s="519">
        <f t="shared" si="448"/>
        <v>7000000</v>
      </c>
      <c r="L399" s="519">
        <f t="shared" si="448"/>
        <v>0</v>
      </c>
      <c r="M399" s="519">
        <f t="shared" si="448"/>
        <v>0</v>
      </c>
      <c r="N399" s="519">
        <f t="shared" si="448"/>
        <v>0</v>
      </c>
      <c r="O399" s="519">
        <f t="shared" si="448"/>
        <v>7000000</v>
      </c>
      <c r="P399" s="519">
        <f t="shared" si="448"/>
        <v>204518293.47999999</v>
      </c>
      <c r="Q399" s="45"/>
      <c r="R399" s="48"/>
    </row>
    <row r="400" spans="1:18" ht="80.25" customHeight="1" thickTop="1" thickBot="1" x14ac:dyDescent="0.25">
      <c r="A400" s="94" t="s">
        <v>453</v>
      </c>
      <c r="B400" s="94" t="s">
        <v>285</v>
      </c>
      <c r="C400" s="94" t="s">
        <v>1182</v>
      </c>
      <c r="D400" s="94" t="s">
        <v>286</v>
      </c>
      <c r="E400" s="471">
        <f>F400+I400</f>
        <v>197518293.47999999</v>
      </c>
      <c r="F400" s="504">
        <v>197518293.47999999</v>
      </c>
      <c r="G400" s="125"/>
      <c r="H400" s="125"/>
      <c r="I400" s="125"/>
      <c r="J400" s="501">
        <f>L400+O400</f>
        <v>0</v>
      </c>
      <c r="K400" s="125"/>
      <c r="L400" s="125"/>
      <c r="M400" s="125"/>
      <c r="N400" s="125"/>
      <c r="O400" s="502">
        <f>K400</f>
        <v>0</v>
      </c>
      <c r="P400" s="501">
        <f>E400+J400</f>
        <v>197518293.47999999</v>
      </c>
      <c r="Q400" s="45"/>
      <c r="R400" s="48"/>
    </row>
    <row r="401" spans="1:18" ht="132.75" customHeight="1" thickTop="1" thickBot="1" x14ac:dyDescent="0.25">
      <c r="A401" s="94" t="s">
        <v>1734</v>
      </c>
      <c r="B401" s="94" t="s">
        <v>1735</v>
      </c>
      <c r="C401" s="94" t="s">
        <v>1182</v>
      </c>
      <c r="D401" s="94" t="s">
        <v>1736</v>
      </c>
      <c r="E401" s="471">
        <f>F401+I401</f>
        <v>0</v>
      </c>
      <c r="F401" s="504"/>
      <c r="G401" s="125"/>
      <c r="H401" s="125"/>
      <c r="I401" s="125"/>
      <c r="J401" s="501">
        <f>L401+O401</f>
        <v>7000000</v>
      </c>
      <c r="K401" s="504">
        <f>(3000000)+4000000</f>
        <v>7000000</v>
      </c>
      <c r="L401" s="125"/>
      <c r="M401" s="125"/>
      <c r="N401" s="125"/>
      <c r="O401" s="502">
        <f>K401</f>
        <v>7000000</v>
      </c>
      <c r="P401" s="501">
        <f>E401+J401</f>
        <v>7000000</v>
      </c>
      <c r="Q401" s="45"/>
      <c r="R401" s="48"/>
    </row>
    <row r="402" spans="1:18" ht="126" customHeight="1" thickTop="1" thickBot="1" x14ac:dyDescent="0.25">
      <c r="A402" s="94" t="s">
        <v>1012</v>
      </c>
      <c r="B402" s="94" t="s">
        <v>1013</v>
      </c>
      <c r="C402" s="94" t="s">
        <v>289</v>
      </c>
      <c r="D402" s="94" t="s">
        <v>1011</v>
      </c>
      <c r="E402" s="501">
        <f>F402</f>
        <v>314763.81</v>
      </c>
      <c r="F402" s="504">
        <f>(25000)+289763.81</f>
        <v>314763.81</v>
      </c>
      <c r="G402" s="504"/>
      <c r="H402" s="504"/>
      <c r="I402" s="504"/>
      <c r="J402" s="501">
        <f>L402+O402</f>
        <v>0</v>
      </c>
      <c r="K402" s="504"/>
      <c r="L402" s="504"/>
      <c r="M402" s="504"/>
      <c r="N402" s="504"/>
      <c r="O402" s="502">
        <f>K402</f>
        <v>0</v>
      </c>
      <c r="P402" s="501">
        <f>E402+J402</f>
        <v>314763.81</v>
      </c>
      <c r="Q402" s="45"/>
      <c r="R402" s="48"/>
    </row>
    <row r="403" spans="1:18" ht="154.5" customHeight="1" thickTop="1" thickBot="1" x14ac:dyDescent="0.25">
      <c r="A403" s="508" t="s">
        <v>1057</v>
      </c>
      <c r="B403" s="508" t="s">
        <v>659</v>
      </c>
      <c r="C403" s="508"/>
      <c r="D403" s="508" t="s">
        <v>657</v>
      </c>
      <c r="E403" s="524">
        <f>E404</f>
        <v>0</v>
      </c>
      <c r="F403" s="524">
        <f t="shared" ref="F403:P403" si="449">F404</f>
        <v>0</v>
      </c>
      <c r="G403" s="524">
        <f t="shared" si="449"/>
        <v>0</v>
      </c>
      <c r="H403" s="524">
        <f t="shared" si="449"/>
        <v>0</v>
      </c>
      <c r="I403" s="524">
        <f t="shared" si="449"/>
        <v>0</v>
      </c>
      <c r="J403" s="524">
        <f t="shared" si="449"/>
        <v>500000</v>
      </c>
      <c r="K403" s="524">
        <f t="shared" si="449"/>
        <v>500000</v>
      </c>
      <c r="L403" s="524">
        <f t="shared" si="449"/>
        <v>0</v>
      </c>
      <c r="M403" s="524">
        <f t="shared" si="449"/>
        <v>0</v>
      </c>
      <c r="N403" s="524">
        <f t="shared" si="449"/>
        <v>0</v>
      </c>
      <c r="O403" s="524">
        <f t="shared" si="449"/>
        <v>500000</v>
      </c>
      <c r="P403" s="524">
        <f t="shared" si="449"/>
        <v>500000</v>
      </c>
      <c r="Q403" s="45"/>
      <c r="R403" s="48"/>
    </row>
    <row r="404" spans="1:18" ht="120" customHeight="1" thickTop="1" thickBot="1" x14ac:dyDescent="0.25">
      <c r="A404" s="94" t="s">
        <v>1058</v>
      </c>
      <c r="B404" s="94" t="s">
        <v>192</v>
      </c>
      <c r="C404" s="94" t="s">
        <v>165</v>
      </c>
      <c r="D404" s="94" t="s">
        <v>1059</v>
      </c>
      <c r="E404" s="521">
        <f>F404+I404</f>
        <v>0</v>
      </c>
      <c r="F404" s="504"/>
      <c r="G404" s="504"/>
      <c r="H404" s="504"/>
      <c r="I404" s="504"/>
      <c r="J404" s="501">
        <f>L404+O404</f>
        <v>500000</v>
      </c>
      <c r="K404" s="504">
        <v>500000</v>
      </c>
      <c r="L404" s="504"/>
      <c r="M404" s="504"/>
      <c r="N404" s="504"/>
      <c r="O404" s="502">
        <f>K404</f>
        <v>500000</v>
      </c>
      <c r="P404" s="501">
        <f>E404+J404</f>
        <v>500000</v>
      </c>
      <c r="Q404" s="45"/>
      <c r="R404" s="48"/>
    </row>
    <row r="405" spans="1:18" ht="73.5" customHeight="1" thickTop="1" thickBot="1" x14ac:dyDescent="0.25">
      <c r="A405" s="239" t="s">
        <v>1098</v>
      </c>
      <c r="B405" s="239" t="s">
        <v>664</v>
      </c>
      <c r="C405" s="239"/>
      <c r="D405" s="239" t="s">
        <v>665</v>
      </c>
      <c r="E405" s="501">
        <f>E406</f>
        <v>1200000</v>
      </c>
      <c r="F405" s="501">
        <f t="shared" ref="F405:P405" si="450">F406</f>
        <v>1200000</v>
      </c>
      <c r="G405" s="501">
        <f t="shared" si="450"/>
        <v>0</v>
      </c>
      <c r="H405" s="501">
        <f t="shared" si="450"/>
        <v>0</v>
      </c>
      <c r="I405" s="501">
        <f t="shared" si="450"/>
        <v>0</v>
      </c>
      <c r="J405" s="501">
        <f t="shared" si="450"/>
        <v>0</v>
      </c>
      <c r="K405" s="501">
        <f t="shared" si="450"/>
        <v>0</v>
      </c>
      <c r="L405" s="501">
        <f t="shared" si="450"/>
        <v>0</v>
      </c>
      <c r="M405" s="501">
        <f t="shared" si="450"/>
        <v>0</v>
      </c>
      <c r="N405" s="501">
        <f t="shared" si="450"/>
        <v>0</v>
      </c>
      <c r="O405" s="501">
        <f t="shared" si="450"/>
        <v>0</v>
      </c>
      <c r="P405" s="501">
        <f t="shared" si="450"/>
        <v>1200000</v>
      </c>
      <c r="Q405" s="45"/>
      <c r="R405" s="48"/>
    </row>
    <row r="406" spans="1:18" ht="94.5" customHeight="1" thickTop="1" thickBot="1" x14ac:dyDescent="0.25">
      <c r="A406" s="508" t="s">
        <v>1099</v>
      </c>
      <c r="B406" s="508" t="s">
        <v>1066</v>
      </c>
      <c r="C406" s="508"/>
      <c r="D406" s="508" t="s">
        <v>1064</v>
      </c>
      <c r="E406" s="524">
        <f>E407</f>
        <v>1200000</v>
      </c>
      <c r="F406" s="524">
        <f>F407</f>
        <v>1200000</v>
      </c>
      <c r="G406" s="524">
        <f t="shared" ref="G406:O406" si="451">G407</f>
        <v>0</v>
      </c>
      <c r="H406" s="524">
        <f t="shared" si="451"/>
        <v>0</v>
      </c>
      <c r="I406" s="524">
        <f t="shared" si="451"/>
        <v>0</v>
      </c>
      <c r="J406" s="524">
        <f t="shared" si="451"/>
        <v>0</v>
      </c>
      <c r="K406" s="524">
        <f t="shared" si="451"/>
        <v>0</v>
      </c>
      <c r="L406" s="524">
        <f t="shared" si="451"/>
        <v>0</v>
      </c>
      <c r="M406" s="524">
        <f t="shared" si="451"/>
        <v>0</v>
      </c>
      <c r="N406" s="524">
        <f t="shared" si="451"/>
        <v>0</v>
      </c>
      <c r="O406" s="524">
        <f t="shared" si="451"/>
        <v>0</v>
      </c>
      <c r="P406" s="524">
        <f>P407</f>
        <v>1200000</v>
      </c>
      <c r="Q406" s="45"/>
      <c r="R406" s="48"/>
    </row>
    <row r="407" spans="1:18" ht="105.75" customHeight="1" thickTop="1" thickBot="1" x14ac:dyDescent="0.25">
      <c r="A407" s="94" t="s">
        <v>1100</v>
      </c>
      <c r="B407" s="94" t="s">
        <v>1101</v>
      </c>
      <c r="C407" s="94" t="s">
        <v>1068</v>
      </c>
      <c r="D407" s="94" t="s">
        <v>1102</v>
      </c>
      <c r="E407" s="521">
        <f>F407+I407</f>
        <v>1200000</v>
      </c>
      <c r="F407" s="504">
        <f>(200000)+1000000</f>
        <v>1200000</v>
      </c>
      <c r="G407" s="504"/>
      <c r="H407" s="504"/>
      <c r="I407" s="504"/>
      <c r="J407" s="501">
        <f>L407+O407</f>
        <v>0</v>
      </c>
      <c r="K407" s="504"/>
      <c r="L407" s="504"/>
      <c r="M407" s="504"/>
      <c r="N407" s="504"/>
      <c r="O407" s="502">
        <f>K407</f>
        <v>0</v>
      </c>
      <c r="P407" s="501">
        <f>E407+J407</f>
        <v>1200000</v>
      </c>
      <c r="Q407" s="45"/>
      <c r="R407" s="48"/>
    </row>
    <row r="408" spans="1:18" ht="105.75" customHeight="1" thickTop="1" thickBot="1" x14ac:dyDescent="0.25">
      <c r="A408" s="239" t="s">
        <v>1162</v>
      </c>
      <c r="B408" s="239" t="s">
        <v>669</v>
      </c>
      <c r="C408" s="239"/>
      <c r="D408" s="239" t="s">
        <v>670</v>
      </c>
      <c r="E408" s="501">
        <f t="shared" ref="E408:P408" si="452">E409</f>
        <v>370000</v>
      </c>
      <c r="F408" s="501">
        <f t="shared" si="452"/>
        <v>90000</v>
      </c>
      <c r="G408" s="501">
        <f t="shared" si="452"/>
        <v>0</v>
      </c>
      <c r="H408" s="501">
        <f t="shared" si="452"/>
        <v>0</v>
      </c>
      <c r="I408" s="501">
        <f t="shared" si="452"/>
        <v>280000</v>
      </c>
      <c r="J408" s="501">
        <f t="shared" si="452"/>
        <v>0</v>
      </c>
      <c r="K408" s="501">
        <f t="shared" si="452"/>
        <v>0</v>
      </c>
      <c r="L408" s="501">
        <f t="shared" si="452"/>
        <v>0</v>
      </c>
      <c r="M408" s="501">
        <f t="shared" si="452"/>
        <v>0</v>
      </c>
      <c r="N408" s="501">
        <f t="shared" si="452"/>
        <v>0</v>
      </c>
      <c r="O408" s="501">
        <f t="shared" si="452"/>
        <v>0</v>
      </c>
      <c r="P408" s="501">
        <f t="shared" si="452"/>
        <v>370000</v>
      </c>
      <c r="Q408" s="45"/>
      <c r="R408" s="48"/>
    </row>
    <row r="409" spans="1:18" ht="138" customHeight="1" thickTop="1" thickBot="1" x14ac:dyDescent="0.25">
      <c r="A409" s="94" t="s">
        <v>1163</v>
      </c>
      <c r="B409" s="94" t="s">
        <v>497</v>
      </c>
      <c r="C409" s="94" t="s">
        <v>42</v>
      </c>
      <c r="D409" s="94" t="s">
        <v>498</v>
      </c>
      <c r="E409" s="520">
        <f>F409+I409</f>
        <v>370000</v>
      </c>
      <c r="F409" s="504">
        <v>90000</v>
      </c>
      <c r="G409" s="504"/>
      <c r="H409" s="504"/>
      <c r="I409" s="504">
        <v>280000</v>
      </c>
      <c r="J409" s="504">
        <f>L409+O409</f>
        <v>0</v>
      </c>
      <c r="K409" s="504"/>
      <c r="L409" s="504"/>
      <c r="M409" s="504"/>
      <c r="N409" s="504"/>
      <c r="O409" s="504">
        <f>(K409+0)</f>
        <v>0</v>
      </c>
      <c r="P409" s="504">
        <f>E409+J409</f>
        <v>370000</v>
      </c>
      <c r="Q409" s="45"/>
      <c r="R409" s="48"/>
    </row>
    <row r="410" spans="1:18" ht="105.75" customHeight="1" thickTop="1" thickBot="1" x14ac:dyDescent="0.25">
      <c r="A410" s="514" t="s">
        <v>161</v>
      </c>
      <c r="B410" s="514"/>
      <c r="C410" s="514"/>
      <c r="D410" s="515" t="s">
        <v>344</v>
      </c>
      <c r="E410" s="516">
        <f>E411</f>
        <v>22175000</v>
      </c>
      <c r="F410" s="517">
        <f t="shared" ref="F410:G410" si="453">F411</f>
        <v>21875000</v>
      </c>
      <c r="G410" s="517">
        <f t="shared" si="453"/>
        <v>0</v>
      </c>
      <c r="H410" s="517">
        <f>H411</f>
        <v>0</v>
      </c>
      <c r="I410" s="517">
        <f t="shared" ref="I410" si="454">I411</f>
        <v>300000</v>
      </c>
      <c r="J410" s="516">
        <f>J411</f>
        <v>0</v>
      </c>
      <c r="K410" s="517">
        <f>K411</f>
        <v>0</v>
      </c>
      <c r="L410" s="517">
        <f>L411</f>
        <v>0</v>
      </c>
      <c r="M410" s="517">
        <f t="shared" ref="M410" si="455">M411</f>
        <v>0</v>
      </c>
      <c r="N410" s="517">
        <f>N411</f>
        <v>0</v>
      </c>
      <c r="O410" s="516">
        <f>O411</f>
        <v>0</v>
      </c>
      <c r="P410" s="517">
        <f t="shared" ref="P410" si="456">P411</f>
        <v>22175000</v>
      </c>
      <c r="Q410" s="18"/>
    </row>
    <row r="411" spans="1:18" ht="154.5" customHeight="1" thickTop="1" thickBot="1" x14ac:dyDescent="0.25">
      <c r="A411" s="511" t="s">
        <v>162</v>
      </c>
      <c r="B411" s="511"/>
      <c r="C411" s="511"/>
      <c r="D411" s="512" t="s">
        <v>345</v>
      </c>
      <c r="E411" s="513">
        <f>E415+E427+E424+E412</f>
        <v>22175000</v>
      </c>
      <c r="F411" s="513">
        <f>F415+F427+F424+F412</f>
        <v>21875000</v>
      </c>
      <c r="G411" s="513">
        <f>G415+G427+G424+G412</f>
        <v>0</v>
      </c>
      <c r="H411" s="513">
        <f>H415+H427+H424+H412</f>
        <v>0</v>
      </c>
      <c r="I411" s="513">
        <f>I415+I427+I424+I412</f>
        <v>300000</v>
      </c>
      <c r="J411" s="513">
        <f>L411+O411</f>
        <v>0</v>
      </c>
      <c r="K411" s="513">
        <f>K415+K427+K424+K412</f>
        <v>0</v>
      </c>
      <c r="L411" s="513">
        <f>L415+L427+L424+L412</f>
        <v>0</v>
      </c>
      <c r="M411" s="513">
        <f>M415+M427+M424+M412</f>
        <v>0</v>
      </c>
      <c r="N411" s="513">
        <f>N415+N427+N424+N412</f>
        <v>0</v>
      </c>
      <c r="O411" s="513">
        <f>O415+O427+O424+O412</f>
        <v>0</v>
      </c>
      <c r="P411" s="513">
        <f>E411+J411</f>
        <v>22175000</v>
      </c>
      <c r="Q411" s="546" t="b">
        <f>P411=P413+P414+P417+P419+P420+P426+P423</f>
        <v>1</v>
      </c>
      <c r="R411" s="44"/>
    </row>
    <row r="412" spans="1:18" ht="108" customHeight="1" thickTop="1" thickBot="1" x14ac:dyDescent="0.25">
      <c r="A412" s="239" t="s">
        <v>1158</v>
      </c>
      <c r="B412" s="239" t="s">
        <v>678</v>
      </c>
      <c r="C412" s="239"/>
      <c r="D412" s="239" t="s">
        <v>679</v>
      </c>
      <c r="E412" s="501">
        <f t="shared" ref="E412:P412" si="457">SUM(E413:E414)</f>
        <v>3000000</v>
      </c>
      <c r="F412" s="501">
        <f t="shared" si="457"/>
        <v>3000000</v>
      </c>
      <c r="G412" s="501">
        <f t="shared" si="457"/>
        <v>0</v>
      </c>
      <c r="H412" s="501">
        <f t="shared" si="457"/>
        <v>0</v>
      </c>
      <c r="I412" s="501">
        <f t="shared" si="457"/>
        <v>0</v>
      </c>
      <c r="J412" s="501">
        <f t="shared" si="457"/>
        <v>0</v>
      </c>
      <c r="K412" s="501">
        <f t="shared" si="457"/>
        <v>0</v>
      </c>
      <c r="L412" s="501">
        <f t="shared" si="457"/>
        <v>0</v>
      </c>
      <c r="M412" s="501">
        <f t="shared" si="457"/>
        <v>0</v>
      </c>
      <c r="N412" s="501">
        <f t="shared" si="457"/>
        <v>0</v>
      </c>
      <c r="O412" s="501">
        <f t="shared" si="457"/>
        <v>0</v>
      </c>
      <c r="P412" s="501">
        <f t="shared" si="457"/>
        <v>3000000</v>
      </c>
      <c r="Q412" s="45"/>
      <c r="R412" s="44"/>
    </row>
    <row r="413" spans="1:18" ht="93" hidden="1" thickTop="1" thickBot="1" x14ac:dyDescent="0.25">
      <c r="A413" s="349" t="s">
        <v>1159</v>
      </c>
      <c r="B413" s="349" t="s">
        <v>1080</v>
      </c>
      <c r="C413" s="349" t="s">
        <v>201</v>
      </c>
      <c r="D413" s="390" t="s">
        <v>1081</v>
      </c>
      <c r="E413" s="118">
        <f t="shared" ref="E413" si="458">F413</f>
        <v>0</v>
      </c>
      <c r="F413" s="125">
        <f>(175000)-175000</f>
        <v>0</v>
      </c>
      <c r="G413" s="125"/>
      <c r="H413" s="125"/>
      <c r="I413" s="125"/>
      <c r="J413" s="118">
        <f>L413+O413</f>
        <v>0</v>
      </c>
      <c r="K413" s="125">
        <f>(100000)-100000</f>
        <v>0</v>
      </c>
      <c r="L413" s="125"/>
      <c r="M413" s="125"/>
      <c r="N413" s="125"/>
      <c r="O413" s="123">
        <f>K413</f>
        <v>0</v>
      </c>
      <c r="P413" s="118">
        <f>E413+J413</f>
        <v>0</v>
      </c>
      <c r="Q413" s="45"/>
      <c r="R413" s="44"/>
    </row>
    <row r="414" spans="1:18" ht="93.75" customHeight="1" thickTop="1" thickBot="1" x14ac:dyDescent="0.25">
      <c r="A414" s="94" t="s">
        <v>1326</v>
      </c>
      <c r="B414" s="94" t="s">
        <v>323</v>
      </c>
      <c r="C414" s="94" t="s">
        <v>186</v>
      </c>
      <c r="D414" s="507" t="s">
        <v>1702</v>
      </c>
      <c r="E414" s="471">
        <f>F414+I414</f>
        <v>3000000</v>
      </c>
      <c r="F414" s="504">
        <f>(2700000)-200000+500000</f>
        <v>3000000</v>
      </c>
      <c r="G414" s="125"/>
      <c r="H414" s="125"/>
      <c r="I414" s="504">
        <f>(300000)-300000</f>
        <v>0</v>
      </c>
      <c r="J414" s="501">
        <f t="shared" ref="J414" si="459">L414+O414</f>
        <v>0</v>
      </c>
      <c r="K414" s="125"/>
      <c r="L414" s="125"/>
      <c r="M414" s="125"/>
      <c r="N414" s="125"/>
      <c r="O414" s="502">
        <f t="shared" ref="O414" si="460">K414</f>
        <v>0</v>
      </c>
      <c r="P414" s="501">
        <f t="shared" ref="P414" si="461">E414+J414</f>
        <v>3000000</v>
      </c>
      <c r="Q414" s="45"/>
      <c r="R414" s="44"/>
    </row>
    <row r="415" spans="1:18" ht="90" customHeight="1" thickTop="1" thickBot="1" x14ac:dyDescent="0.25">
      <c r="A415" s="239" t="s">
        <v>790</v>
      </c>
      <c r="B415" s="239" t="s">
        <v>713</v>
      </c>
      <c r="C415" s="119"/>
      <c r="D415" s="239" t="s">
        <v>757</v>
      </c>
      <c r="E415" s="510">
        <f t="shared" ref="E415:P415" si="462">E418+E416</f>
        <v>19175000</v>
      </c>
      <c r="F415" s="510">
        <f t="shared" si="462"/>
        <v>18875000</v>
      </c>
      <c r="G415" s="510">
        <f t="shared" si="462"/>
        <v>0</v>
      </c>
      <c r="H415" s="510">
        <f t="shared" si="462"/>
        <v>0</v>
      </c>
      <c r="I415" s="510">
        <f t="shared" si="462"/>
        <v>300000</v>
      </c>
      <c r="J415" s="510">
        <f t="shared" si="462"/>
        <v>0</v>
      </c>
      <c r="K415" s="510">
        <f t="shared" si="462"/>
        <v>0</v>
      </c>
      <c r="L415" s="510">
        <f t="shared" si="462"/>
        <v>0</v>
      </c>
      <c r="M415" s="510">
        <f t="shared" si="462"/>
        <v>0</v>
      </c>
      <c r="N415" s="510">
        <f t="shared" si="462"/>
        <v>0</v>
      </c>
      <c r="O415" s="510">
        <f t="shared" si="462"/>
        <v>0</v>
      </c>
      <c r="P415" s="510">
        <f t="shared" si="462"/>
        <v>19175000</v>
      </c>
      <c r="Q415" s="45"/>
      <c r="R415" s="44"/>
    </row>
    <row r="416" spans="1:18" ht="121.5" customHeight="1" thickTop="1" thickBot="1" x14ac:dyDescent="0.25">
      <c r="A416" s="508" t="s">
        <v>940</v>
      </c>
      <c r="B416" s="508" t="s">
        <v>765</v>
      </c>
      <c r="C416" s="127"/>
      <c r="D416" s="496" t="s">
        <v>1711</v>
      </c>
      <c r="E416" s="509">
        <f>E417</f>
        <v>110000</v>
      </c>
      <c r="F416" s="509">
        <f>F417</f>
        <v>110000</v>
      </c>
      <c r="G416" s="509">
        <f t="shared" ref="G416:O416" si="463">G417</f>
        <v>0</v>
      </c>
      <c r="H416" s="509">
        <f t="shared" si="463"/>
        <v>0</v>
      </c>
      <c r="I416" s="509">
        <f t="shared" si="463"/>
        <v>0</v>
      </c>
      <c r="J416" s="509">
        <f t="shared" si="463"/>
        <v>0</v>
      </c>
      <c r="K416" s="509">
        <f t="shared" si="463"/>
        <v>0</v>
      </c>
      <c r="L416" s="509">
        <f t="shared" si="463"/>
        <v>0</v>
      </c>
      <c r="M416" s="509">
        <f t="shared" si="463"/>
        <v>0</v>
      </c>
      <c r="N416" s="509">
        <f t="shared" si="463"/>
        <v>0</v>
      </c>
      <c r="O416" s="509">
        <f t="shared" si="463"/>
        <v>0</v>
      </c>
      <c r="P416" s="509">
        <f>P417</f>
        <v>110000</v>
      </c>
      <c r="Q416" s="45"/>
      <c r="R416" s="44"/>
    </row>
    <row r="417" spans="1:18" ht="90.75" customHeight="1" thickTop="1" thickBot="1" x14ac:dyDescent="0.25">
      <c r="A417" s="94" t="s">
        <v>941</v>
      </c>
      <c r="B417" s="94" t="s">
        <v>341</v>
      </c>
      <c r="C417" s="94" t="s">
        <v>165</v>
      </c>
      <c r="D417" s="94" t="s">
        <v>256</v>
      </c>
      <c r="E417" s="471">
        <f>F417+I417</f>
        <v>110000</v>
      </c>
      <c r="F417" s="504">
        <f>((4950000)+1160000)-6000000</f>
        <v>110000</v>
      </c>
      <c r="G417" s="125"/>
      <c r="H417" s="125"/>
      <c r="I417" s="125"/>
      <c r="J417" s="501">
        <f t="shared" ref="J417" si="464">L417+O417</f>
        <v>0</v>
      </c>
      <c r="K417" s="504">
        <f>((0)+5000000-1000000)-4000000</f>
        <v>0</v>
      </c>
      <c r="L417" s="125"/>
      <c r="M417" s="125"/>
      <c r="N417" s="125"/>
      <c r="O417" s="502">
        <f>K417</f>
        <v>0</v>
      </c>
      <c r="P417" s="501">
        <f t="shared" ref="P417" si="465">E417+J417</f>
        <v>110000</v>
      </c>
      <c r="Q417" s="45"/>
      <c r="R417" s="44"/>
    </row>
    <row r="418" spans="1:18" ht="93" customHeight="1" thickTop="1" thickBot="1" x14ac:dyDescent="0.25">
      <c r="A418" s="508" t="s">
        <v>791</v>
      </c>
      <c r="B418" s="508" t="s">
        <v>659</v>
      </c>
      <c r="C418" s="127"/>
      <c r="D418" s="508" t="s">
        <v>657</v>
      </c>
      <c r="E418" s="509">
        <f>SUM(E419:E423)-E422</f>
        <v>19065000</v>
      </c>
      <c r="F418" s="509">
        <f t="shared" ref="F418:P418" si="466">SUM(F419:F423)-F422</f>
        <v>18765000</v>
      </c>
      <c r="G418" s="509">
        <f t="shared" si="466"/>
        <v>0</v>
      </c>
      <c r="H418" s="509">
        <f t="shared" si="466"/>
        <v>0</v>
      </c>
      <c r="I418" s="509">
        <f t="shared" si="466"/>
        <v>300000</v>
      </c>
      <c r="J418" s="509">
        <f>SUM(J419:J423)-J422</f>
        <v>0</v>
      </c>
      <c r="K418" s="509">
        <f t="shared" si="466"/>
        <v>0</v>
      </c>
      <c r="L418" s="509">
        <f t="shared" si="466"/>
        <v>0</v>
      </c>
      <c r="M418" s="509">
        <f t="shared" si="466"/>
        <v>0</v>
      </c>
      <c r="N418" s="509">
        <f t="shared" si="466"/>
        <v>0</v>
      </c>
      <c r="O418" s="509">
        <f t="shared" si="466"/>
        <v>0</v>
      </c>
      <c r="P418" s="509">
        <f t="shared" si="466"/>
        <v>19065000</v>
      </c>
      <c r="Q418" s="45"/>
      <c r="R418" s="44"/>
    </row>
    <row r="419" spans="1:18" ht="87.75" customHeight="1" thickTop="1" thickBot="1" x14ac:dyDescent="0.25">
      <c r="A419" s="94" t="s">
        <v>254</v>
      </c>
      <c r="B419" s="94" t="s">
        <v>255</v>
      </c>
      <c r="C419" s="94" t="s">
        <v>253</v>
      </c>
      <c r="D419" s="94" t="s">
        <v>252</v>
      </c>
      <c r="E419" s="471">
        <f>F419+I419</f>
        <v>19065000</v>
      </c>
      <c r="F419" s="504">
        <f>((12565000)+1500000)-300000+5000000</f>
        <v>18765000</v>
      </c>
      <c r="G419" s="125"/>
      <c r="H419" s="125"/>
      <c r="I419" s="504">
        <f>(0)+300000</f>
        <v>300000</v>
      </c>
      <c r="J419" s="501">
        <f t="shared" ref="J419:J423" si="467">L419+O419</f>
        <v>0</v>
      </c>
      <c r="K419" s="125"/>
      <c r="L419" s="125"/>
      <c r="M419" s="125"/>
      <c r="N419" s="125"/>
      <c r="O419" s="502">
        <f>K419</f>
        <v>0</v>
      </c>
      <c r="P419" s="501">
        <f t="shared" ref="P419:P423" si="468">E419+J419</f>
        <v>19065000</v>
      </c>
      <c r="Q419" s="18"/>
      <c r="R419" s="44"/>
    </row>
    <row r="420" spans="1:18" ht="87.75" hidden="1" customHeight="1" thickTop="1" thickBot="1" x14ac:dyDescent="0.25">
      <c r="A420" s="119" t="s">
        <v>246</v>
      </c>
      <c r="B420" s="119" t="s">
        <v>248</v>
      </c>
      <c r="C420" s="119" t="s">
        <v>208</v>
      </c>
      <c r="D420" s="119" t="s">
        <v>247</v>
      </c>
      <c r="E420" s="118"/>
      <c r="F420" s="125"/>
      <c r="G420" s="125"/>
      <c r="H420" s="125"/>
      <c r="I420" s="125"/>
      <c r="J420" s="118">
        <f t="shared" si="467"/>
        <v>0</v>
      </c>
      <c r="K420" s="125"/>
      <c r="L420" s="125"/>
      <c r="M420" s="125"/>
      <c r="N420" s="125"/>
      <c r="O420" s="123">
        <f>K420</f>
        <v>0</v>
      </c>
      <c r="P420" s="118">
        <f t="shared" si="468"/>
        <v>0</v>
      </c>
      <c r="Q420" s="18"/>
      <c r="R420" s="44"/>
    </row>
    <row r="421" spans="1:18" ht="48" hidden="1" thickTop="1" thickBot="1" x14ac:dyDescent="0.25">
      <c r="A421" s="119" t="s">
        <v>1153</v>
      </c>
      <c r="B421" s="119" t="s">
        <v>207</v>
      </c>
      <c r="C421" s="119" t="s">
        <v>208</v>
      </c>
      <c r="D421" s="119" t="s">
        <v>40</v>
      </c>
      <c r="E421" s="118">
        <f t="shared" ref="E421" si="469">F421</f>
        <v>0</v>
      </c>
      <c r="F421" s="125">
        <f>(200000)-200000</f>
        <v>0</v>
      </c>
      <c r="G421" s="125"/>
      <c r="H421" s="125"/>
      <c r="I421" s="125"/>
      <c r="J421" s="118">
        <f t="shared" ref="J421" si="470">L421+O421</f>
        <v>0</v>
      </c>
      <c r="K421" s="125">
        <f>(100000)-100000</f>
        <v>0</v>
      </c>
      <c r="L421" s="125"/>
      <c r="M421" s="125"/>
      <c r="N421" s="125"/>
      <c r="O421" s="123">
        <f>K421</f>
        <v>0</v>
      </c>
      <c r="P421" s="118">
        <f t="shared" ref="P421" si="471">E421+J421</f>
        <v>0</v>
      </c>
      <c r="Q421" s="18"/>
      <c r="R421" s="44"/>
    </row>
    <row r="422" spans="1:18" ht="74.25" hidden="1" customHeight="1" thickTop="1" thickBot="1" x14ac:dyDescent="0.25">
      <c r="A422" s="131" t="s">
        <v>792</v>
      </c>
      <c r="B422" s="131" t="s">
        <v>662</v>
      </c>
      <c r="C422" s="131"/>
      <c r="D422" s="131" t="s">
        <v>660</v>
      </c>
      <c r="E422" s="132">
        <f>E423</f>
        <v>0</v>
      </c>
      <c r="F422" s="132">
        <f t="shared" ref="F422:P422" si="472">F423</f>
        <v>0</v>
      </c>
      <c r="G422" s="132">
        <f t="shared" si="472"/>
        <v>0</v>
      </c>
      <c r="H422" s="132">
        <f t="shared" si="472"/>
        <v>0</v>
      </c>
      <c r="I422" s="132">
        <f t="shared" si="472"/>
        <v>0</v>
      </c>
      <c r="J422" s="132">
        <f t="shared" si="472"/>
        <v>0</v>
      </c>
      <c r="K422" s="132">
        <f t="shared" si="472"/>
        <v>0</v>
      </c>
      <c r="L422" s="132">
        <f t="shared" si="472"/>
        <v>0</v>
      </c>
      <c r="M422" s="132">
        <f t="shared" si="472"/>
        <v>0</v>
      </c>
      <c r="N422" s="132">
        <f t="shared" si="472"/>
        <v>0</v>
      </c>
      <c r="O422" s="132">
        <f t="shared" si="472"/>
        <v>0</v>
      </c>
      <c r="P422" s="132">
        <f t="shared" si="472"/>
        <v>0</v>
      </c>
      <c r="Q422" s="18"/>
      <c r="R422" s="44"/>
    </row>
    <row r="423" spans="1:18" ht="87" hidden="1" customHeight="1" thickTop="1" thickBot="1" x14ac:dyDescent="0.25">
      <c r="A423" s="119" t="s">
        <v>250</v>
      </c>
      <c r="B423" s="119" t="s">
        <v>251</v>
      </c>
      <c r="C423" s="119" t="s">
        <v>165</v>
      </c>
      <c r="D423" s="119" t="s">
        <v>249</v>
      </c>
      <c r="E423" s="118"/>
      <c r="F423" s="125"/>
      <c r="G423" s="125"/>
      <c r="H423" s="125"/>
      <c r="I423" s="125"/>
      <c r="J423" s="118">
        <f t="shared" si="467"/>
        <v>0</v>
      </c>
      <c r="K423" s="125"/>
      <c r="L423" s="125"/>
      <c r="M423" s="125"/>
      <c r="N423" s="125"/>
      <c r="O423" s="123">
        <f>K423</f>
        <v>0</v>
      </c>
      <c r="P423" s="118">
        <f t="shared" si="468"/>
        <v>0</v>
      </c>
      <c r="Q423" s="18"/>
      <c r="R423" s="44"/>
    </row>
    <row r="424" spans="1:18" ht="47.25" hidden="1" thickTop="1" thickBot="1" x14ac:dyDescent="0.25">
      <c r="A424" s="391" t="s">
        <v>1155</v>
      </c>
      <c r="B424" s="391" t="s">
        <v>664</v>
      </c>
      <c r="C424" s="391"/>
      <c r="D424" s="391" t="s">
        <v>665</v>
      </c>
      <c r="E424" s="118">
        <f t="shared" ref="E424:P425" si="473">E425</f>
        <v>0</v>
      </c>
      <c r="F424" s="118">
        <f t="shared" si="473"/>
        <v>0</v>
      </c>
      <c r="G424" s="118">
        <f t="shared" si="473"/>
        <v>0</v>
      </c>
      <c r="H424" s="118">
        <f t="shared" si="473"/>
        <v>0</v>
      </c>
      <c r="I424" s="118">
        <f t="shared" si="473"/>
        <v>0</v>
      </c>
      <c r="J424" s="118">
        <f t="shared" si="473"/>
        <v>0</v>
      </c>
      <c r="K424" s="118">
        <f t="shared" si="473"/>
        <v>0</v>
      </c>
      <c r="L424" s="118">
        <f t="shared" si="473"/>
        <v>0</v>
      </c>
      <c r="M424" s="118">
        <f t="shared" si="473"/>
        <v>0</v>
      </c>
      <c r="N424" s="118">
        <f t="shared" si="473"/>
        <v>0</v>
      </c>
      <c r="O424" s="118">
        <f t="shared" si="473"/>
        <v>0</v>
      </c>
      <c r="P424" s="118">
        <f t="shared" si="473"/>
        <v>0</v>
      </c>
      <c r="Q424" s="18"/>
      <c r="R424" s="44"/>
    </row>
    <row r="425" spans="1:18" ht="47.25" hidden="1" thickTop="1" thickBot="1" x14ac:dyDescent="0.25">
      <c r="A425" s="348" t="s">
        <v>1156</v>
      </c>
      <c r="B425" s="348" t="s">
        <v>1066</v>
      </c>
      <c r="C425" s="348"/>
      <c r="D425" s="348" t="s">
        <v>1064</v>
      </c>
      <c r="E425" s="128">
        <f t="shared" si="473"/>
        <v>0</v>
      </c>
      <c r="F425" s="128">
        <f t="shared" si="473"/>
        <v>0</v>
      </c>
      <c r="G425" s="128">
        <f t="shared" si="473"/>
        <v>0</v>
      </c>
      <c r="H425" s="128">
        <f t="shared" si="473"/>
        <v>0</v>
      </c>
      <c r="I425" s="128">
        <f t="shared" si="473"/>
        <v>0</v>
      </c>
      <c r="J425" s="128">
        <f t="shared" si="473"/>
        <v>0</v>
      </c>
      <c r="K425" s="128">
        <f t="shared" si="473"/>
        <v>0</v>
      </c>
      <c r="L425" s="128">
        <f t="shared" si="473"/>
        <v>0</v>
      </c>
      <c r="M425" s="128">
        <f t="shared" si="473"/>
        <v>0</v>
      </c>
      <c r="N425" s="128">
        <f t="shared" si="473"/>
        <v>0</v>
      </c>
      <c r="O425" s="128">
        <f t="shared" si="473"/>
        <v>0</v>
      </c>
      <c r="P425" s="128">
        <f t="shared" si="473"/>
        <v>0</v>
      </c>
      <c r="Q425" s="18"/>
      <c r="R425" s="44"/>
    </row>
    <row r="426" spans="1:18" ht="48" hidden="1" thickTop="1" thickBot="1" x14ac:dyDescent="0.25">
      <c r="A426" s="349" t="s">
        <v>1157</v>
      </c>
      <c r="B426" s="349" t="s">
        <v>1070</v>
      </c>
      <c r="C426" s="349" t="s">
        <v>1068</v>
      </c>
      <c r="D426" s="349" t="s">
        <v>1067</v>
      </c>
      <c r="E426" s="118">
        <f>F426</f>
        <v>0</v>
      </c>
      <c r="F426" s="125">
        <f>(200000)-200000</f>
        <v>0</v>
      </c>
      <c r="G426" s="125"/>
      <c r="H426" s="125"/>
      <c r="I426" s="125"/>
      <c r="J426" s="118">
        <f>L426+O426</f>
        <v>0</v>
      </c>
      <c r="K426" s="125">
        <f>(100000)-100000</f>
        <v>0</v>
      </c>
      <c r="L426" s="125"/>
      <c r="M426" s="125"/>
      <c r="N426" s="125"/>
      <c r="O426" s="123">
        <f>K426</f>
        <v>0</v>
      </c>
      <c r="P426" s="118">
        <f>E426+J426</f>
        <v>0</v>
      </c>
      <c r="Q426" s="18"/>
      <c r="R426" s="44"/>
    </row>
    <row r="427" spans="1:18" ht="47.25" hidden="1" thickTop="1" thickBot="1" x14ac:dyDescent="0.25">
      <c r="A427" s="116" t="s">
        <v>862</v>
      </c>
      <c r="B427" s="116" t="s">
        <v>669</v>
      </c>
      <c r="C427" s="116"/>
      <c r="D427" s="116" t="s">
        <v>670</v>
      </c>
      <c r="E427" s="118">
        <f>E428</f>
        <v>0</v>
      </c>
      <c r="F427" s="118">
        <f t="shared" ref="F427:P428" si="474">F428</f>
        <v>0</v>
      </c>
      <c r="G427" s="118">
        <f t="shared" si="474"/>
        <v>0</v>
      </c>
      <c r="H427" s="118">
        <f t="shared" si="474"/>
        <v>0</v>
      </c>
      <c r="I427" s="118">
        <f t="shared" si="474"/>
        <v>0</v>
      </c>
      <c r="J427" s="118">
        <f t="shared" si="474"/>
        <v>0</v>
      </c>
      <c r="K427" s="118">
        <f t="shared" si="474"/>
        <v>0</v>
      </c>
      <c r="L427" s="118">
        <f t="shared" si="474"/>
        <v>0</v>
      </c>
      <c r="M427" s="118">
        <f t="shared" si="474"/>
        <v>0</v>
      </c>
      <c r="N427" s="118">
        <f t="shared" si="474"/>
        <v>0</v>
      </c>
      <c r="O427" s="118">
        <f t="shared" si="474"/>
        <v>0</v>
      </c>
      <c r="P427" s="118">
        <f t="shared" si="474"/>
        <v>0</v>
      </c>
      <c r="Q427" s="18"/>
      <c r="R427" s="44"/>
    </row>
    <row r="428" spans="1:18" ht="91.5" hidden="1" thickTop="1" thickBot="1" x14ac:dyDescent="0.25">
      <c r="A428" s="127" t="s">
        <v>863</v>
      </c>
      <c r="B428" s="127" t="s">
        <v>672</v>
      </c>
      <c r="C428" s="127"/>
      <c r="D428" s="127" t="s">
        <v>673</v>
      </c>
      <c r="E428" s="128">
        <f>E429</f>
        <v>0</v>
      </c>
      <c r="F428" s="128">
        <f t="shared" si="474"/>
        <v>0</v>
      </c>
      <c r="G428" s="128">
        <f t="shared" si="474"/>
        <v>0</v>
      </c>
      <c r="H428" s="128">
        <f t="shared" si="474"/>
        <v>0</v>
      </c>
      <c r="I428" s="128">
        <f t="shared" si="474"/>
        <v>0</v>
      </c>
      <c r="J428" s="128">
        <f t="shared" si="474"/>
        <v>0</v>
      </c>
      <c r="K428" s="128">
        <f t="shared" si="474"/>
        <v>0</v>
      </c>
      <c r="L428" s="128">
        <f t="shared" si="474"/>
        <v>0</v>
      </c>
      <c r="M428" s="128">
        <f t="shared" si="474"/>
        <v>0</v>
      </c>
      <c r="N428" s="128">
        <f t="shared" si="474"/>
        <v>0</v>
      </c>
      <c r="O428" s="128">
        <f t="shared" si="474"/>
        <v>0</v>
      </c>
      <c r="P428" s="128">
        <f t="shared" si="474"/>
        <v>0</v>
      </c>
      <c r="Q428" s="18"/>
      <c r="R428" s="44"/>
    </row>
    <row r="429" spans="1:18" ht="48" hidden="1" thickTop="1" thickBot="1" x14ac:dyDescent="0.25">
      <c r="A429" s="119" t="s">
        <v>864</v>
      </c>
      <c r="B429" s="119" t="s">
        <v>353</v>
      </c>
      <c r="C429" s="119" t="s">
        <v>42</v>
      </c>
      <c r="D429" s="119" t="s">
        <v>354</v>
      </c>
      <c r="E429" s="118">
        <f t="shared" ref="E429" si="475">F429</f>
        <v>0</v>
      </c>
      <c r="F429" s="125"/>
      <c r="G429" s="125"/>
      <c r="H429" s="125"/>
      <c r="I429" s="125"/>
      <c r="J429" s="118">
        <f>L429+O429</f>
        <v>0</v>
      </c>
      <c r="K429" s="125"/>
      <c r="L429" s="125"/>
      <c r="M429" s="125"/>
      <c r="N429" s="125"/>
      <c r="O429" s="123">
        <f>K429</f>
        <v>0</v>
      </c>
      <c r="P429" s="118">
        <f>E429+J429</f>
        <v>0</v>
      </c>
      <c r="Q429" s="18"/>
      <c r="R429" s="44"/>
    </row>
    <row r="430" spans="1:18" ht="167.25" customHeight="1" thickTop="1" thickBot="1" x14ac:dyDescent="0.25">
      <c r="A430" s="514" t="s">
        <v>159</v>
      </c>
      <c r="B430" s="514"/>
      <c r="C430" s="514"/>
      <c r="D430" s="515" t="s">
        <v>844</v>
      </c>
      <c r="E430" s="516">
        <f>E431</f>
        <v>13815708</v>
      </c>
      <c r="F430" s="517">
        <f t="shared" ref="F430:G430" si="476">F431</f>
        <v>13285708</v>
      </c>
      <c r="G430" s="517">
        <f t="shared" si="476"/>
        <v>7293001</v>
      </c>
      <c r="H430" s="517">
        <f>H431</f>
        <v>194725</v>
      </c>
      <c r="I430" s="517">
        <f t="shared" ref="I430" si="477">I431</f>
        <v>530000</v>
      </c>
      <c r="J430" s="516">
        <f>J431</f>
        <v>4351532</v>
      </c>
      <c r="K430" s="517">
        <f>K431</f>
        <v>0</v>
      </c>
      <c r="L430" s="517">
        <f>L431</f>
        <v>1780032</v>
      </c>
      <c r="M430" s="517">
        <f t="shared" ref="M430" si="478">M431</f>
        <v>0</v>
      </c>
      <c r="N430" s="517">
        <f>N431</f>
        <v>0</v>
      </c>
      <c r="O430" s="516">
        <f>O431</f>
        <v>2571500</v>
      </c>
      <c r="P430" s="517">
        <f t="shared" ref="P430" si="479">P431</f>
        <v>18167240</v>
      </c>
      <c r="Q430" s="18"/>
    </row>
    <row r="431" spans="1:18" ht="176.25" customHeight="1" thickTop="1" thickBot="1" x14ac:dyDescent="0.25">
      <c r="A431" s="511" t="s">
        <v>160</v>
      </c>
      <c r="B431" s="511"/>
      <c r="C431" s="511"/>
      <c r="D431" s="512" t="s">
        <v>843</v>
      </c>
      <c r="E431" s="513">
        <f>E432+E437+E440+E435</f>
        <v>13815708</v>
      </c>
      <c r="F431" s="513">
        <f t="shared" ref="F431:I431" si="480">F432+F437+F440+F435</f>
        <v>13285708</v>
      </c>
      <c r="G431" s="513">
        <f t="shared" si="480"/>
        <v>7293001</v>
      </c>
      <c r="H431" s="513">
        <f t="shared" si="480"/>
        <v>194725</v>
      </c>
      <c r="I431" s="513">
        <f t="shared" si="480"/>
        <v>530000</v>
      </c>
      <c r="J431" s="513">
        <f t="shared" ref="J431" si="481">J432+J437+J440+J435</f>
        <v>4351532</v>
      </c>
      <c r="K431" s="513">
        <f t="shared" ref="K431" si="482">K432+K437+K440+K435</f>
        <v>0</v>
      </c>
      <c r="L431" s="513">
        <f t="shared" ref="L431" si="483">L432+L437+L440+L435</f>
        <v>1780032</v>
      </c>
      <c r="M431" s="513">
        <f t="shared" ref="M431" si="484">M432+M437+M440+M435</f>
        <v>0</v>
      </c>
      <c r="N431" s="513">
        <f t="shared" ref="N431" si="485">N432+N437+N440+N435</f>
        <v>0</v>
      </c>
      <c r="O431" s="513">
        <f t="shared" ref="O431" si="486">O432+O437+O440+O435</f>
        <v>2571500</v>
      </c>
      <c r="P431" s="513">
        <f t="shared" ref="P431" si="487">P432+P437+P440+P435</f>
        <v>18167240</v>
      </c>
      <c r="Q431" s="546" t="b">
        <f>P431=P433+P439+P441+P436</f>
        <v>1</v>
      </c>
      <c r="R431" s="44"/>
    </row>
    <row r="432" spans="1:18" ht="113.25" customHeight="1" thickTop="1" thickBot="1" x14ac:dyDescent="0.25">
      <c r="A432" s="239" t="s">
        <v>793</v>
      </c>
      <c r="B432" s="239" t="s">
        <v>652</v>
      </c>
      <c r="C432" s="239"/>
      <c r="D432" s="239" t="s">
        <v>653</v>
      </c>
      <c r="E432" s="501">
        <f>SUM(E433:E434)</f>
        <v>9473402</v>
      </c>
      <c r="F432" s="501">
        <f t="shared" ref="F432" si="488">SUM(F433:F434)</f>
        <v>9443402</v>
      </c>
      <c r="G432" s="501">
        <f t="shared" ref="G432" si="489">SUM(G433:G434)</f>
        <v>7293001</v>
      </c>
      <c r="H432" s="501">
        <f t="shared" ref="H432" si="490">SUM(H433:H434)</f>
        <v>194725</v>
      </c>
      <c r="I432" s="501">
        <f t="shared" ref="I432" si="491">SUM(I433:I434)</f>
        <v>30000</v>
      </c>
      <c r="J432" s="501">
        <f t="shared" ref="J432" si="492">SUM(J433:J434)</f>
        <v>0</v>
      </c>
      <c r="K432" s="501">
        <f t="shared" ref="K432" si="493">SUM(K433:K434)</f>
        <v>0</v>
      </c>
      <c r="L432" s="501">
        <f t="shared" ref="L432" si="494">SUM(L433:L434)</f>
        <v>0</v>
      </c>
      <c r="M432" s="501">
        <f t="shared" ref="M432" si="495">SUM(M433:M434)</f>
        <v>0</v>
      </c>
      <c r="N432" s="501">
        <f t="shared" ref="N432" si="496">SUM(N433:N434)</f>
        <v>0</v>
      </c>
      <c r="O432" s="501">
        <f>SUM(O433:O434)</f>
        <v>0</v>
      </c>
      <c r="P432" s="501">
        <f t="shared" ref="P432" si="497">SUM(P433:P434)</f>
        <v>9473402</v>
      </c>
      <c r="Q432" s="45"/>
      <c r="R432" s="44"/>
    </row>
    <row r="433" spans="1:18" ht="155.25" customHeight="1" thickTop="1" thickBot="1" x14ac:dyDescent="0.25">
      <c r="A433" s="94" t="s">
        <v>411</v>
      </c>
      <c r="B433" s="94" t="s">
        <v>231</v>
      </c>
      <c r="C433" s="94" t="s">
        <v>229</v>
      </c>
      <c r="D433" s="94" t="s">
        <v>1515</v>
      </c>
      <c r="E433" s="521">
        <f>F433+I433</f>
        <v>9473402</v>
      </c>
      <c r="F433" s="504">
        <f>(9421402)+22000</f>
        <v>9443402</v>
      </c>
      <c r="G433" s="504">
        <v>7293001</v>
      </c>
      <c r="H433" s="504">
        <v>194725</v>
      </c>
      <c r="I433" s="504">
        <v>30000</v>
      </c>
      <c r="J433" s="501">
        <f t="shared" ref="J433:J439" si="498">L433+O433</f>
        <v>0</v>
      </c>
      <c r="K433" s="504"/>
      <c r="L433" s="504"/>
      <c r="M433" s="504"/>
      <c r="N433" s="504"/>
      <c r="O433" s="502">
        <f>K433</f>
        <v>0</v>
      </c>
      <c r="P433" s="501">
        <f t="shared" ref="P433:P439" si="499">E433+J433</f>
        <v>9473402</v>
      </c>
      <c r="Q433" s="45"/>
      <c r="R433" s="44"/>
    </row>
    <row r="434" spans="1:18" ht="93" hidden="1" thickTop="1" thickBot="1" x14ac:dyDescent="0.25">
      <c r="A434" s="39" t="s">
        <v>606</v>
      </c>
      <c r="B434" s="39" t="s">
        <v>352</v>
      </c>
      <c r="C434" s="39" t="s">
        <v>598</v>
      </c>
      <c r="D434" s="39" t="s">
        <v>599</v>
      </c>
      <c r="E434" s="142">
        <f>F434</f>
        <v>0</v>
      </c>
      <c r="F434" s="120">
        <v>0</v>
      </c>
      <c r="G434" s="120"/>
      <c r="H434" s="120"/>
      <c r="I434" s="120"/>
      <c r="J434" s="118">
        <f t="shared" si="498"/>
        <v>0</v>
      </c>
      <c r="K434" s="120"/>
      <c r="L434" s="121"/>
      <c r="M434" s="121"/>
      <c r="N434" s="121"/>
      <c r="O434" s="123">
        <f t="shared" ref="O434" si="500">K434</f>
        <v>0</v>
      </c>
      <c r="P434" s="118">
        <f t="shared" ref="P434" si="501">+J434+E434</f>
        <v>0</v>
      </c>
      <c r="Q434" s="45"/>
      <c r="R434" s="44"/>
    </row>
    <row r="435" spans="1:18" ht="135" customHeight="1" thickTop="1" thickBot="1" x14ac:dyDescent="0.25">
      <c r="A435" s="239" t="s">
        <v>1779</v>
      </c>
      <c r="B435" s="239" t="s">
        <v>707</v>
      </c>
      <c r="C435" s="239"/>
      <c r="D435" s="542" t="s">
        <v>708</v>
      </c>
      <c r="E435" s="521">
        <f>E436</f>
        <v>3842306</v>
      </c>
      <c r="F435" s="521">
        <f t="shared" ref="F435:P435" si="502">F436</f>
        <v>3842306</v>
      </c>
      <c r="G435" s="521">
        <f t="shared" si="502"/>
        <v>0</v>
      </c>
      <c r="H435" s="521">
        <f t="shared" si="502"/>
        <v>0</v>
      </c>
      <c r="I435" s="521">
        <f t="shared" si="502"/>
        <v>0</v>
      </c>
      <c r="J435" s="521">
        <f t="shared" si="502"/>
        <v>0</v>
      </c>
      <c r="K435" s="521">
        <f t="shared" si="502"/>
        <v>0</v>
      </c>
      <c r="L435" s="521">
        <f t="shared" si="502"/>
        <v>0</v>
      </c>
      <c r="M435" s="521">
        <f t="shared" si="502"/>
        <v>0</v>
      </c>
      <c r="N435" s="521">
        <f t="shared" si="502"/>
        <v>0</v>
      </c>
      <c r="O435" s="521">
        <f t="shared" si="502"/>
        <v>0</v>
      </c>
      <c r="P435" s="521">
        <f t="shared" si="502"/>
        <v>3842306</v>
      </c>
      <c r="Q435" s="45"/>
      <c r="R435" s="44"/>
    </row>
    <row r="436" spans="1:18" ht="116.25" customHeight="1" thickTop="1" thickBot="1" x14ac:dyDescent="0.25">
      <c r="A436" s="94" t="s">
        <v>1780</v>
      </c>
      <c r="B436" s="94" t="s">
        <v>283</v>
      </c>
      <c r="C436" s="94" t="s">
        <v>277</v>
      </c>
      <c r="D436" s="94" t="s">
        <v>1522</v>
      </c>
      <c r="E436" s="471">
        <f>F436+I436</f>
        <v>3842306</v>
      </c>
      <c r="F436" s="520">
        <v>3842306</v>
      </c>
      <c r="G436" s="120"/>
      <c r="H436" s="520"/>
      <c r="I436" s="120"/>
      <c r="J436" s="501">
        <f t="shared" ref="J436" si="503">L436+O436</f>
        <v>0</v>
      </c>
      <c r="K436" s="504"/>
      <c r="L436" s="520"/>
      <c r="M436" s="520"/>
      <c r="N436" s="520"/>
      <c r="O436" s="502">
        <f t="shared" ref="O436" si="504">K436</f>
        <v>0</v>
      </c>
      <c r="P436" s="501">
        <f t="shared" ref="P436" si="505">E436+J436</f>
        <v>3842306</v>
      </c>
      <c r="Q436" s="45"/>
      <c r="R436" s="44"/>
    </row>
    <row r="437" spans="1:18" ht="94.5" customHeight="1" thickTop="1" thickBot="1" x14ac:dyDescent="0.25">
      <c r="A437" s="239" t="s">
        <v>794</v>
      </c>
      <c r="B437" s="239" t="s">
        <v>664</v>
      </c>
      <c r="C437" s="239"/>
      <c r="D437" s="239" t="s">
        <v>665</v>
      </c>
      <c r="E437" s="521">
        <f>E438</f>
        <v>0</v>
      </c>
      <c r="F437" s="521">
        <f t="shared" ref="F437:P438" si="506">F438</f>
        <v>0</v>
      </c>
      <c r="G437" s="521">
        <f t="shared" si="506"/>
        <v>0</v>
      </c>
      <c r="H437" s="521">
        <f t="shared" si="506"/>
        <v>0</v>
      </c>
      <c r="I437" s="521">
        <f t="shared" si="506"/>
        <v>0</v>
      </c>
      <c r="J437" s="521">
        <f t="shared" si="506"/>
        <v>4351532</v>
      </c>
      <c r="K437" s="521">
        <f t="shared" si="506"/>
        <v>0</v>
      </c>
      <c r="L437" s="521">
        <f t="shared" si="506"/>
        <v>1780032</v>
      </c>
      <c r="M437" s="521">
        <f t="shared" si="506"/>
        <v>0</v>
      </c>
      <c r="N437" s="521">
        <f t="shared" si="506"/>
        <v>0</v>
      </c>
      <c r="O437" s="521">
        <f t="shared" si="506"/>
        <v>2571500</v>
      </c>
      <c r="P437" s="521">
        <f t="shared" si="506"/>
        <v>4351532</v>
      </c>
      <c r="Q437" s="45"/>
      <c r="R437" s="44"/>
    </row>
    <row r="438" spans="1:18" ht="103.5" customHeight="1" thickTop="1" thickBot="1" x14ac:dyDescent="0.25">
      <c r="A438" s="508" t="s">
        <v>795</v>
      </c>
      <c r="B438" s="508" t="s">
        <v>796</v>
      </c>
      <c r="C438" s="508"/>
      <c r="D438" s="508" t="s">
        <v>1567</v>
      </c>
      <c r="E438" s="547">
        <f>E439</f>
        <v>0</v>
      </c>
      <c r="F438" s="547">
        <f t="shared" si="506"/>
        <v>0</v>
      </c>
      <c r="G438" s="547">
        <f t="shared" si="506"/>
        <v>0</v>
      </c>
      <c r="H438" s="547">
        <f t="shared" si="506"/>
        <v>0</v>
      </c>
      <c r="I438" s="547">
        <f t="shared" si="506"/>
        <v>0</v>
      </c>
      <c r="J438" s="547">
        <f t="shared" si="506"/>
        <v>4351532</v>
      </c>
      <c r="K438" s="547">
        <f t="shared" ref="K438:P438" si="507">K439</f>
        <v>0</v>
      </c>
      <c r="L438" s="547">
        <f t="shared" si="507"/>
        <v>1780032</v>
      </c>
      <c r="M438" s="547">
        <f t="shared" si="507"/>
        <v>0</v>
      </c>
      <c r="N438" s="547">
        <f t="shared" si="507"/>
        <v>0</v>
      </c>
      <c r="O438" s="547">
        <f t="shared" si="507"/>
        <v>2571500</v>
      </c>
      <c r="P438" s="547">
        <f t="shared" si="507"/>
        <v>4351532</v>
      </c>
      <c r="Q438" s="45"/>
      <c r="R438" s="44"/>
    </row>
    <row r="439" spans="1:18" ht="114" customHeight="1" thickTop="1" thickBot="1" x14ac:dyDescent="0.25">
      <c r="A439" s="94" t="s">
        <v>1028</v>
      </c>
      <c r="B439" s="94" t="s">
        <v>1029</v>
      </c>
      <c r="C439" s="94" t="s">
        <v>49</v>
      </c>
      <c r="D439" s="94" t="s">
        <v>1030</v>
      </c>
      <c r="E439" s="521">
        <f>F439+I439</f>
        <v>0</v>
      </c>
      <c r="F439" s="504"/>
      <c r="G439" s="504"/>
      <c r="H439" s="504"/>
      <c r="I439" s="504"/>
      <c r="J439" s="501">
        <f t="shared" si="498"/>
        <v>4351532</v>
      </c>
      <c r="K439" s="501"/>
      <c r="L439" s="504">
        <v>1780032</v>
      </c>
      <c r="M439" s="504"/>
      <c r="N439" s="504"/>
      <c r="O439" s="502">
        <f>2571500</f>
        <v>2571500</v>
      </c>
      <c r="P439" s="501">
        <f t="shared" si="499"/>
        <v>4351532</v>
      </c>
      <c r="Q439" s="546" t="b">
        <f>J439='d9'!F34</f>
        <v>1</v>
      </c>
    </row>
    <row r="440" spans="1:18" ht="87.75" customHeight="1" thickTop="1" thickBot="1" x14ac:dyDescent="0.25">
      <c r="A440" s="239" t="s">
        <v>1122</v>
      </c>
      <c r="B440" s="239" t="s">
        <v>669</v>
      </c>
      <c r="C440" s="239"/>
      <c r="D440" s="239" t="s">
        <v>670</v>
      </c>
      <c r="E440" s="501">
        <f t="shared" ref="E440:L440" si="508">E441</f>
        <v>500000</v>
      </c>
      <c r="F440" s="501">
        <f t="shared" si="508"/>
        <v>0</v>
      </c>
      <c r="G440" s="501">
        <f t="shared" si="508"/>
        <v>0</v>
      </c>
      <c r="H440" s="501">
        <f t="shared" si="508"/>
        <v>0</v>
      </c>
      <c r="I440" s="501">
        <f t="shared" si="508"/>
        <v>500000</v>
      </c>
      <c r="J440" s="501">
        <f t="shared" si="508"/>
        <v>0</v>
      </c>
      <c r="K440" s="501">
        <f t="shared" si="508"/>
        <v>0</v>
      </c>
      <c r="L440" s="501">
        <f t="shared" si="508"/>
        <v>0</v>
      </c>
      <c r="M440" s="501">
        <f t="shared" ref="M440:P440" si="509">M441</f>
        <v>0</v>
      </c>
      <c r="N440" s="501">
        <f t="shared" si="509"/>
        <v>0</v>
      </c>
      <c r="O440" s="501">
        <f t="shared" si="509"/>
        <v>0</v>
      </c>
      <c r="P440" s="501">
        <f t="shared" si="509"/>
        <v>500000</v>
      </c>
      <c r="Q440" s="45"/>
    </row>
    <row r="441" spans="1:18" ht="179.25" customHeight="1" thickTop="1" thickBot="1" x14ac:dyDescent="0.25">
      <c r="A441" s="94" t="s">
        <v>1121</v>
      </c>
      <c r="B441" s="94" t="s">
        <v>497</v>
      </c>
      <c r="C441" s="94" t="s">
        <v>42</v>
      </c>
      <c r="D441" s="94" t="s">
        <v>498</v>
      </c>
      <c r="E441" s="501">
        <f>F441+I441</f>
        <v>500000</v>
      </c>
      <c r="F441" s="504">
        <v>0</v>
      </c>
      <c r="G441" s="504"/>
      <c r="H441" s="504"/>
      <c r="I441" s="504">
        <v>500000</v>
      </c>
      <c r="J441" s="501">
        <f>L441+O441</f>
        <v>0</v>
      </c>
      <c r="K441" s="504"/>
      <c r="L441" s="504"/>
      <c r="M441" s="504"/>
      <c r="N441" s="504"/>
      <c r="O441" s="502">
        <f>(K441+0)</f>
        <v>0</v>
      </c>
      <c r="P441" s="501">
        <f>E441+J441</f>
        <v>500000</v>
      </c>
      <c r="Q441" s="45"/>
    </row>
    <row r="442" spans="1:18" ht="151.5" customHeight="1" thickTop="1" thickBot="1" x14ac:dyDescent="0.25">
      <c r="A442" s="514" t="s">
        <v>157</v>
      </c>
      <c r="B442" s="514"/>
      <c r="C442" s="514"/>
      <c r="D442" s="515" t="s">
        <v>853</v>
      </c>
      <c r="E442" s="516">
        <f>E443</f>
        <v>14494325</v>
      </c>
      <c r="F442" s="517">
        <f t="shared" ref="F442:G442" si="510">F443</f>
        <v>14494325</v>
      </c>
      <c r="G442" s="517">
        <f t="shared" si="510"/>
        <v>10738734</v>
      </c>
      <c r="H442" s="517">
        <f>H443</f>
        <v>290000</v>
      </c>
      <c r="I442" s="517">
        <f t="shared" ref="I442" si="511">I443</f>
        <v>0</v>
      </c>
      <c r="J442" s="516">
        <f>J443</f>
        <v>20000</v>
      </c>
      <c r="K442" s="517">
        <f>K443</f>
        <v>20000</v>
      </c>
      <c r="L442" s="517">
        <f>L443</f>
        <v>0</v>
      </c>
      <c r="M442" s="517">
        <f t="shared" ref="M442" si="512">M443</f>
        <v>0</v>
      </c>
      <c r="N442" s="517">
        <f>N443</f>
        <v>0</v>
      </c>
      <c r="O442" s="516">
        <f>O443</f>
        <v>20000</v>
      </c>
      <c r="P442" s="517">
        <f t="shared" ref="P442" si="513">P443</f>
        <v>14514325</v>
      </c>
      <c r="Q442" s="18"/>
    </row>
    <row r="443" spans="1:18" ht="157.5" customHeight="1" thickTop="1" thickBot="1" x14ac:dyDescent="0.25">
      <c r="A443" s="511" t="s">
        <v>158</v>
      </c>
      <c r="B443" s="511"/>
      <c r="C443" s="511"/>
      <c r="D443" s="512" t="s">
        <v>852</v>
      </c>
      <c r="E443" s="513">
        <f>E444+E446</f>
        <v>14494325</v>
      </c>
      <c r="F443" s="513">
        <f t="shared" ref="F443:I443" si="514">F444+F446</f>
        <v>14494325</v>
      </c>
      <c r="G443" s="513">
        <f t="shared" si="514"/>
        <v>10738734</v>
      </c>
      <c r="H443" s="513">
        <f t="shared" si="514"/>
        <v>290000</v>
      </c>
      <c r="I443" s="513">
        <f t="shared" si="514"/>
        <v>0</v>
      </c>
      <c r="J443" s="513">
        <f>L443+O443</f>
        <v>20000</v>
      </c>
      <c r="K443" s="513">
        <f t="shared" ref="K443:O443" si="515">K444+K446</f>
        <v>20000</v>
      </c>
      <c r="L443" s="513">
        <f t="shared" si="515"/>
        <v>0</v>
      </c>
      <c r="M443" s="513">
        <f t="shared" si="515"/>
        <v>0</v>
      </c>
      <c r="N443" s="513">
        <f t="shared" si="515"/>
        <v>0</v>
      </c>
      <c r="O443" s="513">
        <f t="shared" si="515"/>
        <v>20000</v>
      </c>
      <c r="P443" s="513">
        <f>E443+J443</f>
        <v>14514325</v>
      </c>
      <c r="Q443" s="546" t="b">
        <f>P443=P445+P448+P450</f>
        <v>1</v>
      </c>
      <c r="R443" s="43"/>
    </row>
    <row r="444" spans="1:18" ht="141" customHeight="1" thickTop="1" thickBot="1" x14ac:dyDescent="0.25">
      <c r="A444" s="483" t="s">
        <v>797</v>
      </c>
      <c r="B444" s="483" t="s">
        <v>652</v>
      </c>
      <c r="C444" s="483"/>
      <c r="D444" s="483" t="s">
        <v>653</v>
      </c>
      <c r="E444" s="485">
        <f>SUM(E445)</f>
        <v>13994325</v>
      </c>
      <c r="F444" s="485">
        <f t="shared" ref="F444:P444" si="516">SUM(F445)</f>
        <v>13994325</v>
      </c>
      <c r="G444" s="485">
        <f t="shared" si="516"/>
        <v>10738734</v>
      </c>
      <c r="H444" s="485">
        <f t="shared" si="516"/>
        <v>290000</v>
      </c>
      <c r="I444" s="485">
        <f t="shared" si="516"/>
        <v>0</v>
      </c>
      <c r="J444" s="485">
        <f t="shared" si="516"/>
        <v>0</v>
      </c>
      <c r="K444" s="485">
        <f t="shared" si="516"/>
        <v>0</v>
      </c>
      <c r="L444" s="485">
        <f t="shared" si="516"/>
        <v>0</v>
      </c>
      <c r="M444" s="485">
        <f t="shared" si="516"/>
        <v>0</v>
      </c>
      <c r="N444" s="485">
        <f t="shared" si="516"/>
        <v>0</v>
      </c>
      <c r="O444" s="485">
        <f t="shared" si="516"/>
        <v>0</v>
      </c>
      <c r="P444" s="485">
        <f t="shared" si="516"/>
        <v>13994325</v>
      </c>
      <c r="Q444" s="45"/>
      <c r="R444" s="43"/>
    </row>
    <row r="445" spans="1:18" ht="152.25" customHeight="1" thickTop="1" thickBot="1" x14ac:dyDescent="0.25">
      <c r="A445" s="469" t="s">
        <v>407</v>
      </c>
      <c r="B445" s="469" t="s">
        <v>231</v>
      </c>
      <c r="C445" s="469" t="s">
        <v>229</v>
      </c>
      <c r="D445" s="94" t="s">
        <v>1515</v>
      </c>
      <c r="E445" s="501">
        <f>F445+I445</f>
        <v>13994325</v>
      </c>
      <c r="F445" s="487">
        <f>(13855325)+139000</f>
        <v>13994325</v>
      </c>
      <c r="G445" s="487">
        <v>10738734</v>
      </c>
      <c r="H445" s="487">
        <v>290000</v>
      </c>
      <c r="I445" s="487"/>
      <c r="J445" s="485">
        <f>L445+O445</f>
        <v>0</v>
      </c>
      <c r="K445" s="487"/>
      <c r="L445" s="487"/>
      <c r="M445" s="487"/>
      <c r="N445" s="487"/>
      <c r="O445" s="488">
        <f>K445</f>
        <v>0</v>
      </c>
      <c r="P445" s="485">
        <f>E445+J445</f>
        <v>13994325</v>
      </c>
      <c r="Q445" s="18"/>
      <c r="R445" s="43"/>
    </row>
    <row r="446" spans="1:18" ht="109.5" customHeight="1" thickTop="1" thickBot="1" x14ac:dyDescent="0.25">
      <c r="A446" s="239" t="s">
        <v>798</v>
      </c>
      <c r="B446" s="239" t="s">
        <v>713</v>
      </c>
      <c r="C446" s="94"/>
      <c r="D446" s="239" t="s">
        <v>757</v>
      </c>
      <c r="E446" s="501">
        <f t="shared" ref="E446:P446" si="517">E447+E449</f>
        <v>500000</v>
      </c>
      <c r="F446" s="501">
        <f t="shared" si="517"/>
        <v>500000</v>
      </c>
      <c r="G446" s="501">
        <f t="shared" si="517"/>
        <v>0</v>
      </c>
      <c r="H446" s="501">
        <f t="shared" si="517"/>
        <v>0</v>
      </c>
      <c r="I446" s="501">
        <f t="shared" si="517"/>
        <v>0</v>
      </c>
      <c r="J446" s="501">
        <f t="shared" si="517"/>
        <v>20000</v>
      </c>
      <c r="K446" s="501">
        <f t="shared" si="517"/>
        <v>20000</v>
      </c>
      <c r="L446" s="501">
        <f t="shared" si="517"/>
        <v>0</v>
      </c>
      <c r="M446" s="501">
        <f t="shared" si="517"/>
        <v>0</v>
      </c>
      <c r="N446" s="501">
        <f t="shared" si="517"/>
        <v>0</v>
      </c>
      <c r="O446" s="501">
        <f t="shared" si="517"/>
        <v>20000</v>
      </c>
      <c r="P446" s="501">
        <f t="shared" si="517"/>
        <v>520000</v>
      </c>
      <c r="Q446" s="18"/>
      <c r="R446" s="45"/>
    </row>
    <row r="447" spans="1:18" ht="103.5" customHeight="1" thickTop="1" thickBot="1" x14ac:dyDescent="0.25">
      <c r="A447" s="508" t="s">
        <v>799</v>
      </c>
      <c r="B447" s="508" t="s">
        <v>800</v>
      </c>
      <c r="C447" s="508"/>
      <c r="D447" s="508" t="s">
        <v>801</v>
      </c>
      <c r="E447" s="524">
        <f>SUM(E448)</f>
        <v>500000</v>
      </c>
      <c r="F447" s="524">
        <f t="shared" ref="F447:P447" si="518">SUM(F448)</f>
        <v>500000</v>
      </c>
      <c r="G447" s="524">
        <f t="shared" si="518"/>
        <v>0</v>
      </c>
      <c r="H447" s="524">
        <f t="shared" si="518"/>
        <v>0</v>
      </c>
      <c r="I447" s="524">
        <f t="shared" si="518"/>
        <v>0</v>
      </c>
      <c r="J447" s="524">
        <f t="shared" si="518"/>
        <v>0</v>
      </c>
      <c r="K447" s="524">
        <f t="shared" si="518"/>
        <v>0</v>
      </c>
      <c r="L447" s="524">
        <f t="shared" si="518"/>
        <v>0</v>
      </c>
      <c r="M447" s="524">
        <f t="shared" si="518"/>
        <v>0</v>
      </c>
      <c r="N447" s="524">
        <f t="shared" si="518"/>
        <v>0</v>
      </c>
      <c r="O447" s="524">
        <f t="shared" si="518"/>
        <v>0</v>
      </c>
      <c r="P447" s="524">
        <f t="shared" si="518"/>
        <v>500000</v>
      </c>
      <c r="Q447" s="18"/>
      <c r="R447" s="45"/>
    </row>
    <row r="448" spans="1:18" ht="126" customHeight="1" thickTop="1" thickBot="1" x14ac:dyDescent="0.25">
      <c r="A448" s="94" t="s">
        <v>300</v>
      </c>
      <c r="B448" s="94" t="s">
        <v>301</v>
      </c>
      <c r="C448" s="94" t="s">
        <v>302</v>
      </c>
      <c r="D448" s="94" t="s">
        <v>448</v>
      </c>
      <c r="E448" s="501">
        <f>F448+I448</f>
        <v>500000</v>
      </c>
      <c r="F448" s="504">
        <f>(400000)+100000</f>
        <v>500000</v>
      </c>
      <c r="G448" s="504"/>
      <c r="H448" s="504"/>
      <c r="I448" s="504"/>
      <c r="J448" s="501">
        <f>L448+O448</f>
        <v>0</v>
      </c>
      <c r="K448" s="504"/>
      <c r="L448" s="504"/>
      <c r="M448" s="504"/>
      <c r="N448" s="504"/>
      <c r="O448" s="502">
        <f>(K448)</f>
        <v>0</v>
      </c>
      <c r="P448" s="501">
        <f>E448+J448</f>
        <v>500000</v>
      </c>
      <c r="Q448" s="18"/>
      <c r="R448" s="43"/>
    </row>
    <row r="449" spans="1:19" ht="109.5" customHeight="1" thickTop="1" thickBot="1" x14ac:dyDescent="0.25">
      <c r="A449" s="508" t="s">
        <v>802</v>
      </c>
      <c r="B449" s="508" t="s">
        <v>659</v>
      </c>
      <c r="C449" s="94"/>
      <c r="D449" s="508" t="s">
        <v>657</v>
      </c>
      <c r="E449" s="524">
        <f>SUM(E450)</f>
        <v>0</v>
      </c>
      <c r="F449" s="524">
        <f t="shared" ref="F449:P449" si="519">SUM(F450)</f>
        <v>0</v>
      </c>
      <c r="G449" s="524">
        <f t="shared" si="519"/>
        <v>0</v>
      </c>
      <c r="H449" s="524">
        <f t="shared" si="519"/>
        <v>0</v>
      </c>
      <c r="I449" s="524">
        <f t="shared" si="519"/>
        <v>0</v>
      </c>
      <c r="J449" s="524">
        <f t="shared" si="519"/>
        <v>20000</v>
      </c>
      <c r="K449" s="524">
        <f t="shared" si="519"/>
        <v>20000</v>
      </c>
      <c r="L449" s="524">
        <f t="shared" si="519"/>
        <v>0</v>
      </c>
      <c r="M449" s="524">
        <f t="shared" si="519"/>
        <v>0</v>
      </c>
      <c r="N449" s="524">
        <f t="shared" si="519"/>
        <v>0</v>
      </c>
      <c r="O449" s="524">
        <f t="shared" si="519"/>
        <v>20000</v>
      </c>
      <c r="P449" s="524">
        <f t="shared" si="519"/>
        <v>20000</v>
      </c>
      <c r="Q449" s="18"/>
    </row>
    <row r="450" spans="1:19" ht="116.25" customHeight="1" thickTop="1" thickBot="1" x14ac:dyDescent="0.25">
      <c r="A450" s="94" t="s">
        <v>358</v>
      </c>
      <c r="B450" s="94" t="s">
        <v>359</v>
      </c>
      <c r="C450" s="94" t="s">
        <v>165</v>
      </c>
      <c r="D450" s="94" t="s">
        <v>1787</v>
      </c>
      <c r="E450" s="501">
        <f>F450+I450</f>
        <v>0</v>
      </c>
      <c r="F450" s="504"/>
      <c r="G450" s="504"/>
      <c r="H450" s="504"/>
      <c r="I450" s="504"/>
      <c r="J450" s="501">
        <f>L450+O450</f>
        <v>20000</v>
      </c>
      <c r="K450" s="504">
        <v>20000</v>
      </c>
      <c r="L450" s="504"/>
      <c r="M450" s="504"/>
      <c r="N450" s="504"/>
      <c r="O450" s="502">
        <f>(K450)</f>
        <v>20000</v>
      </c>
      <c r="P450" s="501">
        <f>E450+J450</f>
        <v>20000</v>
      </c>
      <c r="Q450" s="18"/>
      <c r="R450" s="43"/>
    </row>
    <row r="451" spans="1:19" ht="168.75" customHeight="1" thickTop="1" thickBot="1" x14ac:dyDescent="0.25">
      <c r="A451" s="514" t="s">
        <v>163</v>
      </c>
      <c r="B451" s="514"/>
      <c r="C451" s="514"/>
      <c r="D451" s="515" t="s">
        <v>27</v>
      </c>
      <c r="E451" s="516">
        <f>E452</f>
        <v>225517897.93000001</v>
      </c>
      <c r="F451" s="517">
        <f t="shared" ref="F451:G451" si="520">F452</f>
        <v>225497897.93000001</v>
      </c>
      <c r="G451" s="517">
        <f t="shared" si="520"/>
        <v>12216998</v>
      </c>
      <c r="H451" s="517">
        <f>H452</f>
        <v>295931</v>
      </c>
      <c r="I451" s="517">
        <f t="shared" ref="I451" si="521">I452</f>
        <v>20000</v>
      </c>
      <c r="J451" s="516">
        <f>J452</f>
        <v>0</v>
      </c>
      <c r="K451" s="517">
        <f>K452</f>
        <v>0</v>
      </c>
      <c r="L451" s="517">
        <f>L452</f>
        <v>0</v>
      </c>
      <c r="M451" s="517">
        <f t="shared" ref="M451" si="522">M452</f>
        <v>0</v>
      </c>
      <c r="N451" s="517">
        <f>N452</f>
        <v>0</v>
      </c>
      <c r="O451" s="516">
        <f>O452</f>
        <v>0</v>
      </c>
      <c r="P451" s="517">
        <f t="shared" ref="P451" si="523">P452</f>
        <v>225517897.93000001</v>
      </c>
      <c r="Q451" s="18"/>
    </row>
    <row r="452" spans="1:19" ht="160.5" customHeight="1" thickTop="1" thickBot="1" x14ac:dyDescent="0.25">
      <c r="A452" s="511" t="s">
        <v>164</v>
      </c>
      <c r="B452" s="511"/>
      <c r="C452" s="511"/>
      <c r="D452" s="512" t="s">
        <v>39</v>
      </c>
      <c r="E452" s="513">
        <f>E453+E459+E466+E456</f>
        <v>225517897.93000001</v>
      </c>
      <c r="F452" s="513">
        <f t="shared" ref="F452:P452" si="524">F453+F459+F466+F456</f>
        <v>225497897.93000001</v>
      </c>
      <c r="G452" s="513">
        <f t="shared" si="524"/>
        <v>12216998</v>
      </c>
      <c r="H452" s="513">
        <f t="shared" si="524"/>
        <v>295931</v>
      </c>
      <c r="I452" s="513">
        <f t="shared" si="524"/>
        <v>20000</v>
      </c>
      <c r="J452" s="513">
        <f t="shared" si="524"/>
        <v>0</v>
      </c>
      <c r="K452" s="513">
        <f t="shared" si="524"/>
        <v>0</v>
      </c>
      <c r="L452" s="513">
        <f t="shared" si="524"/>
        <v>0</v>
      </c>
      <c r="M452" s="513">
        <f t="shared" si="524"/>
        <v>0</v>
      </c>
      <c r="N452" s="513">
        <f t="shared" si="524"/>
        <v>0</v>
      </c>
      <c r="O452" s="513">
        <f t="shared" si="524"/>
        <v>0</v>
      </c>
      <c r="P452" s="513">
        <f t="shared" si="524"/>
        <v>225517897.93000001</v>
      </c>
      <c r="Q452" s="546" t="b">
        <f>P452=P454+P460+P462+P468</f>
        <v>1</v>
      </c>
      <c r="R452" s="43"/>
    </row>
    <row r="453" spans="1:19" ht="103.5" customHeight="1" thickTop="1" thickBot="1" x14ac:dyDescent="0.25">
      <c r="A453" s="483" t="s">
        <v>804</v>
      </c>
      <c r="B453" s="483" t="s">
        <v>652</v>
      </c>
      <c r="C453" s="483"/>
      <c r="D453" s="483" t="s">
        <v>653</v>
      </c>
      <c r="E453" s="485">
        <f>SUM(E454:E455)</f>
        <v>15849088.289999999</v>
      </c>
      <c r="F453" s="485">
        <f t="shared" ref="F453:P453" si="525">SUM(F454:F455)</f>
        <v>15829088.289999999</v>
      </c>
      <c r="G453" s="485">
        <f t="shared" si="525"/>
        <v>12216998</v>
      </c>
      <c r="H453" s="485">
        <f t="shared" si="525"/>
        <v>295931</v>
      </c>
      <c r="I453" s="485">
        <f t="shared" si="525"/>
        <v>20000</v>
      </c>
      <c r="J453" s="485">
        <f t="shared" si="525"/>
        <v>0</v>
      </c>
      <c r="K453" s="485">
        <f t="shared" si="525"/>
        <v>0</v>
      </c>
      <c r="L453" s="485">
        <f t="shared" si="525"/>
        <v>0</v>
      </c>
      <c r="M453" s="485">
        <f t="shared" si="525"/>
        <v>0</v>
      </c>
      <c r="N453" s="485">
        <f t="shared" si="525"/>
        <v>0</v>
      </c>
      <c r="O453" s="485">
        <f t="shared" si="525"/>
        <v>0</v>
      </c>
      <c r="P453" s="485">
        <f t="shared" si="525"/>
        <v>15849088.289999999</v>
      </c>
      <c r="Q453" s="45"/>
      <c r="R453" s="48"/>
    </row>
    <row r="454" spans="1:19" ht="152.25" customHeight="1" thickTop="1" thickBot="1" x14ac:dyDescent="0.25">
      <c r="A454" s="469" t="s">
        <v>409</v>
      </c>
      <c r="B454" s="469" t="s">
        <v>231</v>
      </c>
      <c r="C454" s="469" t="s">
        <v>229</v>
      </c>
      <c r="D454" s="469" t="s">
        <v>1515</v>
      </c>
      <c r="E454" s="485">
        <f>F454+I454</f>
        <v>15849088.289999999</v>
      </c>
      <c r="F454" s="487">
        <f>(15519199)+309889.29</f>
        <v>15829088.289999999</v>
      </c>
      <c r="G454" s="487">
        <v>12216998</v>
      </c>
      <c r="H454" s="487">
        <v>295931</v>
      </c>
      <c r="I454" s="487">
        <v>20000</v>
      </c>
      <c r="J454" s="485">
        <f>L454+O454</f>
        <v>0</v>
      </c>
      <c r="K454" s="487"/>
      <c r="L454" s="487"/>
      <c r="M454" s="487"/>
      <c r="N454" s="487"/>
      <c r="O454" s="488">
        <f>K454</f>
        <v>0</v>
      </c>
      <c r="P454" s="485">
        <f>E454+J454</f>
        <v>15849088.289999999</v>
      </c>
      <c r="Q454" s="45"/>
      <c r="R454" s="48"/>
      <c r="S454" s="45"/>
    </row>
    <row r="455" spans="1:19" ht="93" hidden="1" thickTop="1" thickBot="1" x14ac:dyDescent="0.25">
      <c r="A455" s="119" t="s">
        <v>607</v>
      </c>
      <c r="B455" s="119" t="s">
        <v>352</v>
      </c>
      <c r="C455" s="119" t="s">
        <v>598</v>
      </c>
      <c r="D455" s="119" t="s">
        <v>599</v>
      </c>
      <c r="E455" s="142">
        <f>F455</f>
        <v>0</v>
      </c>
      <c r="F455" s="120"/>
      <c r="G455" s="120"/>
      <c r="H455" s="120"/>
      <c r="I455" s="120"/>
      <c r="J455" s="118">
        <f t="shared" ref="J455" si="526">L455+O455</f>
        <v>0</v>
      </c>
      <c r="K455" s="120"/>
      <c r="L455" s="121"/>
      <c r="M455" s="121"/>
      <c r="N455" s="121"/>
      <c r="O455" s="123">
        <f t="shared" ref="O455" si="527">K455</f>
        <v>0</v>
      </c>
      <c r="P455" s="118">
        <f t="shared" ref="P455" si="528">+J455+E455</f>
        <v>0</v>
      </c>
      <c r="Q455" s="45"/>
      <c r="R455" s="48"/>
    </row>
    <row r="456" spans="1:19" ht="47.25" hidden="1" thickTop="1" thickBot="1" x14ac:dyDescent="0.25">
      <c r="A456" s="127" t="s">
        <v>1084</v>
      </c>
      <c r="B456" s="127" t="s">
        <v>659</v>
      </c>
      <c r="C456" s="127"/>
      <c r="D456" s="127" t="s">
        <v>657</v>
      </c>
      <c r="E456" s="154">
        <f>E457</f>
        <v>0</v>
      </c>
      <c r="F456" s="154">
        <f t="shared" ref="F456:P457" si="529">F457</f>
        <v>0</v>
      </c>
      <c r="G456" s="154">
        <f t="shared" si="529"/>
        <v>0</v>
      </c>
      <c r="H456" s="154">
        <f t="shared" si="529"/>
        <v>0</v>
      </c>
      <c r="I456" s="154">
        <f t="shared" si="529"/>
        <v>0</v>
      </c>
      <c r="J456" s="154">
        <f t="shared" si="529"/>
        <v>0</v>
      </c>
      <c r="K456" s="154">
        <f t="shared" si="529"/>
        <v>0</v>
      </c>
      <c r="L456" s="154">
        <f t="shared" si="529"/>
        <v>0</v>
      </c>
      <c r="M456" s="154">
        <f t="shared" si="529"/>
        <v>0</v>
      </c>
      <c r="N456" s="154">
        <f t="shared" si="529"/>
        <v>0</v>
      </c>
      <c r="O456" s="154">
        <f t="shared" si="529"/>
        <v>0</v>
      </c>
      <c r="P456" s="154">
        <f t="shared" si="529"/>
        <v>0</v>
      </c>
      <c r="Q456" s="45"/>
      <c r="R456" s="48"/>
    </row>
    <row r="457" spans="1:19" ht="48" hidden="1" thickTop="1" thickBot="1" x14ac:dyDescent="0.25">
      <c r="A457" s="131" t="s">
        <v>1085</v>
      </c>
      <c r="B457" s="131" t="s">
        <v>662</v>
      </c>
      <c r="C457" s="131"/>
      <c r="D457" s="131" t="s">
        <v>660</v>
      </c>
      <c r="E457" s="132">
        <f>E458</f>
        <v>0</v>
      </c>
      <c r="F457" s="132">
        <f t="shared" si="529"/>
        <v>0</v>
      </c>
      <c r="G457" s="132">
        <f t="shared" si="529"/>
        <v>0</v>
      </c>
      <c r="H457" s="132">
        <f t="shared" si="529"/>
        <v>0</v>
      </c>
      <c r="I457" s="132">
        <f t="shared" si="529"/>
        <v>0</v>
      </c>
      <c r="J457" s="132">
        <f t="shared" si="529"/>
        <v>0</v>
      </c>
      <c r="K457" s="132">
        <f t="shared" si="529"/>
        <v>0</v>
      </c>
      <c r="L457" s="132">
        <f t="shared" si="529"/>
        <v>0</v>
      </c>
      <c r="M457" s="132">
        <f t="shared" si="529"/>
        <v>0</v>
      </c>
      <c r="N457" s="132">
        <f t="shared" si="529"/>
        <v>0</v>
      </c>
      <c r="O457" s="132">
        <f t="shared" si="529"/>
        <v>0</v>
      </c>
      <c r="P457" s="132">
        <f t="shared" si="529"/>
        <v>0</v>
      </c>
      <c r="Q457" s="45"/>
      <c r="R457" s="48"/>
    </row>
    <row r="458" spans="1:19" ht="48" hidden="1" thickTop="1" thickBot="1" x14ac:dyDescent="0.25">
      <c r="A458" s="119" t="s">
        <v>1086</v>
      </c>
      <c r="B458" s="119" t="s">
        <v>251</v>
      </c>
      <c r="C458" s="119" t="s">
        <v>165</v>
      </c>
      <c r="D458" s="119" t="s">
        <v>249</v>
      </c>
      <c r="E458" s="118">
        <f t="shared" ref="E458" si="530">F458</f>
        <v>0</v>
      </c>
      <c r="F458" s="125"/>
      <c r="G458" s="125"/>
      <c r="H458" s="125"/>
      <c r="I458" s="125"/>
      <c r="J458" s="118">
        <f t="shared" ref="J458" si="531">L458+O458</f>
        <v>0</v>
      </c>
      <c r="K458" s="125"/>
      <c r="L458" s="125"/>
      <c r="M458" s="125"/>
      <c r="N458" s="125"/>
      <c r="O458" s="123">
        <f>K458</f>
        <v>0</v>
      </c>
      <c r="P458" s="118">
        <f t="shared" ref="P458" si="532">E458+J458</f>
        <v>0</v>
      </c>
      <c r="Q458" s="45"/>
      <c r="R458" s="48"/>
    </row>
    <row r="459" spans="1:19" ht="90.75" customHeight="1" thickTop="1" thickBot="1" x14ac:dyDescent="0.25">
      <c r="A459" s="483" t="s">
        <v>805</v>
      </c>
      <c r="B459" s="483" t="s">
        <v>664</v>
      </c>
      <c r="C459" s="483"/>
      <c r="D459" s="483" t="s">
        <v>665</v>
      </c>
      <c r="E459" s="471">
        <f t="shared" ref="E459:P459" si="533">E460+E461+E463</f>
        <v>4382309.6399999997</v>
      </c>
      <c r="F459" s="471">
        <f t="shared" si="533"/>
        <v>4382309.6399999997</v>
      </c>
      <c r="G459" s="471">
        <f t="shared" si="533"/>
        <v>0</v>
      </c>
      <c r="H459" s="471">
        <f t="shared" si="533"/>
        <v>0</v>
      </c>
      <c r="I459" s="471">
        <f t="shared" si="533"/>
        <v>0</v>
      </c>
      <c r="J459" s="471">
        <f t="shared" si="533"/>
        <v>0</v>
      </c>
      <c r="K459" s="471">
        <f t="shared" si="533"/>
        <v>0</v>
      </c>
      <c r="L459" s="471">
        <f t="shared" si="533"/>
        <v>0</v>
      </c>
      <c r="M459" s="471">
        <f t="shared" si="533"/>
        <v>0</v>
      </c>
      <c r="N459" s="471">
        <f t="shared" si="533"/>
        <v>0</v>
      </c>
      <c r="O459" s="471">
        <f t="shared" si="533"/>
        <v>0</v>
      </c>
      <c r="P459" s="471">
        <f t="shared" si="533"/>
        <v>4382309.6399999997</v>
      </c>
      <c r="Q459" s="45"/>
      <c r="R459" s="48"/>
    </row>
    <row r="460" spans="1:19" ht="100.5" customHeight="1" thickTop="1" thickBot="1" x14ac:dyDescent="0.25">
      <c r="A460" s="549">
        <v>3718600</v>
      </c>
      <c r="B460" s="549">
        <v>8600</v>
      </c>
      <c r="C460" s="496" t="s">
        <v>352</v>
      </c>
      <c r="D460" s="549" t="s">
        <v>441</v>
      </c>
      <c r="E460" s="495">
        <f>F460+I460</f>
        <v>782309.64</v>
      </c>
      <c r="F460" s="495">
        <v>782309.64</v>
      </c>
      <c r="G460" s="495"/>
      <c r="H460" s="495"/>
      <c r="I460" s="495"/>
      <c r="J460" s="495">
        <f>L460+O460</f>
        <v>0</v>
      </c>
      <c r="K460" s="495"/>
      <c r="L460" s="495"/>
      <c r="M460" s="495"/>
      <c r="N460" s="495"/>
      <c r="O460" s="550">
        <f>K460</f>
        <v>0</v>
      </c>
      <c r="P460" s="495">
        <f>E460+J460</f>
        <v>782309.64</v>
      </c>
      <c r="Q460" s="18"/>
    </row>
    <row r="461" spans="1:19" ht="116.25" customHeight="1" thickTop="1" thickBot="1" x14ac:dyDescent="0.25">
      <c r="A461" s="549">
        <v>3718700</v>
      </c>
      <c r="B461" s="549">
        <v>8700</v>
      </c>
      <c r="C461" s="496"/>
      <c r="D461" s="549" t="s">
        <v>806</v>
      </c>
      <c r="E461" s="495">
        <f t="shared" ref="E461:P461" si="534">E462</f>
        <v>3600000</v>
      </c>
      <c r="F461" s="495">
        <f>F462</f>
        <v>3600000</v>
      </c>
      <c r="G461" s="495">
        <f t="shared" si="534"/>
        <v>0</v>
      </c>
      <c r="H461" s="495">
        <f t="shared" si="534"/>
        <v>0</v>
      </c>
      <c r="I461" s="495">
        <f t="shared" si="534"/>
        <v>0</v>
      </c>
      <c r="J461" s="495">
        <f t="shared" si="534"/>
        <v>0</v>
      </c>
      <c r="K461" s="495">
        <f t="shared" si="534"/>
        <v>0</v>
      </c>
      <c r="L461" s="495">
        <f t="shared" si="534"/>
        <v>0</v>
      </c>
      <c r="M461" s="495">
        <f t="shared" si="534"/>
        <v>0</v>
      </c>
      <c r="N461" s="495">
        <f t="shared" si="534"/>
        <v>0</v>
      </c>
      <c r="O461" s="495">
        <f t="shared" si="534"/>
        <v>0</v>
      </c>
      <c r="P461" s="495">
        <f t="shared" si="534"/>
        <v>3600000</v>
      </c>
      <c r="Q461" s="18"/>
    </row>
    <row r="462" spans="1:19" ht="122.25" customHeight="1" thickTop="1" thickBot="1" x14ac:dyDescent="0.25">
      <c r="A462" s="475">
        <v>3718710</v>
      </c>
      <c r="B462" s="475">
        <v>8710</v>
      </c>
      <c r="C462" s="469" t="s">
        <v>41</v>
      </c>
      <c r="D462" s="486" t="s">
        <v>612</v>
      </c>
      <c r="E462" s="485">
        <f>F462+I462</f>
        <v>3600000</v>
      </c>
      <c r="F462" s="487">
        <f>((20891914)-13126000.27)-2765913.73-400000-1000000</f>
        <v>3600000</v>
      </c>
      <c r="G462" s="487"/>
      <c r="H462" s="487"/>
      <c r="I462" s="487"/>
      <c r="J462" s="485">
        <f>L462+O462</f>
        <v>0</v>
      </c>
      <c r="K462" s="487"/>
      <c r="L462" s="487"/>
      <c r="M462" s="487"/>
      <c r="N462" s="487"/>
      <c r="O462" s="488">
        <f>K462</f>
        <v>0</v>
      </c>
      <c r="P462" s="485">
        <f>E462+J462</f>
        <v>3600000</v>
      </c>
      <c r="Q462" s="18"/>
    </row>
    <row r="463" spans="1:19" ht="47.25" hidden="1" thickTop="1" thickBot="1" x14ac:dyDescent="0.25">
      <c r="A463" s="155">
        <v>3718800</v>
      </c>
      <c r="B463" s="155">
        <v>8800</v>
      </c>
      <c r="C463" s="127"/>
      <c r="D463" s="155" t="s">
        <v>814</v>
      </c>
      <c r="E463" s="128">
        <f>E464</f>
        <v>0</v>
      </c>
      <c r="F463" s="128">
        <f>F464</f>
        <v>0</v>
      </c>
      <c r="G463" s="128">
        <f t="shared" ref="G463:P464" si="535">G464</f>
        <v>0</v>
      </c>
      <c r="H463" s="128">
        <f t="shared" si="535"/>
        <v>0</v>
      </c>
      <c r="I463" s="128">
        <f t="shared" si="535"/>
        <v>0</v>
      </c>
      <c r="J463" s="128">
        <f t="shared" si="535"/>
        <v>0</v>
      </c>
      <c r="K463" s="128">
        <f t="shared" si="535"/>
        <v>0</v>
      </c>
      <c r="L463" s="128">
        <f t="shared" si="535"/>
        <v>0</v>
      </c>
      <c r="M463" s="128">
        <f t="shared" si="535"/>
        <v>0</v>
      </c>
      <c r="N463" s="128">
        <f t="shared" si="535"/>
        <v>0</v>
      </c>
      <c r="O463" s="128">
        <f t="shared" si="535"/>
        <v>0</v>
      </c>
      <c r="P463" s="128">
        <f t="shared" si="535"/>
        <v>0</v>
      </c>
      <c r="Q463" s="18"/>
    </row>
    <row r="464" spans="1:19" ht="93" hidden="1" thickTop="1" thickBot="1" x14ac:dyDescent="0.25">
      <c r="A464" s="156">
        <v>3718880</v>
      </c>
      <c r="B464" s="156">
        <v>8880</v>
      </c>
      <c r="C464" s="131"/>
      <c r="D464" s="143" t="s">
        <v>1042</v>
      </c>
      <c r="E464" s="132">
        <f>E465</f>
        <v>0</v>
      </c>
      <c r="F464" s="132">
        <f t="shared" ref="F464" si="536">F465</f>
        <v>0</v>
      </c>
      <c r="G464" s="132">
        <f t="shared" si="535"/>
        <v>0</v>
      </c>
      <c r="H464" s="132">
        <f t="shared" si="535"/>
        <v>0</v>
      </c>
      <c r="I464" s="132">
        <f t="shared" si="535"/>
        <v>0</v>
      </c>
      <c r="J464" s="132">
        <f t="shared" si="535"/>
        <v>0</v>
      </c>
      <c r="K464" s="132">
        <f t="shared" si="535"/>
        <v>0</v>
      </c>
      <c r="L464" s="132">
        <f t="shared" si="535"/>
        <v>0</v>
      </c>
      <c r="M464" s="132">
        <f t="shared" si="535"/>
        <v>0</v>
      </c>
      <c r="N464" s="132">
        <f t="shared" si="535"/>
        <v>0</v>
      </c>
      <c r="O464" s="132">
        <f t="shared" si="535"/>
        <v>0</v>
      </c>
      <c r="P464" s="132">
        <f t="shared" si="535"/>
        <v>0</v>
      </c>
      <c r="Q464" s="18"/>
    </row>
    <row r="465" spans="1:18" ht="93" hidden="1" thickTop="1" thickBot="1" x14ac:dyDescent="0.25">
      <c r="A465" s="119">
        <v>3718881</v>
      </c>
      <c r="B465" s="119">
        <v>8881</v>
      </c>
      <c r="C465" s="119" t="s">
        <v>165</v>
      </c>
      <c r="D465" s="119" t="s">
        <v>1043</v>
      </c>
      <c r="E465" s="142">
        <f>F465</f>
        <v>0</v>
      </c>
      <c r="F465" s="120">
        <f>(2500000)-2500000</f>
        <v>0</v>
      </c>
      <c r="G465" s="120"/>
      <c r="H465" s="120"/>
      <c r="I465" s="120"/>
      <c r="J465" s="118">
        <f t="shared" ref="J465" si="537">L465+O465</f>
        <v>0</v>
      </c>
      <c r="K465" s="120"/>
      <c r="L465" s="121"/>
      <c r="M465" s="121"/>
      <c r="N465" s="121"/>
      <c r="O465" s="123">
        <f t="shared" ref="O465" si="538">K465</f>
        <v>0</v>
      </c>
      <c r="P465" s="118">
        <f t="shared" ref="P465" si="539">+J465+E465</f>
        <v>0</v>
      </c>
      <c r="Q465" s="18"/>
    </row>
    <row r="466" spans="1:18" ht="144" customHeight="1" thickTop="1" thickBot="1" x14ac:dyDescent="0.25">
      <c r="A466" s="483" t="s">
        <v>807</v>
      </c>
      <c r="B466" s="483" t="s">
        <v>669</v>
      </c>
      <c r="C466" s="483"/>
      <c r="D466" s="483" t="s">
        <v>670</v>
      </c>
      <c r="E466" s="485">
        <f>E467</f>
        <v>205286500</v>
      </c>
      <c r="F466" s="485">
        <f t="shared" ref="F466:P467" si="540">F467</f>
        <v>205286500</v>
      </c>
      <c r="G466" s="485">
        <f t="shared" si="540"/>
        <v>0</v>
      </c>
      <c r="H466" s="485">
        <f t="shared" si="540"/>
        <v>0</v>
      </c>
      <c r="I466" s="485">
        <f t="shared" si="540"/>
        <v>0</v>
      </c>
      <c r="J466" s="485">
        <f t="shared" si="540"/>
        <v>0</v>
      </c>
      <c r="K466" s="485">
        <f t="shared" si="540"/>
        <v>0</v>
      </c>
      <c r="L466" s="485">
        <f t="shared" si="540"/>
        <v>0</v>
      </c>
      <c r="M466" s="485">
        <f t="shared" si="540"/>
        <v>0</v>
      </c>
      <c r="N466" s="485">
        <f t="shared" si="540"/>
        <v>0</v>
      </c>
      <c r="O466" s="485">
        <f t="shared" si="540"/>
        <v>0</v>
      </c>
      <c r="P466" s="485">
        <f t="shared" si="540"/>
        <v>205286500</v>
      </c>
      <c r="Q466" s="18"/>
    </row>
    <row r="467" spans="1:18" ht="90.75" customHeight="1" thickTop="1" thickBot="1" x14ac:dyDescent="0.25">
      <c r="A467" s="549">
        <v>3719100</v>
      </c>
      <c r="B467" s="496" t="s">
        <v>809</v>
      </c>
      <c r="C467" s="496"/>
      <c r="D467" s="496" t="s">
        <v>808</v>
      </c>
      <c r="E467" s="495">
        <f>E468</f>
        <v>205286500</v>
      </c>
      <c r="F467" s="495">
        <f t="shared" si="540"/>
        <v>205286500</v>
      </c>
      <c r="G467" s="495">
        <f t="shared" si="540"/>
        <v>0</v>
      </c>
      <c r="H467" s="495">
        <f t="shared" si="540"/>
        <v>0</v>
      </c>
      <c r="I467" s="495">
        <f t="shared" si="540"/>
        <v>0</v>
      </c>
      <c r="J467" s="495">
        <f t="shared" si="540"/>
        <v>0</v>
      </c>
      <c r="K467" s="495">
        <f t="shared" si="540"/>
        <v>0</v>
      </c>
      <c r="L467" s="495">
        <f t="shared" si="540"/>
        <v>0</v>
      </c>
      <c r="M467" s="495">
        <f t="shared" si="540"/>
        <v>0</v>
      </c>
      <c r="N467" s="495">
        <f t="shared" si="540"/>
        <v>0</v>
      </c>
      <c r="O467" s="495">
        <f t="shared" si="540"/>
        <v>0</v>
      </c>
      <c r="P467" s="495">
        <f t="shared" si="540"/>
        <v>205286500</v>
      </c>
      <c r="Q467" s="18"/>
    </row>
    <row r="468" spans="1:18" ht="98.25" customHeight="1" thickTop="1" thickBot="1" x14ac:dyDescent="0.25">
      <c r="A468" s="475">
        <v>3719110</v>
      </c>
      <c r="B468" s="475">
        <v>9110</v>
      </c>
      <c r="C468" s="469" t="s">
        <v>42</v>
      </c>
      <c r="D468" s="486" t="s">
        <v>440</v>
      </c>
      <c r="E468" s="485">
        <f>F468+I468</f>
        <v>205286500</v>
      </c>
      <c r="F468" s="487">
        <v>205286500</v>
      </c>
      <c r="G468" s="487"/>
      <c r="H468" s="487"/>
      <c r="I468" s="487"/>
      <c r="J468" s="485">
        <f>L468+O468</f>
        <v>0</v>
      </c>
      <c r="K468" s="487"/>
      <c r="L468" s="487"/>
      <c r="M468" s="487"/>
      <c r="N468" s="487"/>
      <c r="O468" s="488">
        <f>K468</f>
        <v>0</v>
      </c>
      <c r="P468" s="485">
        <f>E468+J468</f>
        <v>205286500</v>
      </c>
      <c r="Q468" s="18"/>
    </row>
    <row r="469" spans="1:18" ht="111" customHeight="1" thickTop="1" thickBot="1" x14ac:dyDescent="0.25">
      <c r="A469" s="330" t="s">
        <v>371</v>
      </c>
      <c r="B469" s="330" t="s">
        <v>371</v>
      </c>
      <c r="C469" s="330" t="s">
        <v>371</v>
      </c>
      <c r="D469" s="330" t="s">
        <v>381</v>
      </c>
      <c r="E469" s="331">
        <f t="shared" ref="E469:P469" si="541">E16+E50+E236+E118+E152+E215++E340+E378+E452+E411+E431+E443+E389+E305+E273</f>
        <v>5765379225.0899992</v>
      </c>
      <c r="F469" s="331">
        <f t="shared" si="541"/>
        <v>5401493599.9299994</v>
      </c>
      <c r="G469" s="331">
        <f t="shared" si="541"/>
        <v>2362700324</v>
      </c>
      <c r="H469" s="331">
        <f t="shared" si="541"/>
        <v>237209564.80000001</v>
      </c>
      <c r="I469" s="331">
        <f t="shared" si="541"/>
        <v>363885625.15999997</v>
      </c>
      <c r="J469" s="331">
        <f t="shared" si="541"/>
        <v>523443187.05999994</v>
      </c>
      <c r="K469" s="331">
        <f t="shared" si="541"/>
        <v>213922729.52000001</v>
      </c>
      <c r="L469" s="331">
        <f t="shared" si="541"/>
        <v>298556562.53999996</v>
      </c>
      <c r="M469" s="331">
        <f t="shared" si="541"/>
        <v>99733178</v>
      </c>
      <c r="N469" s="331">
        <f t="shared" si="541"/>
        <v>22874791</v>
      </c>
      <c r="O469" s="331">
        <f t="shared" si="541"/>
        <v>224886624.52000001</v>
      </c>
      <c r="P469" s="331">
        <f t="shared" si="541"/>
        <v>6288822412.1499996</v>
      </c>
      <c r="Q469" s="651" t="b">
        <f>P469=J469+E469</f>
        <v>1</v>
      </c>
    </row>
    <row r="470" spans="1:18" ht="93.75" customHeight="1" thickTop="1" x14ac:dyDescent="0.2">
      <c r="A470" s="800" t="s">
        <v>1579</v>
      </c>
      <c r="B470" s="801"/>
      <c r="C470" s="801"/>
      <c r="D470" s="801"/>
      <c r="E470" s="801"/>
      <c r="F470" s="801"/>
      <c r="G470" s="801"/>
      <c r="H470" s="801"/>
      <c r="I470" s="801"/>
      <c r="J470" s="801"/>
      <c r="K470" s="801"/>
      <c r="L470" s="801"/>
      <c r="M470" s="801"/>
      <c r="N470" s="801"/>
      <c r="O470" s="801"/>
      <c r="P470" s="801"/>
      <c r="Q470" s="54"/>
    </row>
    <row r="471" spans="1:18" ht="60.75" hidden="1" x14ac:dyDescent="0.2">
      <c r="A471" s="14"/>
      <c r="B471" s="15"/>
      <c r="C471" s="15"/>
      <c r="D471" s="15"/>
      <c r="E471" s="302">
        <f>((4258321250.42)+1319070552.82)+189492421.85-1505000</f>
        <v>5765379225.0900002</v>
      </c>
      <c r="F471" s="302">
        <f>((4081181275.04)+39422499+18141604+2699040+995648084.63+19644615.09-4529708.92+11251686+174900+2660000+133629243.38+4810605.67+1984185+1615000-13126000.27-1900000+1000000)+6135603.71+16979000+4537435.29+20945190.39+4241552.22+31538145.9+1014342+1748598.18+4706547.92+17221305.62+200000+4489763.81-1000000+100000-4165913.73-1505000</f>
        <v>5401493599.9300013</v>
      </c>
      <c r="G471" s="302">
        <f>((62360046+153879882+992420019+130531876+134899923+67121127+2029652+7121780-3000000)+22889593+14231625+738530+13593870+762740258)+122143+1020000</f>
        <v>2362700324</v>
      </c>
      <c r="H471" s="302">
        <f>((4605854+8720850+206052876.8+6514567+7906600+2074410+60665+1000+353940)+23647+374000-120000+3340+30000)+585000+(13948+560+5816)+2491</f>
        <v>237209564.80000001</v>
      </c>
      <c r="I471" s="302">
        <f>(((59714005.72+5000000+11296777.66+4515254+38979000+853750+455000+14007403+55255+500000+355530+300000+9000000+108000+32000000)+3105243.43+2500000+304031+2999141.41+23420000+62231153.4+5975500+50000+41600+4138130+280000+1900000-1000000))+13065000+40034000+6865907.52+8998994+316494+1435997+4027228.82+4435091.2+1622138</f>
        <v>363885625.15999997</v>
      </c>
      <c r="J471" s="302">
        <f>((436401090.58+'d2'!E46)+56538715.71)+32994919.15-1000000+1505000</f>
        <v>523443187.05999994</v>
      </c>
      <c r="K471" s="302">
        <f>((445401090.58+'d2'!F46-'d4'!P29-7105000-2500000-285195418-9000000)+(56538715.71-3652670.54-1851532-8469966))+3092119.15+1500000+3000000+(15718971.71-1757515-1939728.71)+7115201+4500000+20000+1505000</f>
        <v>213922729.52000001</v>
      </c>
      <c r="L471" s="302">
        <f>((7105000-200000)+2500000+246446950+(2753240+56400+5107483+6500000-15000)+2621245+(16072750-590230))+(1871440+1055606+5350620+3068946.91+583723.63-719968)-3697243.71+745871+1939728.71</f>
        <v>298556562.54000002</v>
      </c>
      <c r="M471" s="302">
        <f>(5909411+76220850+11552040+931047)+370360+867100+3882370</f>
        <v>99733178</v>
      </c>
      <c r="N471" s="302">
        <f>((1624000+19910850+489580+540251)+309160)+950</f>
        <v>22874791</v>
      </c>
      <c r="O471" s="302">
        <f>((436401090.58+'d2'!F46-7105000-2500000-285195418+200000+15000+5637350+590230)+(56538715.71-3652670.54-1851532-8469966+35000+157300+2571500))+3092119.15+1500000+3000000+(15718971.71-1939728.71)+7115201+4500000+20000+1505000</f>
        <v>224886624.52000001</v>
      </c>
      <c r="P471" s="302">
        <f>((4694722341-2996538.38)+1375609268.53)+222487341-1000000</f>
        <v>6288822412.1499996</v>
      </c>
      <c r="Q471" s="77" t="b">
        <f>E471+J471=P471</f>
        <v>1</v>
      </c>
      <c r="R471" s="54"/>
    </row>
    <row r="472" spans="1:18" ht="45.75" hidden="1" x14ac:dyDescent="0.65">
      <c r="A472" s="157"/>
      <c r="B472" s="158"/>
      <c r="C472" s="158"/>
      <c r="D472" s="3" t="s">
        <v>1245</v>
      </c>
      <c r="E472" s="240"/>
      <c r="F472" s="240"/>
      <c r="G472" s="2"/>
      <c r="H472" s="3"/>
      <c r="I472" s="2"/>
      <c r="J472" s="3"/>
      <c r="K472" s="3" t="s">
        <v>1246</v>
      </c>
      <c r="L472" s="185"/>
      <c r="M472" s="185"/>
      <c r="N472" s="185"/>
      <c r="O472" s="185"/>
      <c r="P472" s="185"/>
      <c r="Q472" s="54"/>
    </row>
    <row r="473" spans="1:18" ht="45.75" x14ac:dyDescent="0.65">
      <c r="A473" s="157"/>
      <c r="B473" s="158"/>
      <c r="C473" s="158"/>
      <c r="D473" s="341" t="s">
        <v>1417</v>
      </c>
      <c r="E473" s="240"/>
      <c r="F473" s="240"/>
      <c r="G473" s="2"/>
      <c r="H473" s="3"/>
      <c r="I473" s="2"/>
      <c r="J473" s="3"/>
      <c r="K473" s="251" t="s">
        <v>1418</v>
      </c>
      <c r="L473" s="185"/>
      <c r="M473" s="185"/>
      <c r="N473" s="185"/>
      <c r="O473" s="185"/>
      <c r="P473" s="185"/>
      <c r="Q473" s="54"/>
    </row>
    <row r="474" spans="1:18" ht="48" customHeight="1" x14ac:dyDescent="0.65">
      <c r="A474" s="14"/>
      <c r="B474" s="15"/>
      <c r="C474" s="15"/>
      <c r="D474" s="795"/>
      <c r="E474" s="795"/>
      <c r="F474" s="795"/>
      <c r="G474" s="795"/>
      <c r="H474" s="795"/>
      <c r="I474" s="795"/>
      <c r="J474" s="795"/>
      <c r="K474" s="795"/>
      <c r="L474" s="795"/>
      <c r="M474" s="795"/>
      <c r="N474" s="795"/>
      <c r="O474" s="795"/>
      <c r="P474" s="795"/>
      <c r="Q474" s="81"/>
    </row>
    <row r="475" spans="1:18" ht="46.5" thickBot="1" x14ac:dyDescent="0.7">
      <c r="A475" s="14"/>
      <c r="B475" s="15"/>
      <c r="C475" s="15"/>
      <c r="D475" s="798" t="s">
        <v>501</v>
      </c>
      <c r="E475" s="799"/>
      <c r="F475" s="799"/>
      <c r="G475" s="251"/>
      <c r="H475" s="251"/>
      <c r="I475" s="2"/>
      <c r="J475" s="2"/>
      <c r="K475" s="3" t="s">
        <v>1168</v>
      </c>
      <c r="L475" s="2"/>
      <c r="M475" s="2"/>
      <c r="N475" s="2"/>
      <c r="O475" s="2"/>
      <c r="P475" s="2"/>
      <c r="Q475" s="81"/>
    </row>
    <row r="476" spans="1:18" ht="47.25" thickTop="1" thickBot="1" x14ac:dyDescent="0.7">
      <c r="A476" s="17"/>
      <c r="B476" s="17"/>
      <c r="C476" s="17"/>
      <c r="D476" s="794"/>
      <c r="E476" s="794"/>
      <c r="F476" s="794"/>
      <c r="G476" s="794"/>
      <c r="H476" s="794"/>
      <c r="I476" s="794"/>
      <c r="J476" s="794"/>
      <c r="K476" s="794"/>
      <c r="L476" s="794"/>
      <c r="M476" s="794"/>
      <c r="N476" s="794"/>
      <c r="O476" s="794"/>
      <c r="P476" s="794"/>
      <c r="Q476" s="82"/>
    </row>
    <row r="477" spans="1:18" ht="95.25" customHeight="1" thickTop="1" x14ac:dyDescent="0.55000000000000004">
      <c r="E477" s="304"/>
      <c r="G477" s="56"/>
      <c r="H477" s="56"/>
      <c r="I477" s="89"/>
      <c r="J477" s="90"/>
      <c r="K477" s="90"/>
      <c r="L477" s="89"/>
      <c r="M477" s="89"/>
      <c r="N477" s="89"/>
      <c r="O477" s="89"/>
      <c r="P477" s="90"/>
      <c r="Q477" s="80"/>
    </row>
    <row r="478" spans="1:18" x14ac:dyDescent="0.2">
      <c r="E478" s="57"/>
      <c r="F478" s="58"/>
      <c r="G478" s="56"/>
      <c r="H478" s="56"/>
      <c r="I478" s="89"/>
      <c r="J478" s="91"/>
      <c r="K478" s="91"/>
      <c r="L478" s="89"/>
      <c r="M478" s="89"/>
      <c r="N478" s="89"/>
      <c r="O478" s="89"/>
      <c r="P478" s="90"/>
    </row>
    <row r="479" spans="1:18" x14ac:dyDescent="0.2">
      <c r="E479" s="57"/>
      <c r="F479" s="58"/>
      <c r="G479" s="56"/>
      <c r="H479" s="56"/>
      <c r="I479" s="89"/>
      <c r="J479" s="91"/>
      <c r="K479" s="91"/>
      <c r="L479" s="89"/>
      <c r="M479" s="89"/>
      <c r="N479" s="89"/>
      <c r="O479" s="89"/>
      <c r="P479" s="90"/>
    </row>
    <row r="480" spans="1:18" ht="60.75" x14ac:dyDescent="0.2">
      <c r="E480" s="304" t="b">
        <f>E471=E469</f>
        <v>1</v>
      </c>
      <c r="F480" s="304" t="b">
        <f>F471=F469</f>
        <v>1</v>
      </c>
      <c r="G480" s="304" t="b">
        <f>G471=G469</f>
        <v>1</v>
      </c>
      <c r="H480" s="304" t="b">
        <f t="shared" ref="H480:O480" si="542">H471=H469</f>
        <v>1</v>
      </c>
      <c r="I480" s="304" t="b">
        <f>I471=I469</f>
        <v>1</v>
      </c>
      <c r="J480" s="304" t="b">
        <f>J471=J469</f>
        <v>1</v>
      </c>
      <c r="K480" s="304" t="b">
        <f>K471=K469</f>
        <v>1</v>
      </c>
      <c r="L480" s="304" t="b">
        <f t="shared" si="542"/>
        <v>1</v>
      </c>
      <c r="M480" s="304" t="b">
        <f t="shared" si="542"/>
        <v>1</v>
      </c>
      <c r="N480" s="304" t="b">
        <f>N471=N469</f>
        <v>1</v>
      </c>
      <c r="O480" s="304" t="b">
        <f t="shared" si="542"/>
        <v>1</v>
      </c>
      <c r="P480" s="304" t="b">
        <f>P471=P469</f>
        <v>1</v>
      </c>
    </row>
    <row r="481" spans="1:18" ht="61.5" x14ac:dyDescent="0.2">
      <c r="E481" s="304"/>
      <c r="F481" s="305">
        <f>F462/E469</f>
        <v>6.2441686131128741E-4</v>
      </c>
      <c r="G481" s="84"/>
      <c r="H481" s="85"/>
      <c r="I481" s="86"/>
      <c r="J481" s="304" t="b">
        <f>J471=L471+O471</f>
        <v>1</v>
      </c>
      <c r="K481" s="92"/>
      <c r="L481" s="77"/>
      <c r="M481" s="86"/>
      <c r="N481" s="86"/>
      <c r="O481" s="77"/>
      <c r="P481" s="304" t="b">
        <f>E469+J469=P469</f>
        <v>1</v>
      </c>
    </row>
    <row r="482" spans="1:18" ht="60.75" x14ac:dyDescent="0.2">
      <c r="E482" s="87"/>
      <c r="F482" s="88"/>
      <c r="G482" s="306">
        <f>G471-G469</f>
        <v>0</v>
      </c>
      <c r="H482" s="306">
        <f>H471-H469</f>
        <v>0</v>
      </c>
      <c r="I482" s="87"/>
      <c r="J482" s="57"/>
      <c r="K482" s="57"/>
      <c r="M482" s="304">
        <f>M469-M471</f>
        <v>0</v>
      </c>
    </row>
    <row r="483" spans="1:18" ht="61.5" x14ac:dyDescent="0.2">
      <c r="A483" s="19"/>
      <c r="B483" s="19"/>
      <c r="C483" s="19"/>
      <c r="D483" s="20"/>
      <c r="E483" s="35">
        <f>E469-E471</f>
        <v>0</v>
      </c>
      <c r="F483" s="305">
        <f>400000/E469</f>
        <v>6.9379651256809712E-5</v>
      </c>
      <c r="G483" s="84"/>
      <c r="H483" s="59"/>
      <c r="I483" s="20"/>
      <c r="J483" s="35">
        <f>J469-J471</f>
        <v>0</v>
      </c>
      <c r="K483" s="35">
        <f>K469-K471</f>
        <v>0</v>
      </c>
      <c r="L483" s="35">
        <f>L469-L471</f>
        <v>0</v>
      </c>
      <c r="M483" s="35"/>
      <c r="N483" s="35"/>
      <c r="O483" s="35">
        <f>O469-O471</f>
        <v>0</v>
      </c>
      <c r="P483" s="35">
        <f>P469-P471</f>
        <v>0</v>
      </c>
    </row>
    <row r="484" spans="1:18" ht="61.5" x14ac:dyDescent="0.2">
      <c r="D484" s="20"/>
      <c r="E484" s="35"/>
      <c r="F484" s="61"/>
      <c r="G484" s="53"/>
      <c r="H484" s="59"/>
      <c r="I484" s="20"/>
      <c r="J484" s="35"/>
      <c r="K484" s="35"/>
      <c r="L484" s="62"/>
      <c r="P484" s="53"/>
      <c r="Q484" s="83"/>
      <c r="R484" s="63"/>
    </row>
    <row r="485" spans="1:18" ht="60.75" x14ac:dyDescent="0.2">
      <c r="A485" s="19"/>
      <c r="B485" s="19"/>
      <c r="C485" s="19"/>
      <c r="D485" s="20"/>
      <c r="E485" s="24">
        <f>E469+K469-E164-E166-E177-E98-K77-E71-E65-E59-E58-'d1'!C117</f>
        <v>5140805678.6099997</v>
      </c>
      <c r="F485" s="24"/>
      <c r="G485" s="24"/>
      <c r="H485" s="24"/>
      <c r="I485" s="64"/>
      <c r="J485" s="24"/>
      <c r="K485" s="24"/>
      <c r="L485" s="24"/>
      <c r="M485" s="24"/>
      <c r="N485" s="24"/>
      <c r="O485" s="24"/>
      <c r="P485" s="24"/>
      <c r="Q485" s="83"/>
      <c r="R485" s="63"/>
    </row>
    <row r="486" spans="1:18" ht="60.75" x14ac:dyDescent="0.2">
      <c r="D486" s="20"/>
      <c r="E486" s="35"/>
      <c r="F486" s="60">
        <f>F469-F471</f>
        <v>0</v>
      </c>
      <c r="I486" s="60">
        <f>I469-I471</f>
        <v>0</v>
      </c>
      <c r="J486" s="60">
        <f>J469-J471</f>
        <v>0</v>
      </c>
      <c r="O486" s="53"/>
      <c r="P486" s="53"/>
    </row>
    <row r="487" spans="1:18" ht="60.75" x14ac:dyDescent="0.2">
      <c r="A487" s="19"/>
      <c r="B487" s="19"/>
      <c r="C487" s="19"/>
      <c r="D487" s="20"/>
      <c r="E487" s="35"/>
      <c r="F487" s="60"/>
      <c r="G487" s="62"/>
      <c r="I487" s="66"/>
      <c r="J487" s="57"/>
      <c r="K487" s="57"/>
      <c r="L487" s="19"/>
      <c r="M487" s="19"/>
      <c r="N487" s="19"/>
      <c r="O487" s="19"/>
      <c r="P487" s="53"/>
    </row>
    <row r="488" spans="1:18" ht="62.25" x14ac:dyDescent="0.8">
      <c r="A488" s="19"/>
      <c r="B488" s="19"/>
      <c r="C488" s="19"/>
      <c r="D488" s="19"/>
      <c r="E488" s="67"/>
      <c r="F488" s="60"/>
      <c r="J488" s="57"/>
      <c r="K488" s="57"/>
      <c r="L488" s="19"/>
      <c r="M488" s="19"/>
      <c r="N488" s="19"/>
      <c r="O488" s="19"/>
      <c r="P488" s="68"/>
    </row>
    <row r="489" spans="1:18" ht="45.75" x14ac:dyDescent="0.2">
      <c r="E489" s="69"/>
      <c r="F489" s="65"/>
    </row>
    <row r="490" spans="1:18" ht="45.75" x14ac:dyDescent="0.2">
      <c r="A490" s="19"/>
      <c r="B490" s="19"/>
      <c r="C490" s="19"/>
      <c r="D490" s="19"/>
      <c r="E490" s="67"/>
      <c r="F490" s="60"/>
      <c r="L490" s="19"/>
      <c r="M490" s="19"/>
      <c r="N490" s="19"/>
      <c r="O490" s="19"/>
      <c r="P490" s="19"/>
    </row>
    <row r="491" spans="1:18" ht="45.75" x14ac:dyDescent="0.2">
      <c r="E491" s="70"/>
      <c r="F491" s="65"/>
    </row>
    <row r="492" spans="1:18" ht="45.75" x14ac:dyDescent="0.2">
      <c r="E492" s="70"/>
      <c r="F492" s="65"/>
    </row>
    <row r="493" spans="1:18" ht="45.75" x14ac:dyDescent="0.2">
      <c r="E493" s="70"/>
      <c r="F493" s="65"/>
    </row>
    <row r="494" spans="1:18" ht="45.75" x14ac:dyDescent="0.2">
      <c r="A494" s="19"/>
      <c r="B494" s="19"/>
      <c r="C494" s="19"/>
      <c r="D494" s="19"/>
      <c r="E494" s="70"/>
      <c r="F494" s="65"/>
      <c r="G494" s="19"/>
      <c r="H494" s="19"/>
      <c r="I494" s="19"/>
      <c r="J494" s="19"/>
      <c r="K494" s="19"/>
      <c r="L494" s="19"/>
      <c r="M494" s="19"/>
      <c r="N494" s="19"/>
      <c r="O494" s="19"/>
      <c r="P494" s="19"/>
    </row>
    <row r="495" spans="1:18" ht="45.75" x14ac:dyDescent="0.2">
      <c r="A495" s="19"/>
      <c r="B495" s="19"/>
      <c r="C495" s="19"/>
      <c r="D495" s="19"/>
      <c r="E495" s="70"/>
      <c r="F495" s="65"/>
      <c r="G495" s="19"/>
      <c r="H495" s="19"/>
      <c r="I495" s="19"/>
      <c r="J495" s="19"/>
      <c r="K495" s="19"/>
      <c r="L495" s="19"/>
      <c r="M495" s="19"/>
      <c r="N495" s="19"/>
      <c r="O495" s="19"/>
      <c r="P495" s="19"/>
    </row>
    <row r="496" spans="1:18" ht="45.75" x14ac:dyDescent="0.2">
      <c r="A496" s="19"/>
      <c r="B496" s="19"/>
      <c r="C496" s="19"/>
      <c r="D496" s="19"/>
      <c r="E496" s="70"/>
      <c r="F496" s="65"/>
      <c r="G496" s="19"/>
      <c r="H496" s="19"/>
      <c r="I496" s="19"/>
      <c r="J496" s="19"/>
      <c r="K496" s="19"/>
      <c r="L496" s="19"/>
      <c r="M496" s="19"/>
      <c r="N496" s="19"/>
      <c r="O496" s="19"/>
      <c r="P496" s="19"/>
    </row>
    <row r="497" spans="1:16" ht="45.75" x14ac:dyDescent="0.2">
      <c r="A497" s="19"/>
      <c r="B497" s="19"/>
      <c r="C497" s="19"/>
      <c r="D497" s="19"/>
      <c r="E497" s="70"/>
      <c r="F497" s="65"/>
      <c r="G497" s="19"/>
      <c r="H497" s="19"/>
      <c r="I497" s="19"/>
      <c r="J497" s="19"/>
      <c r="K497" s="19"/>
      <c r="L497" s="19"/>
      <c r="M497" s="19"/>
      <c r="N497" s="19"/>
      <c r="O497" s="19"/>
      <c r="P497" s="19"/>
    </row>
  </sheetData>
  <mergeCells count="138">
    <mergeCell ref="P212:P213"/>
    <mergeCell ref="K184:K187"/>
    <mergeCell ref="H184:H187"/>
    <mergeCell ref="J196:J197"/>
    <mergeCell ref="P196:P197"/>
    <mergeCell ref="A196:A197"/>
    <mergeCell ref="B196:B197"/>
    <mergeCell ref="C196:C197"/>
    <mergeCell ref="D196:D197"/>
    <mergeCell ref="E196:E197"/>
    <mergeCell ref="F196:F197"/>
    <mergeCell ref="G196:G197"/>
    <mergeCell ref="H196:H197"/>
    <mergeCell ref="I196:I197"/>
    <mergeCell ref="M196:M197"/>
    <mergeCell ref="N196:N197"/>
    <mergeCell ref="L196:L197"/>
    <mergeCell ref="A212:A213"/>
    <mergeCell ref="B212:B213"/>
    <mergeCell ref="B184:B187"/>
    <mergeCell ref="A193:A195"/>
    <mergeCell ref="B193:B195"/>
    <mergeCell ref="I188:I189"/>
    <mergeCell ref="J188:J189"/>
    <mergeCell ref="C188:C189"/>
    <mergeCell ref="E188:E189"/>
    <mergeCell ref="F188:F189"/>
    <mergeCell ref="G188:G189"/>
    <mergeCell ref="H188:H189"/>
    <mergeCell ref="A184:A187"/>
    <mergeCell ref="G184:G187"/>
    <mergeCell ref="C212:C213"/>
    <mergeCell ref="G212:G213"/>
    <mergeCell ref="F212:F213"/>
    <mergeCell ref="E184:E187"/>
    <mergeCell ref="F184:F187"/>
    <mergeCell ref="A190:A192"/>
    <mergeCell ref="H212:H213"/>
    <mergeCell ref="E212:E213"/>
    <mergeCell ref="A188:A189"/>
    <mergeCell ref="C184:C187"/>
    <mergeCell ref="D476:P476"/>
    <mergeCell ref="D474:P474"/>
    <mergeCell ref="K374:K375"/>
    <mergeCell ref="L374:L375"/>
    <mergeCell ref="M374:M375"/>
    <mergeCell ref="N374:N375"/>
    <mergeCell ref="O374:O375"/>
    <mergeCell ref="D475:F475"/>
    <mergeCell ref="A470:P470"/>
    <mergeCell ref="P374:P375"/>
    <mergeCell ref="A374:A375"/>
    <mergeCell ref="B374:B375"/>
    <mergeCell ref="C374:C375"/>
    <mergeCell ref="E374:E375"/>
    <mergeCell ref="F374:F375"/>
    <mergeCell ref="G374:G375"/>
    <mergeCell ref="H374:H375"/>
    <mergeCell ref="I374:I375"/>
    <mergeCell ref="J374:J375"/>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K212:K213"/>
    <mergeCell ref="L212:L213"/>
    <mergeCell ref="M212:M213"/>
    <mergeCell ref="N212:N213"/>
    <mergeCell ref="O184:O187"/>
    <mergeCell ref="O188:O189"/>
    <mergeCell ref="N188:N189"/>
    <mergeCell ref="I212:I213"/>
    <mergeCell ref="K188:K189"/>
    <mergeCell ref="L188:L189"/>
    <mergeCell ref="M188:M189"/>
    <mergeCell ref="O212:O213"/>
    <mergeCell ref="K196:K197"/>
    <mergeCell ref="L184:L187"/>
    <mergeCell ref="J212:J213"/>
    <mergeCell ref="O196:O197"/>
    <mergeCell ref="I184:I187"/>
    <mergeCell ref="R184:R187"/>
    <mergeCell ref="R190:R192"/>
    <mergeCell ref="B190:B192"/>
    <mergeCell ref="C190:C192"/>
    <mergeCell ref="E190:E192"/>
    <mergeCell ref="F190:F192"/>
    <mergeCell ref="G190:G192"/>
    <mergeCell ref="H190:H192"/>
    <mergeCell ref="I190:I192"/>
    <mergeCell ref="J190:J192"/>
    <mergeCell ref="K190:K192"/>
    <mergeCell ref="L190:L192"/>
    <mergeCell ref="M190:M192"/>
    <mergeCell ref="N190:N192"/>
    <mergeCell ref="O190:O192"/>
    <mergeCell ref="P190:P192"/>
    <mergeCell ref="R188:R189"/>
    <mergeCell ref="B188:B189"/>
    <mergeCell ref="P188:P189"/>
    <mergeCell ref="J184:J187"/>
    <mergeCell ref="M184:M187"/>
    <mergeCell ref="Q184:Q187"/>
    <mergeCell ref="N184:N187"/>
    <mergeCell ref="P184:P187"/>
    <mergeCell ref="R193:R195"/>
    <mergeCell ref="C193:C195"/>
    <mergeCell ref="E193:E195"/>
    <mergeCell ref="F193:F195"/>
    <mergeCell ref="G193:G195"/>
    <mergeCell ref="H193:H195"/>
    <mergeCell ref="I193:I195"/>
    <mergeCell ref="J193:J195"/>
    <mergeCell ref="K193:K195"/>
    <mergeCell ref="L193:L195"/>
    <mergeCell ref="M193:M195"/>
    <mergeCell ref="N193:N195"/>
    <mergeCell ref="O193:O195"/>
    <mergeCell ref="P193:P195"/>
  </mergeCells>
  <conditionalFormatting sqref="Q378:Q387">
    <cfRule type="iconSet" priority="31">
      <iconSet iconSet="3Arrows">
        <cfvo type="percent" val="0"/>
        <cfvo type="percent" val="33"/>
        <cfvo type="percent" val="67"/>
      </iconSet>
    </cfRule>
  </conditionalFormatting>
  <conditionalFormatting sqref="Q389:Q390">
    <cfRule type="iconSet" priority="19">
      <iconSet iconSet="3Arrows">
        <cfvo type="percent" val="0"/>
        <cfvo type="percent" val="33"/>
        <cfvo type="percent" val="67"/>
      </iconSet>
    </cfRule>
  </conditionalFormatting>
  <conditionalFormatting sqref="Q391:Q409">
    <cfRule type="iconSet" priority="50">
      <iconSet iconSet="3Arrows">
        <cfvo type="percent" val="0"/>
        <cfvo type="percent" val="33"/>
        <cfvo type="percent" val="67"/>
      </iconSet>
    </cfRule>
  </conditionalFormatting>
  <conditionalFormatting sqref="Q431:Q438">
    <cfRule type="iconSet" priority="57">
      <iconSet iconSet="3Arrows">
        <cfvo type="percent" val="0"/>
        <cfvo type="percent" val="33"/>
        <cfvo type="percent" val="67"/>
      </iconSet>
    </cfRule>
  </conditionalFormatting>
  <conditionalFormatting sqref="Q439">
    <cfRule type="iconSet" priority="2">
      <iconSet iconSet="3Arrows">
        <cfvo type="percent" val="0"/>
        <cfvo type="percent" val="33"/>
        <cfvo type="percent" val="67"/>
      </iconSet>
    </cfRule>
  </conditionalFormatting>
  <conditionalFormatting sqref="Q440:Q441">
    <cfRule type="iconSet" priority="10">
      <iconSet iconSet="3Arrows">
        <cfvo type="percent" val="0"/>
        <cfvo type="percent" val="33"/>
        <cfvo type="percent" val="67"/>
      </iconSet>
    </cfRule>
  </conditionalFormatting>
  <conditionalFormatting sqref="Q443">
    <cfRule type="iconSet" priority="3">
      <iconSet iconSet="3Arrows">
        <cfvo type="percent" val="0"/>
        <cfvo type="percent" val="33"/>
        <cfvo type="percent" val="67"/>
      </iconSet>
    </cfRule>
  </conditionalFormatting>
  <conditionalFormatting sqref="Q452">
    <cfRule type="iconSet" priority="1">
      <iconSet iconSet="3Arrows">
        <cfvo type="percent" val="0"/>
        <cfvo type="percent" val="33"/>
        <cfvo type="percent" val="67"/>
      </iconSet>
    </cfRule>
  </conditionalFormatting>
  <conditionalFormatting sqref="Q453 Q455:R459 R454:S454">
    <cfRule type="iconSet" priority="24">
      <iconSet iconSet="3Arrows">
        <cfvo type="percent" val="0"/>
        <cfvo type="percent" val="33"/>
        <cfvo type="percent" val="67"/>
      </iconSet>
    </cfRule>
  </conditionalFormatting>
  <conditionalFormatting sqref="Q454">
    <cfRule type="iconSet" priority="7">
      <iconSet iconSet="3Arrows">
        <cfvo type="percent" val="0"/>
        <cfvo type="percent" val="33"/>
        <cfvo type="percent" val="67"/>
      </iconSet>
    </cfRule>
  </conditionalFormatting>
  <conditionalFormatting sqref="Q411:R418">
    <cfRule type="iconSet" priority="56">
      <iconSet iconSet="3Arrows">
        <cfvo type="percent" val="0"/>
        <cfvo type="percent" val="33"/>
        <cfvo type="percent" val="67"/>
      </iconSet>
    </cfRule>
  </conditionalFormatting>
  <conditionalFormatting sqref="R378:R379">
    <cfRule type="iconSet" priority="16">
      <iconSet iconSet="3Arrows">
        <cfvo type="percent" val="0"/>
        <cfvo type="percent" val="33"/>
        <cfvo type="percent" val="67"/>
      </iconSet>
    </cfRule>
  </conditionalFormatting>
  <conditionalFormatting sqref="R380:R387">
    <cfRule type="iconSet" priority="15">
      <iconSet iconSet="3Arrows">
        <cfvo type="percent" val="0"/>
        <cfvo type="percent" val="33"/>
        <cfvo type="percent" val="67"/>
      </iconSet>
    </cfRule>
  </conditionalFormatting>
  <conditionalFormatting sqref="R389:R390">
    <cfRule type="iconSet" priority="18">
      <iconSet iconSet="3Arrows">
        <cfvo type="percent" val="0"/>
        <cfvo type="percent" val="33"/>
        <cfvo type="percent" val="67"/>
      </iconSet>
    </cfRule>
  </conditionalFormatting>
  <conditionalFormatting sqref="R391:R409">
    <cfRule type="iconSet" priority="52">
      <iconSet iconSet="3Arrows">
        <cfvo type="percent" val="0"/>
        <cfvo type="percent" val="33"/>
        <cfvo type="percent" val="67"/>
      </iconSet>
    </cfRule>
  </conditionalFormatting>
  <conditionalFormatting sqref="R419:R429">
    <cfRule type="iconSet" priority="41">
      <iconSet iconSet="3Arrows">
        <cfvo type="percent" val="0"/>
        <cfvo type="percent" val="33"/>
        <cfvo type="percent" val="67"/>
      </iconSet>
    </cfRule>
  </conditionalFormatting>
  <conditionalFormatting sqref="R431:R432">
    <cfRule type="iconSet" priority="14">
      <iconSet iconSet="3Arrows">
        <cfvo type="percent" val="0"/>
        <cfvo type="percent" val="33"/>
        <cfvo type="percent" val="67"/>
      </iconSet>
    </cfRule>
  </conditionalFormatting>
  <conditionalFormatting sqref="R433:R438">
    <cfRule type="iconSet" priority="61">
      <iconSet iconSet="3Arrows">
        <cfvo type="percent" val="0"/>
        <cfvo type="percent" val="33"/>
        <cfvo type="percent" val="67"/>
      </iconSet>
    </cfRule>
  </conditionalFormatting>
  <conditionalFormatting sqref="R445:R447 Q444:R444 R443">
    <cfRule type="iconSet" priority="23">
      <iconSet iconSet="3Arrows">
        <cfvo type="percent" val="0"/>
        <cfvo type="percent" val="33"/>
        <cfvo type="percent" val="67"/>
      </iconSet>
    </cfRule>
  </conditionalFormatting>
  <conditionalFormatting sqref="R448">
    <cfRule type="iconSet" priority="5">
      <iconSet iconSet="3Arrows">
        <cfvo type="percent" val="0"/>
        <cfvo type="percent" val="33"/>
        <cfvo type="percent" val="67"/>
      </iconSet>
    </cfRule>
  </conditionalFormatting>
  <conditionalFormatting sqref="R450">
    <cfRule type="iconSet" priority="4">
      <iconSet iconSet="3Arrows">
        <cfvo type="percent" val="0"/>
        <cfvo type="percent" val="33"/>
        <cfvo type="percent" val="67"/>
      </iconSet>
    </cfRule>
  </conditionalFormatting>
  <conditionalFormatting sqref="R452">
    <cfRule type="iconSet" priority="6">
      <iconSet iconSet="3Arrows">
        <cfvo type="percent" val="0"/>
        <cfvo type="percent" val="33"/>
        <cfvo type="percent" val="67"/>
      </iconSet>
    </cfRule>
  </conditionalFormatting>
  <conditionalFormatting sqref="R45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verticalDpi="300" r:id="rId1"/>
  <headerFooter alignWithMargins="0">
    <oddFooter>&amp;C&amp;"Times New Roman Cyr,курсив"Сторінка &amp;P 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2:R178"/>
  <sheetViews>
    <sheetView showGridLines="0" view="pageBreakPreview" topLeftCell="B20" zoomScale="85" zoomScaleNormal="85" zoomScaleSheetLayoutView="85" workbookViewId="0">
      <selection activeCell="O16" sqref="O16"/>
    </sheetView>
  </sheetViews>
  <sheetFormatPr defaultColWidth="7.85546875" defaultRowHeight="12.75" x14ac:dyDescent="0.2"/>
  <cols>
    <col min="1" max="1" width="0" style="159" hidden="1" customWidth="1"/>
    <col min="2" max="2" width="13" style="7" customWidth="1"/>
    <col min="3" max="3" width="13.5703125" style="7" customWidth="1"/>
    <col min="4" max="4" width="15.28515625" style="7" customWidth="1"/>
    <col min="5" max="5" width="38.85546875" style="7" customWidth="1"/>
    <col min="6" max="6" width="10.140625" style="7" customWidth="1"/>
    <col min="7" max="7" width="15.42578125" style="7" customWidth="1"/>
    <col min="8" max="8" width="18.140625" style="7" customWidth="1"/>
    <col min="9" max="9" width="15.42578125" style="7" customWidth="1"/>
    <col min="10" max="10" width="12.140625" style="7" customWidth="1"/>
    <col min="11" max="12" width="18.140625" style="7" customWidth="1"/>
    <col min="13" max="13" width="16.5703125" style="7" customWidth="1"/>
    <col min="14" max="14" width="11.42578125" style="7" customWidth="1"/>
    <col min="15" max="15" width="19.42578125" style="7" customWidth="1"/>
    <col min="16" max="16" width="18.140625" style="7" customWidth="1"/>
    <col min="17" max="17" width="18.42578125" style="7" customWidth="1"/>
    <col min="18" max="18" width="12.5703125" style="7" customWidth="1"/>
    <col min="19" max="16384" width="7.85546875" style="7"/>
  </cols>
  <sheetData>
    <row r="2" spans="1:18" ht="64.5" customHeight="1" x14ac:dyDescent="0.2">
      <c r="B2" s="244"/>
      <c r="C2" s="244"/>
      <c r="D2" s="244"/>
      <c r="E2" s="394"/>
      <c r="F2" s="394"/>
      <c r="G2" s="394"/>
      <c r="H2" s="394"/>
      <c r="I2" s="394"/>
      <c r="J2" s="394"/>
      <c r="K2" s="394"/>
      <c r="L2" s="394"/>
      <c r="M2" s="814" t="s">
        <v>1714</v>
      </c>
      <c r="N2" s="814"/>
      <c r="O2" s="814"/>
      <c r="P2" s="814"/>
      <c r="Q2" s="814"/>
    </row>
    <row r="3" spans="1:18" ht="18.75" x14ac:dyDescent="0.2">
      <c r="B3" s="819"/>
      <c r="C3" s="819"/>
      <c r="D3" s="244"/>
      <c r="E3" s="815" t="s">
        <v>547</v>
      </c>
      <c r="F3" s="815"/>
      <c r="G3" s="815"/>
      <c r="H3" s="815"/>
      <c r="I3" s="815"/>
      <c r="J3" s="815"/>
      <c r="K3" s="815"/>
      <c r="L3" s="815"/>
      <c r="M3" s="815"/>
      <c r="N3" s="396"/>
      <c r="O3" s="396"/>
      <c r="P3" s="396"/>
      <c r="Q3" s="396"/>
    </row>
    <row r="4" spans="1:18" ht="21" customHeight="1" x14ac:dyDescent="0.2">
      <c r="B4" s="397"/>
      <c r="C4" s="370"/>
      <c r="D4" s="398"/>
      <c r="E4" s="815" t="s">
        <v>1477</v>
      </c>
      <c r="F4" s="825"/>
      <c r="G4" s="825"/>
      <c r="H4" s="825"/>
      <c r="I4" s="825"/>
      <c r="J4" s="825"/>
      <c r="K4" s="825"/>
      <c r="L4" s="825"/>
      <c r="M4" s="825"/>
      <c r="N4" s="244"/>
      <c r="O4" s="244"/>
      <c r="P4" s="244"/>
      <c r="Q4" s="399"/>
    </row>
    <row r="5" spans="1:18" ht="12" customHeight="1" x14ac:dyDescent="0.2">
      <c r="B5" s="730">
        <v>2256400000</v>
      </c>
      <c r="C5" s="820"/>
      <c r="D5" s="398"/>
      <c r="E5" s="395"/>
      <c r="F5" s="395"/>
      <c r="G5" s="395"/>
      <c r="H5" s="395"/>
      <c r="I5" s="395"/>
      <c r="J5" s="395"/>
      <c r="K5" s="395"/>
      <c r="L5" s="395"/>
      <c r="M5" s="395"/>
      <c r="N5" s="244"/>
      <c r="O5" s="244"/>
      <c r="P5" s="244"/>
      <c r="Q5" s="399"/>
    </row>
    <row r="6" spans="1:18" ht="12" customHeight="1" x14ac:dyDescent="0.2">
      <c r="B6" s="722" t="s">
        <v>474</v>
      </c>
      <c r="C6" s="821"/>
      <c r="D6" s="398"/>
      <c r="E6" s="395"/>
      <c r="F6" s="395"/>
      <c r="G6" s="395"/>
      <c r="H6" s="395"/>
      <c r="I6" s="395"/>
      <c r="J6" s="395"/>
      <c r="K6" s="395"/>
      <c r="L6" s="395"/>
      <c r="M6" s="395"/>
      <c r="N6" s="244"/>
      <c r="O6" s="244"/>
      <c r="P6" s="244"/>
      <c r="Q6" s="399"/>
    </row>
    <row r="7" spans="1:18" ht="21" customHeight="1" thickBot="1" x14ac:dyDescent="0.35">
      <c r="B7" s="401"/>
      <c r="C7" s="401"/>
      <c r="D7" s="398"/>
      <c r="E7" s="395"/>
      <c r="F7" s="395"/>
      <c r="G7" s="395"/>
      <c r="H7" s="395"/>
      <c r="I7" s="395"/>
      <c r="J7" s="395"/>
      <c r="K7" s="395"/>
      <c r="L7" s="395"/>
      <c r="M7" s="395"/>
      <c r="N7" s="244"/>
      <c r="O7" s="244"/>
      <c r="P7" s="244"/>
      <c r="Q7" s="402" t="s">
        <v>394</v>
      </c>
    </row>
    <row r="8" spans="1:18" ht="17.45" customHeight="1" thickTop="1" thickBot="1" x14ac:dyDescent="0.25">
      <c r="A8" s="160"/>
      <c r="B8" s="816" t="s">
        <v>475</v>
      </c>
      <c r="C8" s="823" t="s">
        <v>476</v>
      </c>
      <c r="D8" s="823" t="s">
        <v>380</v>
      </c>
      <c r="E8" s="823" t="s">
        <v>549</v>
      </c>
      <c r="F8" s="816" t="s">
        <v>122</v>
      </c>
      <c r="G8" s="816"/>
      <c r="H8" s="816"/>
      <c r="I8" s="816"/>
      <c r="J8" s="816" t="s">
        <v>123</v>
      </c>
      <c r="K8" s="816"/>
      <c r="L8" s="816"/>
      <c r="M8" s="816"/>
      <c r="N8" s="816" t="s">
        <v>379</v>
      </c>
      <c r="O8" s="816"/>
      <c r="P8" s="816"/>
      <c r="Q8" s="816"/>
    </row>
    <row r="9" spans="1:18" ht="28.5" customHeight="1" thickTop="1" thickBot="1" x14ac:dyDescent="0.25">
      <c r="A9" s="161"/>
      <c r="B9" s="816"/>
      <c r="C9" s="793"/>
      <c r="D9" s="793"/>
      <c r="E9" s="824"/>
      <c r="F9" s="811" t="s">
        <v>376</v>
      </c>
      <c r="G9" s="811" t="s">
        <v>377</v>
      </c>
      <c r="H9" s="812"/>
      <c r="I9" s="811" t="s">
        <v>378</v>
      </c>
      <c r="J9" s="811" t="s">
        <v>376</v>
      </c>
      <c r="K9" s="811" t="s">
        <v>377</v>
      </c>
      <c r="L9" s="812"/>
      <c r="M9" s="811" t="s">
        <v>378</v>
      </c>
      <c r="N9" s="811" t="s">
        <v>376</v>
      </c>
      <c r="O9" s="811" t="s">
        <v>377</v>
      </c>
      <c r="P9" s="812"/>
      <c r="Q9" s="811" t="s">
        <v>378</v>
      </c>
    </row>
    <row r="10" spans="1:18" ht="65.25" customHeight="1" thickTop="1" thickBot="1" x14ac:dyDescent="0.25">
      <c r="A10" s="7"/>
      <c r="B10" s="816"/>
      <c r="C10" s="793"/>
      <c r="D10" s="793"/>
      <c r="E10" s="793"/>
      <c r="F10" s="811"/>
      <c r="G10" s="405" t="s">
        <v>374</v>
      </c>
      <c r="H10" s="405" t="s">
        <v>375</v>
      </c>
      <c r="I10" s="811"/>
      <c r="J10" s="811"/>
      <c r="K10" s="405" t="s">
        <v>374</v>
      </c>
      <c r="L10" s="405" t="s">
        <v>375</v>
      </c>
      <c r="M10" s="811"/>
      <c r="N10" s="811"/>
      <c r="O10" s="405" t="s">
        <v>374</v>
      </c>
      <c r="P10" s="405" t="s">
        <v>375</v>
      </c>
      <c r="Q10" s="811"/>
    </row>
    <row r="11" spans="1:18" ht="14.25" thickTop="1" thickBot="1" x14ac:dyDescent="0.25">
      <c r="A11" s="7"/>
      <c r="B11" s="403">
        <v>1</v>
      </c>
      <c r="C11" s="404">
        <v>2</v>
      </c>
      <c r="D11" s="403">
        <v>3</v>
      </c>
      <c r="E11" s="404">
        <v>4</v>
      </c>
      <c r="F11" s="403">
        <v>5</v>
      </c>
      <c r="G11" s="404">
        <v>6</v>
      </c>
      <c r="H11" s="403">
        <v>7</v>
      </c>
      <c r="I11" s="404">
        <v>8</v>
      </c>
      <c r="J11" s="403">
        <v>9</v>
      </c>
      <c r="K11" s="404">
        <v>10</v>
      </c>
      <c r="L11" s="403">
        <v>11</v>
      </c>
      <c r="M11" s="404">
        <v>12</v>
      </c>
      <c r="N11" s="403">
        <v>13</v>
      </c>
      <c r="O11" s="404">
        <v>14</v>
      </c>
      <c r="P11" s="403">
        <v>15</v>
      </c>
      <c r="Q11" s="404">
        <v>16</v>
      </c>
    </row>
    <row r="12" spans="1:18" s="163" customFormat="1" ht="46.5" thickTop="1" thickBot="1" x14ac:dyDescent="0.25">
      <c r="A12" s="162"/>
      <c r="B12" s="532" t="s">
        <v>22</v>
      </c>
      <c r="C12" s="532"/>
      <c r="D12" s="532"/>
      <c r="E12" s="576" t="s">
        <v>23</v>
      </c>
      <c r="F12" s="577">
        <f>F13</f>
        <v>0</v>
      </c>
      <c r="G12" s="577">
        <f t="shared" ref="G12:Q12" si="0">G13</f>
        <v>1000000</v>
      </c>
      <c r="H12" s="577">
        <f t="shared" si="0"/>
        <v>0</v>
      </c>
      <c r="I12" s="577">
        <f>I13</f>
        <v>1000000</v>
      </c>
      <c r="J12" s="577">
        <f t="shared" si="0"/>
        <v>0</v>
      </c>
      <c r="K12" s="577">
        <f t="shared" si="0"/>
        <v>0</v>
      </c>
      <c r="L12" s="577">
        <f t="shared" si="0"/>
        <v>0</v>
      </c>
      <c r="M12" s="577">
        <f>M13</f>
        <v>0</v>
      </c>
      <c r="N12" s="577">
        <f t="shared" si="0"/>
        <v>0</v>
      </c>
      <c r="O12" s="577">
        <f t="shared" si="0"/>
        <v>1000000</v>
      </c>
      <c r="P12" s="577">
        <f t="shared" si="0"/>
        <v>0</v>
      </c>
      <c r="Q12" s="577">
        <f t="shared" si="0"/>
        <v>1000000</v>
      </c>
      <c r="R12" s="8"/>
    </row>
    <row r="13" spans="1:18" ht="44.25" thickTop="1" thickBot="1" x14ac:dyDescent="0.25">
      <c r="B13" s="534" t="s">
        <v>21</v>
      </c>
      <c r="C13" s="534"/>
      <c r="D13" s="534"/>
      <c r="E13" s="535" t="s">
        <v>34</v>
      </c>
      <c r="F13" s="578">
        <f t="shared" ref="F13:Q13" si="1">F18+F17+F19</f>
        <v>0</v>
      </c>
      <c r="G13" s="578">
        <f t="shared" si="1"/>
        <v>1000000</v>
      </c>
      <c r="H13" s="578">
        <f t="shared" si="1"/>
        <v>0</v>
      </c>
      <c r="I13" s="578">
        <f t="shared" si="1"/>
        <v>1000000</v>
      </c>
      <c r="J13" s="578">
        <f t="shared" si="1"/>
        <v>0</v>
      </c>
      <c r="K13" s="578">
        <f t="shared" si="1"/>
        <v>0</v>
      </c>
      <c r="L13" s="578">
        <f t="shared" si="1"/>
        <v>0</v>
      </c>
      <c r="M13" s="578">
        <f t="shared" si="1"/>
        <v>0</v>
      </c>
      <c r="N13" s="578">
        <f t="shared" si="1"/>
        <v>0</v>
      </c>
      <c r="O13" s="578">
        <f t="shared" si="1"/>
        <v>1000000</v>
      </c>
      <c r="P13" s="578">
        <f t="shared" si="1"/>
        <v>0</v>
      </c>
      <c r="Q13" s="578">
        <f t="shared" si="1"/>
        <v>1000000</v>
      </c>
    </row>
    <row r="14" spans="1:18" ht="39" customHeight="1" thickTop="1" thickBot="1" x14ac:dyDescent="0.25">
      <c r="B14" s="600" t="s">
        <v>810</v>
      </c>
      <c r="C14" s="600" t="s">
        <v>664</v>
      </c>
      <c r="D14" s="600"/>
      <c r="E14" s="601" t="s">
        <v>811</v>
      </c>
      <c r="F14" s="608">
        <f>F15</f>
        <v>0</v>
      </c>
      <c r="G14" s="608">
        <f t="shared" ref="G14:Q15" si="2">G15</f>
        <v>1000000</v>
      </c>
      <c r="H14" s="608">
        <f t="shared" si="2"/>
        <v>0</v>
      </c>
      <c r="I14" s="608">
        <f t="shared" si="2"/>
        <v>1000000</v>
      </c>
      <c r="J14" s="608">
        <f t="shared" si="2"/>
        <v>0</v>
      </c>
      <c r="K14" s="608">
        <f t="shared" si="2"/>
        <v>0</v>
      </c>
      <c r="L14" s="608">
        <f t="shared" si="2"/>
        <v>0</v>
      </c>
      <c r="M14" s="608">
        <f t="shared" si="2"/>
        <v>0</v>
      </c>
      <c r="N14" s="608">
        <f t="shared" si="2"/>
        <v>0</v>
      </c>
      <c r="O14" s="608">
        <f t="shared" si="2"/>
        <v>1000000</v>
      </c>
      <c r="P14" s="608">
        <f t="shared" si="2"/>
        <v>0</v>
      </c>
      <c r="Q14" s="608">
        <f t="shared" si="2"/>
        <v>1000000</v>
      </c>
    </row>
    <row r="15" spans="1:18" ht="42" customHeight="1" thickTop="1" thickBot="1" x14ac:dyDescent="0.25">
      <c r="B15" s="598" t="s">
        <v>812</v>
      </c>
      <c r="C15" s="598" t="s">
        <v>813</v>
      </c>
      <c r="D15" s="598"/>
      <c r="E15" s="599" t="s">
        <v>814</v>
      </c>
      <c r="F15" s="607">
        <f>F16</f>
        <v>0</v>
      </c>
      <c r="G15" s="607">
        <f t="shared" si="2"/>
        <v>1000000</v>
      </c>
      <c r="H15" s="607">
        <f t="shared" si="2"/>
        <v>0</v>
      </c>
      <c r="I15" s="607">
        <f t="shared" si="2"/>
        <v>1000000</v>
      </c>
      <c r="J15" s="607">
        <f t="shared" si="2"/>
        <v>0</v>
      </c>
      <c r="K15" s="607">
        <f t="shared" si="2"/>
        <v>0</v>
      </c>
      <c r="L15" s="607">
        <f t="shared" si="2"/>
        <v>0</v>
      </c>
      <c r="M15" s="607">
        <f t="shared" si="2"/>
        <v>0</v>
      </c>
      <c r="N15" s="607">
        <f t="shared" si="2"/>
        <v>0</v>
      </c>
      <c r="O15" s="607">
        <f t="shared" si="2"/>
        <v>1000000</v>
      </c>
      <c r="P15" s="607">
        <f t="shared" si="2"/>
        <v>0</v>
      </c>
      <c r="Q15" s="607">
        <f t="shared" si="2"/>
        <v>1000000</v>
      </c>
    </row>
    <row r="16" spans="1:18" ht="76.5" thickTop="1" thickBot="1" x14ac:dyDescent="0.25">
      <c r="B16" s="602" t="s">
        <v>815</v>
      </c>
      <c r="C16" s="603" t="s">
        <v>816</v>
      </c>
      <c r="D16" s="603"/>
      <c r="E16" s="604" t="s">
        <v>836</v>
      </c>
      <c r="F16" s="606">
        <f>SUM(F17:F18)</f>
        <v>0</v>
      </c>
      <c r="G16" s="606">
        <f t="shared" ref="G16:Q16" si="3">SUM(G17:G18)</f>
        <v>1000000</v>
      </c>
      <c r="H16" s="606">
        <f t="shared" si="3"/>
        <v>0</v>
      </c>
      <c r="I16" s="606">
        <f t="shared" si="3"/>
        <v>1000000</v>
      </c>
      <c r="J16" s="606">
        <f t="shared" si="3"/>
        <v>0</v>
      </c>
      <c r="K16" s="606">
        <f t="shared" si="3"/>
        <v>0</v>
      </c>
      <c r="L16" s="606">
        <f t="shared" si="3"/>
        <v>0</v>
      </c>
      <c r="M16" s="606">
        <f t="shared" si="3"/>
        <v>0</v>
      </c>
      <c r="N16" s="606">
        <f t="shared" si="3"/>
        <v>0</v>
      </c>
      <c r="O16" s="606">
        <f t="shared" si="3"/>
        <v>1000000</v>
      </c>
      <c r="P16" s="606">
        <f t="shared" si="3"/>
        <v>0</v>
      </c>
      <c r="Q16" s="606">
        <f t="shared" si="3"/>
        <v>1000000</v>
      </c>
    </row>
    <row r="17" spans="1:18" ht="76.5" thickTop="1" thickBot="1" x14ac:dyDescent="0.25">
      <c r="A17" s="244"/>
      <c r="B17" s="602" t="s">
        <v>444</v>
      </c>
      <c r="C17" s="602" t="s">
        <v>446</v>
      </c>
      <c r="D17" s="602" t="s">
        <v>48</v>
      </c>
      <c r="E17" s="422" t="s">
        <v>1585</v>
      </c>
      <c r="F17" s="605">
        <v>0</v>
      </c>
      <c r="G17" s="605">
        <v>1000000</v>
      </c>
      <c r="H17" s="605">
        <v>0</v>
      </c>
      <c r="I17" s="605">
        <f>F17+G17</f>
        <v>1000000</v>
      </c>
      <c r="J17" s="605">
        <v>0</v>
      </c>
      <c r="K17" s="605">
        <v>0</v>
      </c>
      <c r="L17" s="605">
        <v>0</v>
      </c>
      <c r="M17" s="605">
        <f>J17+K17</f>
        <v>0</v>
      </c>
      <c r="N17" s="605">
        <f t="shared" ref="N17:Q18" si="4">F17+J17</f>
        <v>0</v>
      </c>
      <c r="O17" s="605">
        <f t="shared" si="4"/>
        <v>1000000</v>
      </c>
      <c r="P17" s="605">
        <f t="shared" si="4"/>
        <v>0</v>
      </c>
      <c r="Q17" s="605">
        <f t="shared" si="4"/>
        <v>1000000</v>
      </c>
    </row>
    <row r="18" spans="1:18" ht="76.5" hidden="1" thickTop="1" thickBot="1" x14ac:dyDescent="0.25">
      <c r="B18" s="602" t="s">
        <v>445</v>
      </c>
      <c r="C18" s="602" t="s">
        <v>447</v>
      </c>
      <c r="D18" s="602" t="s">
        <v>48</v>
      </c>
      <c r="E18" s="422" t="s">
        <v>837</v>
      </c>
      <c r="F18" s="605">
        <v>0</v>
      </c>
      <c r="G18" s="605">
        <v>0</v>
      </c>
      <c r="H18" s="605">
        <v>0</v>
      </c>
      <c r="I18" s="605">
        <f>F18+G18</f>
        <v>0</v>
      </c>
      <c r="J18" s="605">
        <v>0</v>
      </c>
      <c r="K18" s="605">
        <f>(-1000000)+1000000</f>
        <v>0</v>
      </c>
      <c r="L18" s="605">
        <v>0</v>
      </c>
      <c r="M18" s="605">
        <f>J18+K18</f>
        <v>0</v>
      </c>
      <c r="N18" s="605">
        <f t="shared" si="4"/>
        <v>0</v>
      </c>
      <c r="O18" s="605">
        <f t="shared" si="4"/>
        <v>0</v>
      </c>
      <c r="P18" s="605">
        <f t="shared" si="4"/>
        <v>0</v>
      </c>
      <c r="Q18" s="605">
        <f t="shared" si="4"/>
        <v>0</v>
      </c>
    </row>
    <row r="19" spans="1:18" ht="61.5" hidden="1" thickTop="1" thickBot="1" x14ac:dyDescent="0.25">
      <c r="B19" s="283" t="s">
        <v>486</v>
      </c>
      <c r="C19" s="283" t="s">
        <v>487</v>
      </c>
      <c r="D19" s="283" t="s">
        <v>48</v>
      </c>
      <c r="E19" s="284" t="s">
        <v>485</v>
      </c>
      <c r="F19" s="285"/>
      <c r="G19" s="285"/>
      <c r="H19" s="285"/>
      <c r="I19" s="285"/>
      <c r="J19" s="285"/>
      <c r="K19" s="285"/>
      <c r="L19" s="285"/>
      <c r="M19" s="285">
        <f>J19+K19</f>
        <v>0</v>
      </c>
      <c r="N19" s="285"/>
      <c r="O19" s="285">
        <f>G19+K19</f>
        <v>0</v>
      </c>
      <c r="P19" s="285"/>
      <c r="Q19" s="285">
        <f>I19+M19</f>
        <v>0</v>
      </c>
    </row>
    <row r="20" spans="1:18" ht="31.5" thickTop="1" thickBot="1" x14ac:dyDescent="0.25">
      <c r="B20" s="532" t="s">
        <v>163</v>
      </c>
      <c r="C20" s="532"/>
      <c r="D20" s="532"/>
      <c r="E20" s="576" t="s">
        <v>27</v>
      </c>
      <c r="F20" s="577">
        <f>F21</f>
        <v>0</v>
      </c>
      <c r="G20" s="577">
        <f t="shared" ref="G20:Q21" si="5">G21</f>
        <v>142448720.09999999</v>
      </c>
      <c r="H20" s="577">
        <f t="shared" si="5"/>
        <v>142448720.09999999</v>
      </c>
      <c r="I20" s="577">
        <f>I21</f>
        <v>142448720.09999999</v>
      </c>
      <c r="J20" s="577">
        <f t="shared" si="5"/>
        <v>0</v>
      </c>
      <c r="K20" s="577">
        <f t="shared" si="5"/>
        <v>-142448720.09999999</v>
      </c>
      <c r="L20" s="577">
        <f t="shared" si="5"/>
        <v>-142448720.09999999</v>
      </c>
      <c r="M20" s="577">
        <f>M21</f>
        <v>-142448720.09999999</v>
      </c>
      <c r="N20" s="577">
        <f t="shared" si="5"/>
        <v>0</v>
      </c>
      <c r="O20" s="577">
        <f t="shared" si="5"/>
        <v>0</v>
      </c>
      <c r="P20" s="577">
        <f t="shared" si="5"/>
        <v>0</v>
      </c>
      <c r="Q20" s="577">
        <f t="shared" si="5"/>
        <v>0</v>
      </c>
    </row>
    <row r="21" spans="1:18" ht="50.1" customHeight="1" thickTop="1" thickBot="1" x14ac:dyDescent="0.25">
      <c r="B21" s="534" t="s">
        <v>164</v>
      </c>
      <c r="C21" s="534"/>
      <c r="D21" s="534"/>
      <c r="E21" s="535" t="s">
        <v>39</v>
      </c>
      <c r="F21" s="578">
        <f>F22</f>
        <v>0</v>
      </c>
      <c r="G21" s="578">
        <f t="shared" si="5"/>
        <v>142448720.09999999</v>
      </c>
      <c r="H21" s="578">
        <f t="shared" si="5"/>
        <v>142448720.09999999</v>
      </c>
      <c r="I21" s="578">
        <f t="shared" si="5"/>
        <v>142448720.09999999</v>
      </c>
      <c r="J21" s="578">
        <f>J22</f>
        <v>0</v>
      </c>
      <c r="K21" s="578">
        <f>K22</f>
        <v>-142448720.09999999</v>
      </c>
      <c r="L21" s="578">
        <f t="shared" si="5"/>
        <v>-142448720.09999999</v>
      </c>
      <c r="M21" s="578">
        <f t="shared" si="5"/>
        <v>-142448720.09999999</v>
      </c>
      <c r="N21" s="578">
        <f t="shared" si="5"/>
        <v>0</v>
      </c>
      <c r="O21" s="578">
        <f t="shared" si="5"/>
        <v>0</v>
      </c>
      <c r="P21" s="578">
        <f t="shared" si="5"/>
        <v>0</v>
      </c>
      <c r="Q21" s="578">
        <f t="shared" si="5"/>
        <v>0</v>
      </c>
    </row>
    <row r="22" spans="1:18" ht="39" customHeight="1" thickTop="1" thickBot="1" x14ac:dyDescent="0.25">
      <c r="B22" s="563" t="s">
        <v>805</v>
      </c>
      <c r="C22" s="563" t="s">
        <v>664</v>
      </c>
      <c r="D22" s="563"/>
      <c r="E22" s="564" t="s">
        <v>811</v>
      </c>
      <c r="F22" s="575">
        <f>F23</f>
        <v>0</v>
      </c>
      <c r="G22" s="575">
        <f t="shared" ref="G22:Q23" si="6">G23</f>
        <v>142448720.09999999</v>
      </c>
      <c r="H22" s="575">
        <f t="shared" si="6"/>
        <v>142448720.09999999</v>
      </c>
      <c r="I22" s="575">
        <f t="shared" si="6"/>
        <v>142448720.09999999</v>
      </c>
      <c r="J22" s="575">
        <f t="shared" si="6"/>
        <v>0</v>
      </c>
      <c r="K22" s="575">
        <f t="shared" si="6"/>
        <v>-142448720.09999999</v>
      </c>
      <c r="L22" s="575">
        <f t="shared" si="6"/>
        <v>-142448720.09999999</v>
      </c>
      <c r="M22" s="575">
        <f t="shared" si="6"/>
        <v>-142448720.09999999</v>
      </c>
      <c r="N22" s="575">
        <f t="shared" si="6"/>
        <v>0</v>
      </c>
      <c r="O22" s="575">
        <f t="shared" si="6"/>
        <v>0</v>
      </c>
      <c r="P22" s="575">
        <f t="shared" si="6"/>
        <v>0</v>
      </c>
      <c r="Q22" s="575">
        <f t="shared" si="6"/>
        <v>0</v>
      </c>
    </row>
    <row r="23" spans="1:18" ht="30" customHeight="1" thickTop="1" thickBot="1" x14ac:dyDescent="0.25">
      <c r="B23" s="565" t="s">
        <v>1183</v>
      </c>
      <c r="C23" s="565" t="s">
        <v>813</v>
      </c>
      <c r="D23" s="565"/>
      <c r="E23" s="566" t="s">
        <v>814</v>
      </c>
      <c r="F23" s="574">
        <f>F24</f>
        <v>0</v>
      </c>
      <c r="G23" s="574">
        <f>G24</f>
        <v>142448720.09999999</v>
      </c>
      <c r="H23" s="574">
        <f t="shared" si="6"/>
        <v>142448720.09999999</v>
      </c>
      <c r="I23" s="574">
        <f t="shared" si="6"/>
        <v>142448720.09999999</v>
      </c>
      <c r="J23" s="574">
        <f t="shared" si="6"/>
        <v>0</v>
      </c>
      <c r="K23" s="574">
        <f t="shared" si="6"/>
        <v>-142448720.09999999</v>
      </c>
      <c r="L23" s="574">
        <f t="shared" si="6"/>
        <v>-142448720.09999999</v>
      </c>
      <c r="M23" s="574">
        <f t="shared" si="6"/>
        <v>-142448720.09999999</v>
      </c>
      <c r="N23" s="574">
        <f t="shared" si="6"/>
        <v>0</v>
      </c>
      <c r="O23" s="574">
        <f t="shared" si="6"/>
        <v>0</v>
      </c>
      <c r="P23" s="574">
        <f t="shared" si="6"/>
        <v>0</v>
      </c>
      <c r="Q23" s="574">
        <f t="shared" si="6"/>
        <v>0</v>
      </c>
    </row>
    <row r="24" spans="1:18" ht="60.75" customHeight="1" thickTop="1" thickBot="1" x14ac:dyDescent="0.25">
      <c r="B24" s="567" t="s">
        <v>1184</v>
      </c>
      <c r="C24" s="568" t="s">
        <v>1300</v>
      </c>
      <c r="D24" s="568"/>
      <c r="E24" s="569" t="s">
        <v>1042</v>
      </c>
      <c r="F24" s="573">
        <f t="shared" ref="F24:L24" si="7">F25+F27</f>
        <v>0</v>
      </c>
      <c r="G24" s="573">
        <f t="shared" si="7"/>
        <v>142448720.09999999</v>
      </c>
      <c r="H24" s="573">
        <f t="shared" si="7"/>
        <v>142448720.09999999</v>
      </c>
      <c r="I24" s="573">
        <f t="shared" si="7"/>
        <v>142448720.09999999</v>
      </c>
      <c r="J24" s="573">
        <f t="shared" si="7"/>
        <v>0</v>
      </c>
      <c r="K24" s="573">
        <f t="shared" si="7"/>
        <v>-142448720.09999999</v>
      </c>
      <c r="L24" s="573">
        <f t="shared" si="7"/>
        <v>-142448720.09999999</v>
      </c>
      <c r="M24" s="573">
        <f t="shared" ref="M24:M26" si="8">J24+K24</f>
        <v>-142448720.09999999</v>
      </c>
      <c r="N24" s="573">
        <f t="shared" ref="N24:N26" si="9">F24+J24</f>
        <v>0</v>
      </c>
      <c r="O24" s="573">
        <f t="shared" ref="O24:O26" si="10">G24+K24</f>
        <v>0</v>
      </c>
      <c r="P24" s="573">
        <f>P25+P27</f>
        <v>0</v>
      </c>
      <c r="Q24" s="573">
        <f>Q25+Q27</f>
        <v>0</v>
      </c>
    </row>
    <row r="25" spans="1:18" ht="70.5" customHeight="1" thickTop="1" thickBot="1" x14ac:dyDescent="0.25">
      <c r="B25" s="567" t="s">
        <v>1185</v>
      </c>
      <c r="C25" s="567" t="s">
        <v>1186</v>
      </c>
      <c r="D25" s="567" t="s">
        <v>165</v>
      </c>
      <c r="E25" s="570" t="s">
        <v>1043</v>
      </c>
      <c r="F25" s="572">
        <f>F26</f>
        <v>0</v>
      </c>
      <c r="G25" s="572">
        <f>G26</f>
        <v>142448720.09999999</v>
      </c>
      <c r="H25" s="572">
        <f t="shared" ref="H25:P25" si="11">H26</f>
        <v>142448720.09999999</v>
      </c>
      <c r="I25" s="572">
        <f>I26</f>
        <v>142448720.09999999</v>
      </c>
      <c r="J25" s="572">
        <f t="shared" si="11"/>
        <v>0</v>
      </c>
      <c r="K25" s="572">
        <f t="shared" si="11"/>
        <v>0</v>
      </c>
      <c r="L25" s="572">
        <f t="shared" si="11"/>
        <v>0</v>
      </c>
      <c r="M25" s="572">
        <f t="shared" si="8"/>
        <v>0</v>
      </c>
      <c r="N25" s="572">
        <f t="shared" si="9"/>
        <v>0</v>
      </c>
      <c r="O25" s="572">
        <f t="shared" si="10"/>
        <v>142448720.09999999</v>
      </c>
      <c r="P25" s="572">
        <f t="shared" si="11"/>
        <v>142448720.09999999</v>
      </c>
      <c r="Q25" s="572">
        <f t="shared" ref="Q25:Q26" si="12">I25+M25</f>
        <v>142448720.09999999</v>
      </c>
    </row>
    <row r="26" spans="1:18" ht="41.25" customHeight="1" thickTop="1" thickBot="1" x14ac:dyDescent="0.25">
      <c r="B26" s="567" t="s">
        <v>1190</v>
      </c>
      <c r="C26" s="567"/>
      <c r="D26" s="567"/>
      <c r="E26" s="570" t="s">
        <v>1568</v>
      </c>
      <c r="F26" s="572">
        <v>0</v>
      </c>
      <c r="G26" s="572">
        <v>142448720.09999999</v>
      </c>
      <c r="H26" s="572">
        <v>142448720.09999999</v>
      </c>
      <c r="I26" s="572">
        <f>F26+G26</f>
        <v>142448720.09999999</v>
      </c>
      <c r="J26" s="572">
        <v>0</v>
      </c>
      <c r="K26" s="572">
        <v>0</v>
      </c>
      <c r="L26" s="572">
        <v>0</v>
      </c>
      <c r="M26" s="572">
        <f t="shared" si="8"/>
        <v>0</v>
      </c>
      <c r="N26" s="572">
        <f t="shared" si="9"/>
        <v>0</v>
      </c>
      <c r="O26" s="572">
        <f t="shared" si="10"/>
        <v>142448720.09999999</v>
      </c>
      <c r="P26" s="572">
        <f>H26+L26</f>
        <v>142448720.09999999</v>
      </c>
      <c r="Q26" s="572">
        <f t="shared" si="12"/>
        <v>142448720.09999999</v>
      </c>
    </row>
    <row r="27" spans="1:18" ht="61.5" thickTop="1" thickBot="1" x14ac:dyDescent="0.25">
      <c r="B27" s="567" t="s">
        <v>1187</v>
      </c>
      <c r="C27" s="567" t="s">
        <v>1188</v>
      </c>
      <c r="D27" s="567" t="s">
        <v>165</v>
      </c>
      <c r="E27" s="570" t="s">
        <v>1189</v>
      </c>
      <c r="F27" s="572">
        <f>F28</f>
        <v>0</v>
      </c>
      <c r="G27" s="572">
        <f t="shared" ref="G27:Q27" si="13">G28</f>
        <v>0</v>
      </c>
      <c r="H27" s="572">
        <f t="shared" si="13"/>
        <v>0</v>
      </c>
      <c r="I27" s="572">
        <f t="shared" si="13"/>
        <v>0</v>
      </c>
      <c r="J27" s="572">
        <f t="shared" si="13"/>
        <v>0</v>
      </c>
      <c r="K27" s="572">
        <f t="shared" si="13"/>
        <v>-142448720.09999999</v>
      </c>
      <c r="L27" s="572">
        <f t="shared" si="13"/>
        <v>-142448720.09999999</v>
      </c>
      <c r="M27" s="572">
        <f t="shared" si="13"/>
        <v>-142448720.09999999</v>
      </c>
      <c r="N27" s="572">
        <f t="shared" si="13"/>
        <v>0</v>
      </c>
      <c r="O27" s="572">
        <f t="shared" si="13"/>
        <v>-142448720.09999999</v>
      </c>
      <c r="P27" s="572">
        <f t="shared" si="13"/>
        <v>-142448720.09999999</v>
      </c>
      <c r="Q27" s="572">
        <f t="shared" si="13"/>
        <v>-142448720.09999999</v>
      </c>
    </row>
    <row r="28" spans="1:18" ht="48" customHeight="1" thickTop="1" thickBot="1" x14ac:dyDescent="0.25">
      <c r="A28" s="571"/>
      <c r="B28" s="567" t="s">
        <v>1310</v>
      </c>
      <c r="C28" s="567"/>
      <c r="D28" s="567"/>
      <c r="E28" s="570" t="s">
        <v>1311</v>
      </c>
      <c r="F28" s="572">
        <v>0</v>
      </c>
      <c r="G28" s="572">
        <v>0</v>
      </c>
      <c r="H28" s="572">
        <v>0</v>
      </c>
      <c r="I28" s="572">
        <v>0</v>
      </c>
      <c r="J28" s="572">
        <v>0</v>
      </c>
      <c r="K28" s="572">
        <v>-142448720.09999999</v>
      </c>
      <c r="L28" s="572">
        <v>-142448720.09999999</v>
      </c>
      <c r="M28" s="572">
        <f t="shared" ref="M28" si="14">J28+K28</f>
        <v>-142448720.09999999</v>
      </c>
      <c r="N28" s="572">
        <f t="shared" ref="N28" si="15">F28+J28</f>
        <v>0</v>
      </c>
      <c r="O28" s="572">
        <f t="shared" ref="O28" si="16">G28+K28</f>
        <v>-142448720.09999999</v>
      </c>
      <c r="P28" s="572">
        <f>H28+L28</f>
        <v>-142448720.09999999</v>
      </c>
      <c r="Q28" s="572">
        <f t="shared" ref="Q28" si="17">I28+M28</f>
        <v>-142448720.09999999</v>
      </c>
    </row>
    <row r="29" spans="1:18" ht="27.75" customHeight="1" thickTop="1" thickBot="1" x14ac:dyDescent="0.25">
      <c r="B29" s="406" t="s">
        <v>371</v>
      </c>
      <c r="C29" s="406" t="s">
        <v>371</v>
      </c>
      <c r="D29" s="406" t="s">
        <v>371</v>
      </c>
      <c r="E29" s="406" t="s">
        <v>381</v>
      </c>
      <c r="F29" s="407">
        <f t="shared" ref="F29:Q29" si="18">F12+F20</f>
        <v>0</v>
      </c>
      <c r="G29" s="407">
        <f t="shared" si="18"/>
        <v>143448720.09999999</v>
      </c>
      <c r="H29" s="407">
        <f t="shared" si="18"/>
        <v>142448720.09999999</v>
      </c>
      <c r="I29" s="407">
        <f t="shared" si="18"/>
        <v>143448720.09999999</v>
      </c>
      <c r="J29" s="407">
        <f t="shared" si="18"/>
        <v>0</v>
      </c>
      <c r="K29" s="407">
        <f t="shared" si="18"/>
        <v>-142448720.09999999</v>
      </c>
      <c r="L29" s="407">
        <f t="shared" si="18"/>
        <v>-142448720.09999999</v>
      </c>
      <c r="M29" s="407">
        <f t="shared" si="18"/>
        <v>-142448720.09999999</v>
      </c>
      <c r="N29" s="407">
        <f>N12+N20</f>
        <v>0</v>
      </c>
      <c r="O29" s="407">
        <f t="shared" si="18"/>
        <v>1000000</v>
      </c>
      <c r="P29" s="407">
        <f t="shared" si="18"/>
        <v>0</v>
      </c>
      <c r="Q29" s="407">
        <f t="shared" si="18"/>
        <v>1000000</v>
      </c>
      <c r="R29" s="609" t="b">
        <f>Q29=N29+O29</f>
        <v>1</v>
      </c>
    </row>
    <row r="30" spans="1:18" ht="16.5" customHeight="1" thickTop="1" x14ac:dyDescent="0.2">
      <c r="B30" s="286"/>
      <c r="C30" s="286"/>
      <c r="D30" s="286"/>
      <c r="E30" s="287"/>
      <c r="F30" s="288"/>
      <c r="G30" s="288"/>
      <c r="H30" s="288"/>
      <c r="I30" s="288"/>
      <c r="J30" s="288"/>
      <c r="K30" s="288"/>
      <c r="L30" s="288"/>
      <c r="M30" s="288"/>
      <c r="N30" s="288"/>
      <c r="O30" s="288"/>
      <c r="P30" s="288"/>
      <c r="Q30" s="288"/>
    </row>
    <row r="31" spans="1:18" ht="21.75" customHeight="1" x14ac:dyDescent="0.25">
      <c r="B31" s="286"/>
      <c r="C31" s="286"/>
      <c r="D31" s="817" t="s">
        <v>1417</v>
      </c>
      <c r="E31" s="818"/>
      <c r="F31" s="362"/>
      <c r="G31" s="289"/>
      <c r="H31" s="290"/>
      <c r="I31" s="289"/>
      <c r="J31" s="290"/>
      <c r="K31" s="671" t="s">
        <v>1418</v>
      </c>
      <c r="L31" s="289"/>
      <c r="M31" s="289"/>
      <c r="N31" s="289"/>
      <c r="O31" s="289"/>
      <c r="P31" s="289"/>
      <c r="Q31" s="288"/>
    </row>
    <row r="32" spans="1:18" ht="15" hidden="1" x14ac:dyDescent="0.25">
      <c r="B32" s="286"/>
      <c r="C32" s="286"/>
      <c r="D32" s="245" t="s">
        <v>1245</v>
      </c>
      <c r="E32" s="246"/>
      <c r="F32" s="246"/>
      <c r="G32" s="247"/>
      <c r="H32" s="245"/>
      <c r="I32" s="247"/>
      <c r="J32" s="245"/>
      <c r="K32" s="245" t="s">
        <v>1246</v>
      </c>
      <c r="L32" s="289"/>
      <c r="M32" s="289"/>
      <c r="N32" s="289"/>
      <c r="O32" s="289"/>
      <c r="P32" s="289"/>
      <c r="Q32" s="288"/>
    </row>
    <row r="33" spans="2:17" ht="15" hidden="1" x14ac:dyDescent="0.25">
      <c r="B33" s="286"/>
      <c r="C33" s="286"/>
      <c r="D33" s="827" t="s">
        <v>1472</v>
      </c>
      <c r="E33" s="827"/>
      <c r="F33" s="362"/>
      <c r="G33" s="289"/>
      <c r="H33" s="290"/>
      <c r="I33" s="289"/>
      <c r="J33" s="290"/>
      <c r="K33" s="363" t="s">
        <v>1471</v>
      </c>
      <c r="L33" s="289"/>
      <c r="M33" s="289"/>
      <c r="N33" s="289"/>
      <c r="O33" s="289"/>
      <c r="P33" s="289"/>
      <c r="Q33" s="288"/>
    </row>
    <row r="34" spans="2:17" ht="16.5" customHeight="1" x14ac:dyDescent="0.25">
      <c r="B34" s="286"/>
      <c r="C34" s="286"/>
      <c r="D34" s="290"/>
      <c r="E34" s="362"/>
      <c r="F34" s="362"/>
      <c r="G34" s="289"/>
      <c r="H34" s="290"/>
      <c r="I34" s="289"/>
      <c r="J34" s="290"/>
      <c r="K34" s="290"/>
      <c r="L34" s="289"/>
      <c r="M34" s="289"/>
      <c r="N34" s="289"/>
      <c r="O34" s="289"/>
      <c r="P34" s="289"/>
      <c r="Q34" s="288"/>
    </row>
    <row r="35" spans="2:17" ht="15" customHeight="1" x14ac:dyDescent="0.25">
      <c r="B35" s="164"/>
      <c r="C35" s="164"/>
      <c r="D35" s="731" t="s">
        <v>501</v>
      </c>
      <c r="E35" s="826"/>
      <c r="F35" s="392"/>
      <c r="G35" s="393"/>
      <c r="H35" s="393"/>
      <c r="I35" s="247"/>
      <c r="J35" s="247"/>
      <c r="K35" s="245" t="s">
        <v>1168</v>
      </c>
      <c r="L35" s="289"/>
      <c r="M35" s="289"/>
      <c r="N35" s="289"/>
      <c r="O35" s="289"/>
      <c r="P35" s="289"/>
      <c r="Q35" s="165"/>
    </row>
    <row r="36" spans="2:17" ht="15" x14ac:dyDescent="0.25">
      <c r="B36" s="164"/>
      <c r="C36" s="164"/>
      <c r="D36" s="813"/>
      <c r="E36" s="813"/>
      <c r="F36" s="813"/>
      <c r="G36" s="813"/>
      <c r="H36" s="813"/>
      <c r="I36" s="813"/>
      <c r="J36" s="813"/>
      <c r="K36" s="813"/>
      <c r="L36" s="813"/>
      <c r="M36" s="813"/>
      <c r="N36" s="813"/>
      <c r="O36" s="813"/>
      <c r="P36" s="813"/>
      <c r="Q36" s="165"/>
    </row>
    <row r="37" spans="2:17" ht="15" x14ac:dyDescent="0.25">
      <c r="D37" s="813"/>
      <c r="E37" s="813"/>
      <c r="F37" s="813"/>
      <c r="G37" s="813"/>
      <c r="H37" s="813"/>
      <c r="I37" s="813"/>
      <c r="J37" s="813"/>
      <c r="K37" s="813"/>
      <c r="L37" s="813"/>
      <c r="M37" s="813"/>
      <c r="N37" s="813"/>
      <c r="O37" s="813"/>
      <c r="P37" s="813"/>
    </row>
    <row r="38" spans="2:17" ht="15" x14ac:dyDescent="0.25">
      <c r="D38" s="813"/>
      <c r="E38" s="813"/>
      <c r="F38" s="813"/>
      <c r="G38" s="813"/>
      <c r="H38" s="813"/>
      <c r="I38" s="813"/>
      <c r="J38" s="813"/>
      <c r="K38" s="813"/>
      <c r="L38" s="813"/>
      <c r="M38" s="813"/>
      <c r="N38" s="813"/>
      <c r="O38" s="813"/>
      <c r="P38" s="813"/>
    </row>
    <row r="39" spans="2:17" ht="15" x14ac:dyDescent="0.2">
      <c r="D39" s="166"/>
      <c r="E39" s="167"/>
      <c r="F39" s="168"/>
      <c r="G39" s="166"/>
      <c r="H39" s="166"/>
      <c r="I39" s="169"/>
      <c r="J39" s="167"/>
      <c r="K39" s="169"/>
      <c r="L39" s="166"/>
      <c r="M39" s="166"/>
      <c r="N39" s="169"/>
      <c r="O39" s="170"/>
      <c r="P39" s="171"/>
    </row>
    <row r="40" spans="2:17" ht="15" x14ac:dyDescent="0.25">
      <c r="D40" s="172"/>
      <c r="E40" s="172"/>
      <c r="F40" s="172"/>
      <c r="G40" s="172"/>
      <c r="H40" s="172"/>
      <c r="I40" s="172"/>
      <c r="J40" s="172"/>
      <c r="K40" s="172"/>
      <c r="L40" s="172"/>
      <c r="M40" s="172"/>
      <c r="N40" s="172"/>
      <c r="O40" s="172"/>
      <c r="P40" s="172"/>
    </row>
    <row r="65" spans="7:7" x14ac:dyDescent="0.2">
      <c r="G65" s="7">
        <f>H65+I65</f>
        <v>0</v>
      </c>
    </row>
    <row r="67" spans="7:7" x14ac:dyDescent="0.2">
      <c r="G67" s="7">
        <f t="shared" ref="G67:G85" si="19">H67+I67</f>
        <v>0</v>
      </c>
    </row>
    <row r="68" spans="7:7" x14ac:dyDescent="0.2">
      <c r="G68" s="7">
        <f t="shared" si="19"/>
        <v>0</v>
      </c>
    </row>
    <row r="69" spans="7:7" x14ac:dyDescent="0.2">
      <c r="G69" s="7">
        <f t="shared" si="19"/>
        <v>0</v>
      </c>
    </row>
    <row r="70" spans="7:7" x14ac:dyDescent="0.2">
      <c r="G70" s="7">
        <f t="shared" si="19"/>
        <v>0</v>
      </c>
    </row>
    <row r="71" spans="7:7" x14ac:dyDescent="0.2">
      <c r="G71" s="7">
        <f t="shared" si="19"/>
        <v>0</v>
      </c>
    </row>
    <row r="72" spans="7:7" x14ac:dyDescent="0.2">
      <c r="G72" s="7">
        <f t="shared" si="19"/>
        <v>0</v>
      </c>
    </row>
    <row r="73" spans="7:7" x14ac:dyDescent="0.2">
      <c r="G73" s="7">
        <f t="shared" si="19"/>
        <v>0</v>
      </c>
    </row>
    <row r="74" spans="7:7" x14ac:dyDescent="0.2">
      <c r="G74" s="7">
        <f t="shared" si="19"/>
        <v>0</v>
      </c>
    </row>
    <row r="75" spans="7:7" x14ac:dyDescent="0.2">
      <c r="G75" s="7">
        <f t="shared" si="19"/>
        <v>0</v>
      </c>
    </row>
    <row r="76" spans="7:7" x14ac:dyDescent="0.2">
      <c r="G76" s="7">
        <f t="shared" si="19"/>
        <v>0</v>
      </c>
    </row>
    <row r="77" spans="7:7" x14ac:dyDescent="0.2">
      <c r="G77" s="7">
        <f t="shared" si="19"/>
        <v>0</v>
      </c>
    </row>
    <row r="78" spans="7:7" x14ac:dyDescent="0.2">
      <c r="G78" s="7">
        <f t="shared" si="19"/>
        <v>0</v>
      </c>
    </row>
    <row r="79" spans="7:7" x14ac:dyDescent="0.2">
      <c r="G79" s="7">
        <f t="shared" si="19"/>
        <v>0</v>
      </c>
    </row>
    <row r="80" spans="7:7" x14ac:dyDescent="0.2">
      <c r="G80" s="7">
        <f t="shared" si="19"/>
        <v>0</v>
      </c>
    </row>
    <row r="81" spans="7:7" x14ac:dyDescent="0.2">
      <c r="G81" s="7">
        <f t="shared" si="19"/>
        <v>0</v>
      </c>
    </row>
    <row r="82" spans="7:7" x14ac:dyDescent="0.2">
      <c r="G82" s="7">
        <f t="shared" si="19"/>
        <v>0</v>
      </c>
    </row>
    <row r="83" spans="7:7" x14ac:dyDescent="0.2">
      <c r="G83" s="7">
        <f t="shared" si="19"/>
        <v>0</v>
      </c>
    </row>
    <row r="84" spans="7:7" x14ac:dyDescent="0.2">
      <c r="G84" s="7">
        <f t="shared" si="19"/>
        <v>0</v>
      </c>
    </row>
    <row r="85" spans="7:7" x14ac:dyDescent="0.2">
      <c r="G85" s="7">
        <f t="shared" si="19"/>
        <v>0</v>
      </c>
    </row>
    <row r="87" spans="7:7" x14ac:dyDescent="0.2">
      <c r="G87" s="7">
        <f>H87+I87</f>
        <v>0</v>
      </c>
    </row>
    <row r="88" spans="7:7" x14ac:dyDescent="0.2">
      <c r="G88" s="7">
        <f>H88+I88</f>
        <v>0</v>
      </c>
    </row>
    <row r="89" spans="7:7" x14ac:dyDescent="0.2">
      <c r="G89" s="7">
        <f>H89+I89</f>
        <v>0</v>
      </c>
    </row>
    <row r="90" spans="7:7" x14ac:dyDescent="0.2">
      <c r="G90" s="7">
        <f>H90+I90</f>
        <v>0</v>
      </c>
    </row>
    <row r="92" spans="7:7" x14ac:dyDescent="0.2">
      <c r="G92" s="7">
        <f>H92+I92</f>
        <v>0</v>
      </c>
    </row>
    <row r="95" spans="7:7" x14ac:dyDescent="0.2">
      <c r="G95" s="822"/>
    </row>
    <row r="96" spans="7:7" x14ac:dyDescent="0.2">
      <c r="G96" s="725"/>
    </row>
    <row r="132" spans="7:7" x14ac:dyDescent="0.2">
      <c r="G132" s="7">
        <f>H132+I132</f>
        <v>0</v>
      </c>
    </row>
    <row r="134" spans="7:7" x14ac:dyDescent="0.2">
      <c r="G134" s="7">
        <f t="shared" ref="G134:G144" si="20">H134+I134</f>
        <v>0</v>
      </c>
    </row>
    <row r="135" spans="7:7" x14ac:dyDescent="0.2">
      <c r="G135" s="7">
        <f t="shared" si="20"/>
        <v>0</v>
      </c>
    </row>
    <row r="136" spans="7:7" x14ac:dyDescent="0.2">
      <c r="G136" s="7">
        <f t="shared" si="20"/>
        <v>0</v>
      </c>
    </row>
    <row r="137" spans="7:7" x14ac:dyDescent="0.2">
      <c r="G137" s="7">
        <f t="shared" si="20"/>
        <v>0</v>
      </c>
    </row>
    <row r="138" spans="7:7" x14ac:dyDescent="0.2">
      <c r="G138" s="7">
        <f t="shared" si="20"/>
        <v>0</v>
      </c>
    </row>
    <row r="139" spans="7:7" x14ac:dyDescent="0.2">
      <c r="G139" s="7">
        <f t="shared" si="20"/>
        <v>0</v>
      </c>
    </row>
    <row r="140" spans="7:7" x14ac:dyDescent="0.2">
      <c r="G140" s="7">
        <f t="shared" si="20"/>
        <v>0</v>
      </c>
    </row>
    <row r="141" spans="7:7" x14ac:dyDescent="0.2">
      <c r="G141" s="7">
        <f t="shared" si="20"/>
        <v>0</v>
      </c>
    </row>
    <row r="142" spans="7:7" x14ac:dyDescent="0.2">
      <c r="G142" s="7">
        <f t="shared" si="20"/>
        <v>0</v>
      </c>
    </row>
    <row r="143" spans="7:7" x14ac:dyDescent="0.2">
      <c r="G143" s="7">
        <f t="shared" si="20"/>
        <v>0</v>
      </c>
    </row>
    <row r="144" spans="7:7" x14ac:dyDescent="0.2">
      <c r="G144" s="7">
        <f t="shared" si="20"/>
        <v>0</v>
      </c>
    </row>
    <row r="146" spans="7:10" x14ac:dyDescent="0.2">
      <c r="G146" s="7">
        <f>H147+I147</f>
        <v>0</v>
      </c>
    </row>
    <row r="147" spans="7:10" x14ac:dyDescent="0.2">
      <c r="G147" s="7">
        <f t="shared" ref="G147" si="21">H147+I147</f>
        <v>0</v>
      </c>
    </row>
    <row r="148" spans="7:10" x14ac:dyDescent="0.2">
      <c r="G148" s="7">
        <f>H148+I148</f>
        <v>0</v>
      </c>
    </row>
    <row r="149" spans="7:10" x14ac:dyDescent="0.2">
      <c r="G149" s="7">
        <f>H149+I149</f>
        <v>0</v>
      </c>
    </row>
    <row r="150" spans="7:10" x14ac:dyDescent="0.2">
      <c r="G150" s="7">
        <f>H150+I150</f>
        <v>0</v>
      </c>
    </row>
    <row r="151" spans="7:10" x14ac:dyDescent="0.2">
      <c r="G151" s="7">
        <f>H151+I151</f>
        <v>0</v>
      </c>
    </row>
    <row r="156" spans="7:10" ht="46.5" x14ac:dyDescent="0.65">
      <c r="J156" s="173"/>
    </row>
    <row r="159" spans="7:10" ht="46.5" x14ac:dyDescent="0.65">
      <c r="G159" s="173">
        <f>H159+I159</f>
        <v>0</v>
      </c>
      <c r="J159" s="173"/>
    </row>
    <row r="178" spans="11:11" ht="90" x14ac:dyDescent="1.1499999999999999">
      <c r="K178" s="174" t="b">
        <f>G178=H178+I178</f>
        <v>1</v>
      </c>
    </row>
  </sheetData>
  <mergeCells count="29">
    <mergeCell ref="B3:C3"/>
    <mergeCell ref="B5:C5"/>
    <mergeCell ref="B6:C6"/>
    <mergeCell ref="G95:G96"/>
    <mergeCell ref="B8:B10"/>
    <mergeCell ref="C8:C10"/>
    <mergeCell ref="D8:D10"/>
    <mergeCell ref="E8:E10"/>
    <mergeCell ref="F8:I8"/>
    <mergeCell ref="F9:F10"/>
    <mergeCell ref="I9:I10"/>
    <mergeCell ref="E4:M4"/>
    <mergeCell ref="D35:E35"/>
    <mergeCell ref="D33:E33"/>
    <mergeCell ref="O9:P9"/>
    <mergeCell ref="D38:P38"/>
    <mergeCell ref="D37:P37"/>
    <mergeCell ref="M2:Q2"/>
    <mergeCell ref="E3:M3"/>
    <mergeCell ref="J8:M8"/>
    <mergeCell ref="N8:Q8"/>
    <mergeCell ref="Q9:Q10"/>
    <mergeCell ref="M9:M10"/>
    <mergeCell ref="N9:N10"/>
    <mergeCell ref="J9:J10"/>
    <mergeCell ref="D36:P36"/>
    <mergeCell ref="G9:H9"/>
    <mergeCell ref="K9:L9"/>
    <mergeCell ref="D31:E31"/>
  </mergeCells>
  <printOptions horizontalCentered="1"/>
  <pageMargins left="0.19685039370078741" right="0" top="0.59055118110236227" bottom="0.39370078740157483" header="0.31496062992125984" footer="0.31496062992125984"/>
  <pageSetup paperSize="9" scale="53" fitToHeight="0" orientation="landscape" verticalDpi="30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7"/>
  <sheetViews>
    <sheetView view="pageBreakPreview" topLeftCell="A82" zoomScale="40" zoomScaleNormal="25" zoomScaleSheetLayoutView="40" zoomScalePageLayoutView="10" workbookViewId="0">
      <selection activeCell="F126" sqref="F126"/>
    </sheetView>
  </sheetViews>
  <sheetFormatPr defaultColWidth="9.140625" defaultRowHeight="12.75" x14ac:dyDescent="0.2"/>
  <cols>
    <col min="1" max="1" width="62.28515625" style="187" customWidth="1"/>
    <col min="2" max="2" width="49.140625" style="187" customWidth="1"/>
    <col min="3" max="3" width="186.5703125" style="187" customWidth="1"/>
    <col min="4" max="4" width="69.7109375" style="187" customWidth="1"/>
    <col min="5" max="5" width="45.85546875" style="177" customWidth="1"/>
    <col min="6" max="6" width="26.5703125" style="177" bestFit="1" customWidth="1"/>
    <col min="7" max="16384" width="9.140625" style="177"/>
  </cols>
  <sheetData>
    <row r="1" spans="1:15" ht="48.75" customHeight="1" x14ac:dyDescent="0.35">
      <c r="A1" s="73"/>
      <c r="B1" s="408"/>
      <c r="C1" s="408"/>
      <c r="D1" s="409" t="s">
        <v>564</v>
      </c>
      <c r="E1" s="176"/>
      <c r="F1" s="176"/>
      <c r="G1" s="176"/>
      <c r="H1" s="176"/>
    </row>
    <row r="2" spans="1:15" ht="84.75" customHeight="1" x14ac:dyDescent="0.35">
      <c r="A2" s="74"/>
      <c r="B2" s="408"/>
      <c r="C2" s="408"/>
      <c r="D2" s="410" t="s">
        <v>1715</v>
      </c>
      <c r="E2" s="176"/>
      <c r="F2" s="176"/>
      <c r="G2" s="176"/>
      <c r="H2" s="176"/>
    </row>
    <row r="3" spans="1:15" ht="40.700000000000003" customHeight="1" x14ac:dyDescent="0.2">
      <c r="A3" s="74"/>
      <c r="B3" s="74"/>
      <c r="C3" s="74"/>
      <c r="D3" s="75"/>
      <c r="N3" s="867"/>
      <c r="O3" s="867"/>
    </row>
    <row r="4" spans="1:15" ht="45.75" hidden="1" x14ac:dyDescent="0.2">
      <c r="A4" s="74"/>
      <c r="B4" s="74"/>
      <c r="C4" s="74"/>
      <c r="D4" s="75"/>
      <c r="N4" s="867"/>
      <c r="O4" s="868"/>
    </row>
    <row r="5" spans="1:15" ht="45.75" x14ac:dyDescent="0.2">
      <c r="A5" s="785" t="s">
        <v>1478</v>
      </c>
      <c r="B5" s="785"/>
      <c r="C5" s="785"/>
      <c r="D5" s="785"/>
      <c r="N5" s="867"/>
      <c r="O5" s="868"/>
    </row>
    <row r="6" spans="1:15" ht="45.75" x14ac:dyDescent="0.65">
      <c r="A6" s="786">
        <v>2256400000</v>
      </c>
      <c r="B6" s="729"/>
      <c r="C6" s="729"/>
      <c r="D6" s="729"/>
    </row>
    <row r="7" spans="1:15" ht="45.75" x14ac:dyDescent="0.2">
      <c r="A7" s="791" t="s">
        <v>474</v>
      </c>
      <c r="B7" s="729"/>
      <c r="C7" s="729"/>
      <c r="D7" s="729"/>
    </row>
    <row r="8" spans="1:15" ht="45.75" x14ac:dyDescent="0.2">
      <c r="A8" s="387"/>
      <c r="B8" s="377"/>
      <c r="C8" s="377"/>
      <c r="D8" s="377"/>
    </row>
    <row r="9" spans="1:15" ht="53.45" customHeight="1" x14ac:dyDescent="0.2">
      <c r="A9" s="842" t="s">
        <v>1024</v>
      </c>
      <c r="B9" s="727"/>
      <c r="C9" s="727"/>
      <c r="D9" s="727"/>
    </row>
    <row r="10" spans="1:15" ht="53.45" customHeight="1" thickBot="1" x14ac:dyDescent="0.25">
      <c r="A10" s="75"/>
      <c r="B10" s="75"/>
      <c r="C10" s="75"/>
      <c r="D10" s="388" t="s">
        <v>394</v>
      </c>
    </row>
    <row r="11" spans="1:15" ht="140.25" customHeight="1" thickTop="1" thickBot="1" x14ac:dyDescent="0.25">
      <c r="A11" s="389" t="s">
        <v>569</v>
      </c>
      <c r="B11" s="853" t="s">
        <v>568</v>
      </c>
      <c r="C11" s="854"/>
      <c r="D11" s="389" t="s">
        <v>373</v>
      </c>
    </row>
    <row r="12" spans="1:15" s="178" customFormat="1" ht="47.25" thickTop="1" thickBot="1" x14ac:dyDescent="0.25">
      <c r="A12" s="94" t="s">
        <v>2</v>
      </c>
      <c r="B12" s="855" t="s">
        <v>3</v>
      </c>
      <c r="C12" s="856"/>
      <c r="D12" s="94" t="s">
        <v>14</v>
      </c>
    </row>
    <row r="13" spans="1:15" s="178" customFormat="1" ht="70.5" customHeight="1" thickTop="1" thickBot="1" x14ac:dyDescent="0.25">
      <c r="A13" s="831" t="s">
        <v>570</v>
      </c>
      <c r="B13" s="832"/>
      <c r="C13" s="832"/>
      <c r="D13" s="833"/>
    </row>
    <row r="14" spans="1:15" s="178" customFormat="1" ht="70.5" customHeight="1" thickTop="1" thickBot="1" x14ac:dyDescent="0.25">
      <c r="A14" s="239" t="s">
        <v>1166</v>
      </c>
      <c r="B14" s="857" t="s">
        <v>1165</v>
      </c>
      <c r="C14" s="858"/>
      <c r="D14" s="668">
        <f>SUM(D15)</f>
        <v>17727100</v>
      </c>
    </row>
    <row r="15" spans="1:15" s="178" customFormat="1" ht="88.5" customHeight="1" thickTop="1" thickBot="1" x14ac:dyDescent="0.25">
      <c r="A15" s="94">
        <v>41021400</v>
      </c>
      <c r="B15" s="828" t="s">
        <v>1167</v>
      </c>
      <c r="C15" s="829"/>
      <c r="D15" s="667">
        <v>17727100</v>
      </c>
    </row>
    <row r="16" spans="1:15" s="178" customFormat="1" ht="47.25" thickTop="1" thickBot="1" x14ac:dyDescent="0.25">
      <c r="A16" s="94" t="s">
        <v>1146</v>
      </c>
      <c r="B16" s="828" t="s">
        <v>550</v>
      </c>
      <c r="C16" s="829"/>
      <c r="D16" s="411">
        <f>D15</f>
        <v>17727100</v>
      </c>
    </row>
    <row r="17" spans="1:4" s="178" customFormat="1" ht="86.25" customHeight="1" thickTop="1" thickBot="1" x14ac:dyDescent="0.25">
      <c r="A17" s="239" t="s">
        <v>580</v>
      </c>
      <c r="B17" s="857" t="s">
        <v>427</v>
      </c>
      <c r="C17" s="871"/>
      <c r="D17" s="668">
        <f>SUM(D18:D29)</f>
        <v>887881500</v>
      </c>
    </row>
    <row r="18" spans="1:4" s="178" customFormat="1" ht="133.5" customHeight="1" thickTop="1" thickBot="1" x14ac:dyDescent="0.25">
      <c r="A18" s="94">
        <v>41031100</v>
      </c>
      <c r="B18" s="828" t="s">
        <v>1706</v>
      </c>
      <c r="C18" s="829"/>
      <c r="D18" s="667">
        <v>58944400</v>
      </c>
    </row>
    <row r="19" spans="1:4" s="178" customFormat="1" ht="47.25" hidden="1" thickTop="1" thickBot="1" x14ac:dyDescent="0.25">
      <c r="A19" s="119" t="s">
        <v>921</v>
      </c>
      <c r="B19" s="840" t="s">
        <v>920</v>
      </c>
      <c r="C19" s="841"/>
      <c r="D19" s="294">
        <v>0</v>
      </c>
    </row>
    <row r="20" spans="1:4" s="178" customFormat="1" ht="47.25" hidden="1" thickTop="1" thickBot="1" x14ac:dyDescent="0.25">
      <c r="A20" s="119">
        <v>41033300</v>
      </c>
      <c r="B20" s="840" t="s">
        <v>1348</v>
      </c>
      <c r="C20" s="841"/>
      <c r="D20" s="294">
        <v>0</v>
      </c>
    </row>
    <row r="21" spans="1:4" s="178" customFormat="1" ht="47.25" hidden="1" thickTop="1" thickBot="1" x14ac:dyDescent="0.25">
      <c r="A21" s="119" t="s">
        <v>999</v>
      </c>
      <c r="B21" s="840" t="s">
        <v>965</v>
      </c>
      <c r="C21" s="841"/>
      <c r="D21" s="294">
        <v>0</v>
      </c>
    </row>
    <row r="22" spans="1:4" s="178" customFormat="1" ht="69.75" customHeight="1" thickTop="1" thickBot="1" x14ac:dyDescent="0.25">
      <c r="A22" s="94" t="s">
        <v>579</v>
      </c>
      <c r="B22" s="828" t="s">
        <v>1707</v>
      </c>
      <c r="C22" s="829"/>
      <c r="D22" s="411">
        <v>737961300</v>
      </c>
    </row>
    <row r="23" spans="1:4" s="178" customFormat="1" ht="47.25" hidden="1" thickTop="1" thickBot="1" x14ac:dyDescent="0.25">
      <c r="A23" s="119" t="s">
        <v>997</v>
      </c>
      <c r="B23" s="840" t="s">
        <v>966</v>
      </c>
      <c r="C23" s="849"/>
      <c r="D23" s="179">
        <v>0</v>
      </c>
    </row>
    <row r="24" spans="1:4" s="178" customFormat="1" ht="106.5" customHeight="1" thickTop="1" thickBot="1" x14ac:dyDescent="0.25">
      <c r="A24" s="94">
        <v>41035400</v>
      </c>
      <c r="B24" s="828" t="s">
        <v>1395</v>
      </c>
      <c r="C24" s="829"/>
      <c r="D24" s="411">
        <v>5194600</v>
      </c>
    </row>
    <row r="25" spans="1:4" s="178" customFormat="1" ht="47.25" hidden="1" thickTop="1" thickBot="1" x14ac:dyDescent="0.25">
      <c r="A25" s="119" t="s">
        <v>923</v>
      </c>
      <c r="B25" s="840" t="s">
        <v>922</v>
      </c>
      <c r="C25" s="841"/>
      <c r="D25" s="179">
        <v>0</v>
      </c>
    </row>
    <row r="26" spans="1:4" s="178" customFormat="1" ht="47.25" hidden="1" thickTop="1" thickBot="1" x14ac:dyDescent="0.25">
      <c r="A26" s="119" t="s">
        <v>930</v>
      </c>
      <c r="B26" s="840" t="s">
        <v>931</v>
      </c>
      <c r="C26" s="841"/>
      <c r="D26" s="179">
        <v>0</v>
      </c>
    </row>
    <row r="27" spans="1:4" s="178" customFormat="1" ht="150.75" customHeight="1" thickTop="1" thickBot="1" x14ac:dyDescent="0.25">
      <c r="A27" s="94">
        <v>41036000</v>
      </c>
      <c r="B27" s="828" t="s">
        <v>1708</v>
      </c>
      <c r="C27" s="829"/>
      <c r="D27" s="411">
        <f>5345900+699000</f>
        <v>6044900</v>
      </c>
    </row>
    <row r="28" spans="1:4" s="178" customFormat="1" ht="154.5" customHeight="1" thickTop="1" thickBot="1" x14ac:dyDescent="0.25">
      <c r="A28" s="94" t="s">
        <v>1397</v>
      </c>
      <c r="B28" s="828" t="s">
        <v>1396</v>
      </c>
      <c r="C28" s="829"/>
      <c r="D28" s="411">
        <v>79736300</v>
      </c>
    </row>
    <row r="29" spans="1:4" s="178" customFormat="1" ht="47.25" hidden="1" thickTop="1" thickBot="1" x14ac:dyDescent="0.25">
      <c r="A29" s="119" t="s">
        <v>914</v>
      </c>
      <c r="B29" s="840" t="s">
        <v>913</v>
      </c>
      <c r="C29" s="841"/>
      <c r="D29" s="179">
        <v>0</v>
      </c>
    </row>
    <row r="30" spans="1:4" s="178" customFormat="1" ht="64.5" customHeight="1" thickTop="1" thickBot="1" x14ac:dyDescent="0.25">
      <c r="A30" s="94" t="s">
        <v>1146</v>
      </c>
      <c r="B30" s="828" t="s">
        <v>550</v>
      </c>
      <c r="C30" s="829"/>
      <c r="D30" s="411">
        <f>D17</f>
        <v>887881500</v>
      </c>
    </row>
    <row r="31" spans="1:4" s="178" customFormat="1" ht="72.75" customHeight="1" thickTop="1" thickBot="1" x14ac:dyDescent="0.25">
      <c r="A31" s="239" t="s">
        <v>583</v>
      </c>
      <c r="B31" s="857" t="s">
        <v>335</v>
      </c>
      <c r="C31" s="858"/>
      <c r="D31" s="668">
        <f>SUM(D32:D33)</f>
        <v>4249200</v>
      </c>
    </row>
    <row r="32" spans="1:4" s="178" customFormat="1" ht="180.75" customHeight="1" thickTop="1" thickBot="1" x14ac:dyDescent="0.25">
      <c r="A32" s="94" t="s">
        <v>584</v>
      </c>
      <c r="B32" s="828" t="s">
        <v>592</v>
      </c>
      <c r="C32" s="829"/>
      <c r="D32" s="667">
        <v>4249200</v>
      </c>
    </row>
    <row r="33" spans="1:6" s="178" customFormat="1" ht="47.25" hidden="1" thickTop="1" thickBot="1" x14ac:dyDescent="0.25">
      <c r="A33" s="119" t="s">
        <v>1097</v>
      </c>
      <c r="B33" s="840" t="s">
        <v>1096</v>
      </c>
      <c r="C33" s="841"/>
      <c r="D33" s="294"/>
    </row>
    <row r="34" spans="1:6" s="178" customFormat="1" ht="87" customHeight="1" thickTop="1" thickBot="1" x14ac:dyDescent="0.25">
      <c r="A34" s="94" t="s">
        <v>1150</v>
      </c>
      <c r="B34" s="828" t="s">
        <v>582</v>
      </c>
      <c r="C34" s="829"/>
      <c r="D34" s="411">
        <f>SUM(D32:D33)</f>
        <v>4249200</v>
      </c>
    </row>
    <row r="35" spans="1:6" s="178" customFormat="1" ht="63.75" customHeight="1" thickTop="1" thickBot="1" x14ac:dyDescent="0.25">
      <c r="A35" s="239" t="s">
        <v>585</v>
      </c>
      <c r="B35" s="857" t="s">
        <v>586</v>
      </c>
      <c r="C35" s="858"/>
      <c r="D35" s="668">
        <f>D59+D61</f>
        <v>18980200</v>
      </c>
      <c r="E35" s="615" t="b">
        <f>D35=D59+D61</f>
        <v>1</v>
      </c>
      <c r="F35" s="615" t="b">
        <f>D35='d1'!D133</f>
        <v>1</v>
      </c>
    </row>
    <row r="36" spans="1:6" s="178" customFormat="1" ht="47.25" hidden="1" thickTop="1" thickBot="1" x14ac:dyDescent="0.25">
      <c r="A36" s="119">
        <v>41050100</v>
      </c>
      <c r="B36" s="840" t="s">
        <v>1457</v>
      </c>
      <c r="C36" s="841"/>
      <c r="D36" s="179"/>
      <c r="E36" s="365"/>
      <c r="F36" s="365"/>
    </row>
    <row r="37" spans="1:6" s="178" customFormat="1" ht="35.25" hidden="1" thickTop="1" x14ac:dyDescent="0.2">
      <c r="A37" s="768" t="s">
        <v>1437</v>
      </c>
      <c r="B37" s="865" t="s">
        <v>1438</v>
      </c>
      <c r="C37" s="866"/>
      <c r="D37" s="859"/>
      <c r="E37" s="365"/>
      <c r="F37" s="365"/>
    </row>
    <row r="38" spans="1:6" s="178" customFormat="1" ht="35.25" hidden="1" thickBot="1" x14ac:dyDescent="0.25">
      <c r="A38" s="809"/>
      <c r="B38" s="869" t="s">
        <v>1439</v>
      </c>
      <c r="C38" s="870"/>
      <c r="D38" s="864"/>
      <c r="E38" s="365"/>
      <c r="F38" s="365"/>
    </row>
    <row r="39" spans="1:6" s="178" customFormat="1" ht="20.25" hidden="1" thickTop="1" x14ac:dyDescent="0.65">
      <c r="A39" s="768" t="s">
        <v>1000</v>
      </c>
      <c r="B39" s="860" t="s">
        <v>1230</v>
      </c>
      <c r="C39" s="861"/>
      <c r="D39" s="859">
        <v>0</v>
      </c>
    </row>
    <row r="40" spans="1:6" s="178" customFormat="1" ht="13.5" hidden="1" thickBot="1" x14ac:dyDescent="0.25">
      <c r="A40" s="765"/>
      <c r="B40" s="862" t="s">
        <v>1231</v>
      </c>
      <c r="C40" s="863"/>
      <c r="D40" s="765"/>
    </row>
    <row r="41" spans="1:6" s="178" customFormat="1" ht="20.25" hidden="1" thickTop="1" x14ac:dyDescent="0.65">
      <c r="A41" s="768" t="s">
        <v>998</v>
      </c>
      <c r="B41" s="860" t="s">
        <v>1232</v>
      </c>
      <c r="C41" s="861"/>
      <c r="D41" s="859">
        <v>0</v>
      </c>
    </row>
    <row r="42" spans="1:6" s="178" customFormat="1" ht="13.5" hidden="1" thickBot="1" x14ac:dyDescent="0.25">
      <c r="A42" s="765"/>
      <c r="B42" s="862" t="s">
        <v>1233</v>
      </c>
      <c r="C42" s="863"/>
      <c r="D42" s="765"/>
    </row>
    <row r="43" spans="1:6" s="178" customFormat="1" ht="20.25" hidden="1" thickTop="1" x14ac:dyDescent="0.65">
      <c r="A43" s="768">
        <v>41050600</v>
      </c>
      <c r="B43" s="860" t="s">
        <v>1234</v>
      </c>
      <c r="C43" s="861"/>
      <c r="D43" s="859">
        <v>0</v>
      </c>
    </row>
    <row r="44" spans="1:6" s="178" customFormat="1" ht="13.5" hidden="1" thickBot="1" x14ac:dyDescent="0.25">
      <c r="A44" s="765"/>
      <c r="B44" s="862" t="s">
        <v>1235</v>
      </c>
      <c r="C44" s="863"/>
      <c r="D44" s="765"/>
    </row>
    <row r="45" spans="1:6" s="178" customFormat="1" ht="47.25" hidden="1" thickTop="1" thickBot="1" x14ac:dyDescent="0.25">
      <c r="A45" s="119">
        <v>41050900</v>
      </c>
      <c r="B45" s="840" t="s">
        <v>1001</v>
      </c>
      <c r="C45" s="841"/>
      <c r="D45" s="179">
        <v>0</v>
      </c>
    </row>
    <row r="46" spans="1:6" s="178" customFormat="1" ht="135.75" customHeight="1" thickTop="1" thickBot="1" x14ac:dyDescent="0.25">
      <c r="A46" s="94" t="s">
        <v>587</v>
      </c>
      <c r="B46" s="828" t="s">
        <v>458</v>
      </c>
      <c r="C46" s="829"/>
      <c r="D46" s="411">
        <f>3564700+5962100</f>
        <v>9526800</v>
      </c>
    </row>
    <row r="47" spans="1:6" s="178" customFormat="1" ht="120.75" hidden="1" customHeight="1" thickTop="1" thickBot="1" x14ac:dyDescent="0.25">
      <c r="A47" s="119" t="s">
        <v>589</v>
      </c>
      <c r="B47" s="840" t="s">
        <v>1145</v>
      </c>
      <c r="C47" s="841"/>
      <c r="D47" s="294">
        <v>0</v>
      </c>
    </row>
    <row r="48" spans="1:6" s="178" customFormat="1" ht="47.25" hidden="1" thickTop="1" thickBot="1" x14ac:dyDescent="0.25">
      <c r="A48" s="119" t="s">
        <v>924</v>
      </c>
      <c r="B48" s="840" t="s">
        <v>1336</v>
      </c>
      <c r="C48" s="841"/>
      <c r="D48" s="294">
        <v>0</v>
      </c>
    </row>
    <row r="49" spans="1:5" s="178" customFormat="1" ht="47.25" hidden="1" thickTop="1" thickBot="1" x14ac:dyDescent="0.25">
      <c r="A49" s="119" t="s">
        <v>887</v>
      </c>
      <c r="B49" s="840" t="s">
        <v>888</v>
      </c>
      <c r="C49" s="841"/>
      <c r="D49" s="294">
        <v>0</v>
      </c>
    </row>
    <row r="50" spans="1:5" s="178" customFormat="1" ht="68.25" customHeight="1" thickTop="1" thickBot="1" x14ac:dyDescent="0.25">
      <c r="A50" s="94">
        <v>41053900</v>
      </c>
      <c r="B50" s="828" t="s">
        <v>354</v>
      </c>
      <c r="C50" s="829"/>
      <c r="D50" s="667">
        <f>1723647+171670</f>
        <v>1895317</v>
      </c>
    </row>
    <row r="51" spans="1:5" s="178" customFormat="1" ht="20.25" hidden="1" thickTop="1" x14ac:dyDescent="0.65">
      <c r="A51" s="768" t="s">
        <v>1002</v>
      </c>
      <c r="B51" s="860" t="s">
        <v>1003</v>
      </c>
      <c r="C51" s="861"/>
      <c r="D51" s="859">
        <v>0</v>
      </c>
    </row>
    <row r="52" spans="1:5" s="178" customFormat="1" ht="13.5" hidden="1" thickBot="1" x14ac:dyDescent="0.25">
      <c r="A52" s="765"/>
      <c r="B52" s="862" t="s">
        <v>1004</v>
      </c>
      <c r="C52" s="863"/>
      <c r="D52" s="765"/>
    </row>
    <row r="53" spans="1:5" s="178" customFormat="1" ht="47.25" hidden="1" thickTop="1" thickBot="1" x14ac:dyDescent="0.25">
      <c r="A53" s="119" t="s">
        <v>590</v>
      </c>
      <c r="B53" s="840" t="s">
        <v>593</v>
      </c>
      <c r="C53" s="841"/>
      <c r="D53" s="294">
        <v>0</v>
      </c>
    </row>
    <row r="54" spans="1:5" s="178" customFormat="1" ht="47.25" hidden="1" thickTop="1" thickBot="1" x14ac:dyDescent="0.25">
      <c r="A54" s="119" t="s">
        <v>949</v>
      </c>
      <c r="B54" s="840" t="s">
        <v>950</v>
      </c>
      <c r="C54" s="841"/>
      <c r="D54" s="179">
        <f>10623233.82-10623233.82</f>
        <v>0</v>
      </c>
    </row>
    <row r="55" spans="1:5" s="178" customFormat="1" ht="47.25" hidden="1" thickTop="1" thickBot="1" x14ac:dyDescent="0.25">
      <c r="A55" s="119">
        <v>41057700</v>
      </c>
      <c r="B55" s="840" t="s">
        <v>1191</v>
      </c>
      <c r="C55" s="841"/>
      <c r="D55" s="294"/>
    </row>
    <row r="56" spans="1:5" s="178" customFormat="1" ht="47.25" hidden="1" thickTop="1" thickBot="1" x14ac:dyDescent="0.25">
      <c r="A56" s="119">
        <v>41059000</v>
      </c>
      <c r="B56" s="840" t="s">
        <v>1214</v>
      </c>
      <c r="C56" s="841"/>
      <c r="D56" s="294">
        <v>0</v>
      </c>
    </row>
    <row r="57" spans="1:5" s="178" customFormat="1" ht="216" customHeight="1" thickTop="1" thickBot="1" x14ac:dyDescent="0.25">
      <c r="A57" s="94" t="s">
        <v>1416</v>
      </c>
      <c r="B57" s="828" t="s">
        <v>1415</v>
      </c>
      <c r="C57" s="829"/>
      <c r="D57" s="667">
        <f>7504512+53571</f>
        <v>7558083</v>
      </c>
    </row>
    <row r="58" spans="1:5" s="178" customFormat="1" ht="47.25" hidden="1" thickTop="1" thickBot="1" x14ac:dyDescent="0.25">
      <c r="A58" s="119" t="s">
        <v>1399</v>
      </c>
      <c r="B58" s="840" t="s">
        <v>1398</v>
      </c>
      <c r="C58" s="841"/>
      <c r="D58" s="294"/>
    </row>
    <row r="59" spans="1:5" s="178" customFormat="1" ht="81" customHeight="1" thickTop="1" thickBot="1" x14ac:dyDescent="0.55000000000000004">
      <c r="A59" s="94" t="s">
        <v>1150</v>
      </c>
      <c r="B59" s="828" t="s">
        <v>582</v>
      </c>
      <c r="C59" s="829"/>
      <c r="D59" s="411">
        <f>SUM(D36:D58)</f>
        <v>18980200</v>
      </c>
      <c r="E59" s="180"/>
    </row>
    <row r="60" spans="1:5" s="178" customFormat="1" ht="47.25" hidden="1" thickTop="1" thickBot="1" x14ac:dyDescent="0.25">
      <c r="A60" s="181" t="s">
        <v>1018</v>
      </c>
      <c r="B60" s="846" t="s">
        <v>1019</v>
      </c>
      <c r="C60" s="847"/>
      <c r="D60" s="295">
        <v>0</v>
      </c>
    </row>
    <row r="61" spans="1:5" s="178" customFormat="1" ht="47.25" hidden="1" thickTop="1" thickBot="1" x14ac:dyDescent="0.25">
      <c r="A61" s="181" t="s">
        <v>552</v>
      </c>
      <c r="B61" s="846" t="s">
        <v>553</v>
      </c>
      <c r="C61" s="847"/>
      <c r="D61" s="182">
        <f>D60</f>
        <v>0</v>
      </c>
    </row>
    <row r="62" spans="1:5" ht="69" customHeight="1" thickTop="1" thickBot="1" x14ac:dyDescent="0.25">
      <c r="A62" s="831" t="s">
        <v>571</v>
      </c>
      <c r="B62" s="832"/>
      <c r="C62" s="832"/>
      <c r="D62" s="833"/>
    </row>
    <row r="63" spans="1:5" ht="46.5" hidden="1" customHeight="1" thickTop="1" thickBot="1" x14ac:dyDescent="0.25">
      <c r="A63" s="116" t="s">
        <v>580</v>
      </c>
      <c r="B63" s="834" t="s">
        <v>427</v>
      </c>
      <c r="C63" s="848"/>
      <c r="D63" s="292">
        <f>SUM(D64:D65)</f>
        <v>0</v>
      </c>
    </row>
    <row r="64" spans="1:5" ht="47.25" hidden="1" thickTop="1" thickBot="1" x14ac:dyDescent="0.25">
      <c r="A64" s="119" t="s">
        <v>579</v>
      </c>
      <c r="B64" s="840" t="s">
        <v>591</v>
      </c>
      <c r="C64" s="841"/>
      <c r="D64" s="179"/>
    </row>
    <row r="65" spans="1:5" ht="47.25" hidden="1" thickTop="1" thickBot="1" x14ac:dyDescent="0.25">
      <c r="A65" s="317" t="s">
        <v>997</v>
      </c>
      <c r="B65" s="838" t="s">
        <v>966</v>
      </c>
      <c r="C65" s="839"/>
      <c r="D65" s="318">
        <v>0</v>
      </c>
    </row>
    <row r="66" spans="1:5" ht="47.25" hidden="1" customHeight="1" thickTop="1" thickBot="1" x14ac:dyDescent="0.25">
      <c r="A66" s="119" t="s">
        <v>1146</v>
      </c>
      <c r="B66" s="840" t="s">
        <v>550</v>
      </c>
      <c r="C66" s="849"/>
      <c r="D66" s="179">
        <f>D63</f>
        <v>0</v>
      </c>
    </row>
    <row r="67" spans="1:5" ht="46.5" hidden="1" thickTop="1" thickBot="1" x14ac:dyDescent="0.25">
      <c r="A67" s="116" t="s">
        <v>585</v>
      </c>
      <c r="B67" s="834" t="s">
        <v>586</v>
      </c>
      <c r="C67" s="835"/>
      <c r="D67" s="292">
        <f>D72+D74</f>
        <v>0</v>
      </c>
      <c r="E67" s="366" t="b">
        <f>D67=D68+D69+D73+D70+D71</f>
        <v>1</v>
      </c>
    </row>
    <row r="68" spans="1:5" ht="47.25" hidden="1" thickTop="1" thickBot="1" x14ac:dyDescent="0.25">
      <c r="A68" s="317" t="s">
        <v>889</v>
      </c>
      <c r="B68" s="838" t="s">
        <v>892</v>
      </c>
      <c r="C68" s="839"/>
      <c r="D68" s="318">
        <v>0</v>
      </c>
    </row>
    <row r="69" spans="1:5" ht="47.25" hidden="1" thickTop="1" thickBot="1" x14ac:dyDescent="0.25">
      <c r="A69" s="317">
        <v>41053900</v>
      </c>
      <c r="B69" s="838" t="s">
        <v>893</v>
      </c>
      <c r="C69" s="839"/>
      <c r="D69" s="318">
        <v>0</v>
      </c>
    </row>
    <row r="70" spans="1:5" ht="47.25" hidden="1" thickTop="1" thickBot="1" x14ac:dyDescent="0.25">
      <c r="A70" s="119" t="s">
        <v>587</v>
      </c>
      <c r="B70" s="840" t="s">
        <v>588</v>
      </c>
      <c r="C70" s="841"/>
      <c r="D70" s="294">
        <v>0</v>
      </c>
    </row>
    <row r="71" spans="1:5" ht="47.25" hidden="1" thickTop="1" thickBot="1" x14ac:dyDescent="0.25">
      <c r="A71" s="119" t="s">
        <v>1323</v>
      </c>
      <c r="B71" s="840" t="s">
        <v>1312</v>
      </c>
      <c r="C71" s="841"/>
      <c r="D71" s="294">
        <v>0</v>
      </c>
    </row>
    <row r="72" spans="1:5" ht="47.25" hidden="1" thickTop="1" thickBot="1" x14ac:dyDescent="0.25">
      <c r="A72" s="119" t="s">
        <v>1150</v>
      </c>
      <c r="B72" s="840" t="s">
        <v>582</v>
      </c>
      <c r="C72" s="841"/>
      <c r="D72" s="179">
        <f>SUM(D68:D71)</f>
        <v>0</v>
      </c>
    </row>
    <row r="73" spans="1:5" ht="47.25" hidden="1" thickTop="1" thickBot="1" x14ac:dyDescent="0.25">
      <c r="A73" s="317">
        <v>41053900</v>
      </c>
      <c r="B73" s="838" t="s">
        <v>1017</v>
      </c>
      <c r="C73" s="839"/>
      <c r="D73" s="318">
        <v>0</v>
      </c>
    </row>
    <row r="74" spans="1:5" ht="47.25" hidden="1" thickTop="1" thickBot="1" x14ac:dyDescent="0.25">
      <c r="A74" s="317" t="s">
        <v>552</v>
      </c>
      <c r="B74" s="838" t="s">
        <v>553</v>
      </c>
      <c r="C74" s="839"/>
      <c r="D74" s="319">
        <f>D73</f>
        <v>0</v>
      </c>
    </row>
    <row r="75" spans="1:5" ht="47.25" thickTop="1" thickBot="1" x14ac:dyDescent="0.25">
      <c r="A75" s="664" t="s">
        <v>371</v>
      </c>
      <c r="B75" s="836" t="s">
        <v>572</v>
      </c>
      <c r="C75" s="837"/>
      <c r="D75" s="666">
        <f>D76+D77</f>
        <v>928838000</v>
      </c>
      <c r="E75" s="593" t="b">
        <f>D75='d1'!C114</f>
        <v>1</v>
      </c>
    </row>
    <row r="76" spans="1:5" ht="47.25" thickTop="1" thickBot="1" x14ac:dyDescent="0.25">
      <c r="A76" s="94" t="s">
        <v>371</v>
      </c>
      <c r="B76" s="828" t="s">
        <v>376</v>
      </c>
      <c r="C76" s="829"/>
      <c r="D76" s="411">
        <f>D59+D30+D34+D61+D16</f>
        <v>928838000</v>
      </c>
      <c r="E76" s="593" t="b">
        <f>D76='d1'!D114</f>
        <v>1</v>
      </c>
    </row>
    <row r="77" spans="1:5" ht="47.25" thickTop="1" thickBot="1" x14ac:dyDescent="0.25">
      <c r="A77" s="94" t="s">
        <v>371</v>
      </c>
      <c r="B77" s="828" t="s">
        <v>377</v>
      </c>
      <c r="C77" s="829"/>
      <c r="D77" s="411">
        <f>D72+D66+D74</f>
        <v>0</v>
      </c>
      <c r="E77" s="593" t="b">
        <f>D77='d1'!E114</f>
        <v>1</v>
      </c>
    </row>
    <row r="78" spans="1:5" ht="31.7" customHeight="1" thickTop="1" x14ac:dyDescent="0.2">
      <c r="A78" s="157"/>
      <c r="B78" s="158"/>
      <c r="C78" s="158"/>
      <c r="D78" s="158"/>
    </row>
    <row r="79" spans="1:5" ht="31.7" customHeight="1" x14ac:dyDescent="0.2">
      <c r="A79" s="157"/>
      <c r="B79" s="158"/>
      <c r="C79" s="158"/>
      <c r="D79" s="158"/>
    </row>
    <row r="80" spans="1:5" ht="60" customHeight="1" x14ac:dyDescent="0.2">
      <c r="A80" s="842" t="s">
        <v>1025</v>
      </c>
      <c r="B80" s="727"/>
      <c r="C80" s="727"/>
      <c r="D80" s="727"/>
    </row>
    <row r="81" spans="1:6" ht="54" customHeight="1" thickBot="1" x14ac:dyDescent="0.25">
      <c r="A81" s="14"/>
      <c r="B81" s="15"/>
      <c r="C81" s="15"/>
      <c r="D81" s="388" t="s">
        <v>394</v>
      </c>
    </row>
    <row r="82" spans="1:6" ht="325.5" customHeight="1" thickTop="1" thickBot="1" x14ac:dyDescent="0.25">
      <c r="A82" s="389" t="s">
        <v>573</v>
      </c>
      <c r="B82" s="412" t="s">
        <v>476</v>
      </c>
      <c r="C82" s="389" t="s">
        <v>574</v>
      </c>
      <c r="D82" s="389" t="s">
        <v>373</v>
      </c>
    </row>
    <row r="83" spans="1:6" ht="50.25" customHeight="1" thickTop="1" thickBot="1" x14ac:dyDescent="0.25">
      <c r="A83" s="94" t="s">
        <v>2</v>
      </c>
      <c r="B83" s="94" t="s">
        <v>3</v>
      </c>
      <c r="C83" s="94" t="s">
        <v>14</v>
      </c>
      <c r="D83" s="94" t="s">
        <v>5</v>
      </c>
    </row>
    <row r="84" spans="1:6" ht="65.25" customHeight="1" thickTop="1" thickBot="1" x14ac:dyDescent="0.25">
      <c r="A84" s="831" t="s">
        <v>575</v>
      </c>
      <c r="B84" s="832"/>
      <c r="C84" s="832"/>
      <c r="D84" s="833"/>
    </row>
    <row r="85" spans="1:6" ht="165" customHeight="1" thickTop="1" thickBot="1" x14ac:dyDescent="0.55000000000000004">
      <c r="A85" s="94" t="s">
        <v>239</v>
      </c>
      <c r="B85" s="94" t="s">
        <v>240</v>
      </c>
      <c r="C85" s="94" t="s">
        <v>432</v>
      </c>
      <c r="D85" s="411">
        <f>SUM(D86:D87)</f>
        <v>1159800</v>
      </c>
      <c r="E85" s="592" t="b">
        <f>D85='d3'!E46</f>
        <v>1</v>
      </c>
      <c r="F85" s="180"/>
    </row>
    <row r="86" spans="1:6" ht="75.75" customHeight="1" thickTop="1" thickBot="1" x14ac:dyDescent="0.55000000000000004">
      <c r="A86" s="94" t="s">
        <v>1149</v>
      </c>
      <c r="B86" s="94"/>
      <c r="C86" s="413" t="s">
        <v>554</v>
      </c>
      <c r="D86" s="411">
        <v>660000</v>
      </c>
      <c r="E86" s="180"/>
      <c r="F86" s="180"/>
    </row>
    <row r="87" spans="1:6" ht="47.25" thickTop="1" thickBot="1" x14ac:dyDescent="0.55000000000000004">
      <c r="A87" s="94" t="s">
        <v>1148</v>
      </c>
      <c r="B87" s="94"/>
      <c r="C87" s="413" t="s">
        <v>555</v>
      </c>
      <c r="D87" s="411">
        <v>499800</v>
      </c>
      <c r="E87" s="180"/>
      <c r="F87" s="180"/>
    </row>
    <row r="88" spans="1:6" ht="47.25" thickTop="1" thickBot="1" x14ac:dyDescent="0.55000000000000004">
      <c r="A88" s="94" t="s">
        <v>551</v>
      </c>
      <c r="B88" s="94" t="s">
        <v>353</v>
      </c>
      <c r="C88" s="94" t="s">
        <v>354</v>
      </c>
      <c r="D88" s="411">
        <f>SUM(D89:D90)</f>
        <v>7000000</v>
      </c>
      <c r="E88" s="592" t="b">
        <f>D88='d3'!E47</f>
        <v>1</v>
      </c>
      <c r="F88" s="180"/>
    </row>
    <row r="89" spans="1:6" ht="47.25" thickTop="1" thickBot="1" x14ac:dyDescent="0.55000000000000004">
      <c r="A89" s="94" t="s">
        <v>1150</v>
      </c>
      <c r="B89" s="94"/>
      <c r="C89" s="413" t="s">
        <v>582</v>
      </c>
      <c r="D89" s="411">
        <v>7000000</v>
      </c>
      <c r="E89" s="704"/>
      <c r="F89" s="180"/>
    </row>
    <row r="90" spans="1:6" ht="47.25" hidden="1" thickTop="1" thickBot="1" x14ac:dyDescent="0.55000000000000004">
      <c r="A90" s="119" t="s">
        <v>1147</v>
      </c>
      <c r="B90" s="119"/>
      <c r="C90" s="296" t="s">
        <v>553</v>
      </c>
      <c r="D90" s="179"/>
      <c r="E90" s="180"/>
      <c r="F90" s="180"/>
    </row>
    <row r="91" spans="1:6" ht="47.25" thickTop="1" thickBot="1" x14ac:dyDescent="0.55000000000000004">
      <c r="A91" s="94" t="s">
        <v>492</v>
      </c>
      <c r="B91" s="94" t="s">
        <v>353</v>
      </c>
      <c r="C91" s="94" t="s">
        <v>354</v>
      </c>
      <c r="D91" s="411">
        <f>SUM(D92)</f>
        <v>500000</v>
      </c>
      <c r="E91" s="592" t="b">
        <f>D91='d3'!E150</f>
        <v>1</v>
      </c>
      <c r="F91" s="180"/>
    </row>
    <row r="92" spans="1:6" ht="47.25" thickTop="1" thickBot="1" x14ac:dyDescent="0.55000000000000004">
      <c r="A92" s="94" t="s">
        <v>1150</v>
      </c>
      <c r="B92" s="94"/>
      <c r="C92" s="413" t="s">
        <v>582</v>
      </c>
      <c r="D92" s="411">
        <v>500000</v>
      </c>
      <c r="E92" s="180"/>
      <c r="F92" s="180"/>
    </row>
    <row r="93" spans="1:6" ht="47.25" thickTop="1" thickBot="1" x14ac:dyDescent="0.55000000000000004">
      <c r="A93" s="94" t="s">
        <v>1022</v>
      </c>
      <c r="B93" s="94" t="s">
        <v>353</v>
      </c>
      <c r="C93" s="413" t="s">
        <v>354</v>
      </c>
      <c r="D93" s="411">
        <f>D94</f>
        <v>215280</v>
      </c>
      <c r="E93" s="592" t="b">
        <f>D93='d3'!E271</f>
        <v>1</v>
      </c>
      <c r="F93" s="180"/>
    </row>
    <row r="94" spans="1:6" ht="47.25" thickTop="1" thickBot="1" x14ac:dyDescent="0.55000000000000004">
      <c r="A94" s="94" t="s">
        <v>1150</v>
      </c>
      <c r="B94" s="94"/>
      <c r="C94" s="413" t="s">
        <v>582</v>
      </c>
      <c r="D94" s="411">
        <v>215280</v>
      </c>
      <c r="E94" s="180"/>
      <c r="F94" s="180"/>
    </row>
    <row r="95" spans="1:6" ht="47.25" thickTop="1" thickBot="1" x14ac:dyDescent="0.55000000000000004">
      <c r="A95" s="94" t="s">
        <v>1273</v>
      </c>
      <c r="B95" s="94" t="s">
        <v>353</v>
      </c>
      <c r="C95" s="94" t="s">
        <v>354</v>
      </c>
      <c r="D95" s="411">
        <f>D96</f>
        <v>5000000</v>
      </c>
      <c r="E95" s="592" t="b">
        <f>D95='d3'!E337</f>
        <v>1</v>
      </c>
      <c r="F95" s="180"/>
    </row>
    <row r="96" spans="1:6" ht="81" customHeight="1" thickTop="1" thickBot="1" x14ac:dyDescent="0.55000000000000004">
      <c r="A96" s="94" t="s">
        <v>1150</v>
      </c>
      <c r="B96" s="94"/>
      <c r="C96" s="413" t="s">
        <v>582</v>
      </c>
      <c r="D96" s="411">
        <f>((500000)+1500000)+3000000</f>
        <v>5000000</v>
      </c>
      <c r="E96" s="180"/>
      <c r="F96" s="180"/>
    </row>
    <row r="97" spans="1:6" ht="138.75" thickTop="1" thickBot="1" x14ac:dyDescent="0.55000000000000004">
      <c r="A97" s="94" t="s">
        <v>496</v>
      </c>
      <c r="B97" s="94" t="s">
        <v>497</v>
      </c>
      <c r="C97" s="94" t="s">
        <v>498</v>
      </c>
      <c r="D97" s="411">
        <f>((75552921.72+47447078.28)+50575444.48+126000+1900000-600000)+57013000</f>
        <v>232014444.47999999</v>
      </c>
      <c r="E97" s="593" t="b">
        <f>D97='d3'!E48</f>
        <v>1</v>
      </c>
      <c r="F97" s="180"/>
    </row>
    <row r="98" spans="1:6" ht="138.75" thickTop="1" thickBot="1" x14ac:dyDescent="0.55000000000000004">
      <c r="A98" s="94" t="s">
        <v>1805</v>
      </c>
      <c r="B98" s="94" t="s">
        <v>497</v>
      </c>
      <c r="C98" s="94" t="s">
        <v>498</v>
      </c>
      <c r="D98" s="411">
        <v>100000</v>
      </c>
      <c r="E98" s="593" t="b">
        <f>D98='d3'!E338</f>
        <v>1</v>
      </c>
      <c r="F98" s="180"/>
    </row>
    <row r="99" spans="1:6" ht="138.75" thickTop="1" thickBot="1" x14ac:dyDescent="0.55000000000000004">
      <c r="A99" s="94" t="s">
        <v>1163</v>
      </c>
      <c r="B99" s="94" t="s">
        <v>497</v>
      </c>
      <c r="C99" s="94" t="s">
        <v>498</v>
      </c>
      <c r="D99" s="411">
        <v>370000</v>
      </c>
      <c r="E99" s="593" t="b">
        <f>D99='d3'!E409</f>
        <v>1</v>
      </c>
      <c r="F99" s="180"/>
    </row>
    <row r="100" spans="1:6" ht="138.75" thickTop="1" thickBot="1" x14ac:dyDescent="0.55000000000000004">
      <c r="A100" s="94" t="s">
        <v>1121</v>
      </c>
      <c r="B100" s="94" t="s">
        <v>497</v>
      </c>
      <c r="C100" s="94" t="s">
        <v>498</v>
      </c>
      <c r="D100" s="411">
        <v>500000</v>
      </c>
      <c r="E100" s="593" t="b">
        <f>D100='d3'!E441</f>
        <v>1</v>
      </c>
      <c r="F100" s="180"/>
    </row>
    <row r="101" spans="1:6" ht="69.75" customHeight="1" thickTop="1" thickBot="1" x14ac:dyDescent="0.55000000000000004">
      <c r="A101" s="94" t="s">
        <v>1146</v>
      </c>
      <c r="B101" s="94"/>
      <c r="C101" s="413" t="s">
        <v>550</v>
      </c>
      <c r="D101" s="411">
        <f>SUM(D97:D100)</f>
        <v>232984444.47999999</v>
      </c>
      <c r="E101" s="180"/>
      <c r="F101" s="180"/>
    </row>
    <row r="102" spans="1:6" ht="47.25" hidden="1" thickTop="1" thickBot="1" x14ac:dyDescent="0.55000000000000004">
      <c r="A102" s="181" t="s">
        <v>561</v>
      </c>
      <c r="B102" s="181" t="s">
        <v>353</v>
      </c>
      <c r="C102" s="183" t="s">
        <v>354</v>
      </c>
      <c r="D102" s="182">
        <f>SUM(D103)</f>
        <v>0</v>
      </c>
      <c r="E102" s="252" t="b">
        <f>D102='d3'!E234</f>
        <v>1</v>
      </c>
      <c r="F102" s="180"/>
    </row>
    <row r="103" spans="1:6" ht="93" hidden="1" thickTop="1" thickBot="1" x14ac:dyDescent="0.55000000000000004">
      <c r="A103" s="181" t="s">
        <v>556</v>
      </c>
      <c r="B103" s="181"/>
      <c r="C103" s="183" t="s">
        <v>557</v>
      </c>
      <c r="D103" s="182">
        <v>0</v>
      </c>
      <c r="E103" s="180"/>
      <c r="F103" s="180"/>
    </row>
    <row r="104" spans="1:6" ht="47.25" hidden="1" thickTop="1" thickBot="1" x14ac:dyDescent="0.55000000000000004">
      <c r="A104" s="181" t="s">
        <v>1022</v>
      </c>
      <c r="B104" s="181" t="s">
        <v>353</v>
      </c>
      <c r="C104" s="183" t="s">
        <v>354</v>
      </c>
      <c r="D104" s="182">
        <v>0</v>
      </c>
      <c r="E104" s="252" t="b">
        <f>D104='d3'!E271</f>
        <v>0</v>
      </c>
      <c r="F104" s="180"/>
    </row>
    <row r="105" spans="1:6" ht="47.25" hidden="1" thickTop="1" thickBot="1" x14ac:dyDescent="0.55000000000000004">
      <c r="A105" s="119" t="s">
        <v>864</v>
      </c>
      <c r="B105" s="119" t="s">
        <v>353</v>
      </c>
      <c r="C105" s="296" t="s">
        <v>354</v>
      </c>
      <c r="D105" s="179"/>
      <c r="E105" s="252" t="b">
        <f>D105='d3'!E429</f>
        <v>1</v>
      </c>
      <c r="F105" s="180"/>
    </row>
    <row r="106" spans="1:6" ht="47.25" hidden="1" thickTop="1" thickBot="1" x14ac:dyDescent="0.55000000000000004">
      <c r="A106" s="119" t="s">
        <v>1150</v>
      </c>
      <c r="B106" s="119"/>
      <c r="C106" s="296" t="s">
        <v>582</v>
      </c>
      <c r="D106" s="179">
        <f>SUM(D104:D105)</f>
        <v>0</v>
      </c>
      <c r="E106" s="180"/>
      <c r="F106" s="180"/>
    </row>
    <row r="107" spans="1:6" ht="321.75" hidden="1" thickTop="1" thickBot="1" x14ac:dyDescent="0.55000000000000004">
      <c r="A107" s="119" t="s">
        <v>1200</v>
      </c>
      <c r="B107" s="119" t="s">
        <v>1201</v>
      </c>
      <c r="C107" s="296" t="s">
        <v>1199</v>
      </c>
      <c r="D107" s="179">
        <f>(2000000)-2000000</f>
        <v>0</v>
      </c>
      <c r="E107" s="180"/>
      <c r="F107" s="180"/>
    </row>
    <row r="108" spans="1:6" ht="47.25" hidden="1" thickTop="1" thickBot="1" x14ac:dyDescent="0.55000000000000004">
      <c r="A108" s="119" t="s">
        <v>1146</v>
      </c>
      <c r="B108" s="119"/>
      <c r="C108" s="296" t="s">
        <v>550</v>
      </c>
      <c r="D108" s="179">
        <f>D107</f>
        <v>0</v>
      </c>
      <c r="E108" s="180"/>
      <c r="F108" s="180"/>
    </row>
    <row r="109" spans="1:6" ht="68.25" customHeight="1" thickTop="1" thickBot="1" x14ac:dyDescent="0.55000000000000004">
      <c r="A109" s="94" t="s">
        <v>577</v>
      </c>
      <c r="B109" s="94" t="s">
        <v>578</v>
      </c>
      <c r="C109" s="94" t="s">
        <v>440</v>
      </c>
      <c r="D109" s="411">
        <f>SUM(D110)</f>
        <v>205286500</v>
      </c>
      <c r="E109" s="593" t="b">
        <f>D109='d3'!E468</f>
        <v>1</v>
      </c>
      <c r="F109" s="180"/>
    </row>
    <row r="110" spans="1:6" ht="73.5" customHeight="1" thickTop="1" thickBot="1" x14ac:dyDescent="0.55000000000000004">
      <c r="A110" s="94" t="s">
        <v>1146</v>
      </c>
      <c r="B110" s="94"/>
      <c r="C110" s="413" t="s">
        <v>550</v>
      </c>
      <c r="D110" s="411">
        <v>205286500</v>
      </c>
      <c r="E110" s="180"/>
      <c r="F110" s="180"/>
    </row>
    <row r="111" spans="1:6" ht="61.5" customHeight="1" thickTop="1" thickBot="1" x14ac:dyDescent="0.55000000000000004">
      <c r="A111" s="831" t="s">
        <v>576</v>
      </c>
      <c r="B111" s="832"/>
      <c r="C111" s="832"/>
      <c r="D111" s="833"/>
      <c r="E111" s="180"/>
      <c r="F111" s="180"/>
    </row>
    <row r="112" spans="1:6" ht="47.25" hidden="1" thickTop="1" thickBot="1" x14ac:dyDescent="0.55000000000000004">
      <c r="A112" s="119" t="s">
        <v>1273</v>
      </c>
      <c r="B112" s="119" t="s">
        <v>353</v>
      </c>
      <c r="C112" s="296" t="s">
        <v>354</v>
      </c>
      <c r="D112" s="179">
        <f>D113</f>
        <v>0</v>
      </c>
      <c r="E112" s="180"/>
      <c r="F112" s="180"/>
    </row>
    <row r="113" spans="1:6" ht="47.25" hidden="1" thickTop="1" thickBot="1" x14ac:dyDescent="0.55000000000000004">
      <c r="A113" s="119" t="s">
        <v>1150</v>
      </c>
      <c r="B113" s="119"/>
      <c r="C113" s="296" t="s">
        <v>582</v>
      </c>
      <c r="D113" s="179">
        <v>0</v>
      </c>
      <c r="E113" s="180"/>
      <c r="F113" s="180"/>
    </row>
    <row r="114" spans="1:6" ht="138.75" hidden="1" thickTop="1" thickBot="1" x14ac:dyDescent="0.55000000000000004">
      <c r="A114" s="119" t="s">
        <v>496</v>
      </c>
      <c r="B114" s="119" t="s">
        <v>497</v>
      </c>
      <c r="C114" s="296" t="s">
        <v>498</v>
      </c>
      <c r="D114" s="179">
        <v>0</v>
      </c>
      <c r="E114" s="252" t="b">
        <f>D114='d3'!J48</f>
        <v>1</v>
      </c>
      <c r="F114" s="180"/>
    </row>
    <row r="115" spans="1:6" ht="138.75" hidden="1" thickTop="1" thickBot="1" x14ac:dyDescent="0.55000000000000004">
      <c r="A115" s="119" t="s">
        <v>1121</v>
      </c>
      <c r="B115" s="119" t="s">
        <v>497</v>
      </c>
      <c r="C115" s="296" t="s">
        <v>498</v>
      </c>
      <c r="D115" s="179">
        <v>0</v>
      </c>
      <c r="E115" s="252" t="b">
        <f>D115='d3'!P441</f>
        <v>0</v>
      </c>
      <c r="F115" s="180"/>
    </row>
    <row r="116" spans="1:6" ht="138.75" hidden="1" thickTop="1" thickBot="1" x14ac:dyDescent="0.55000000000000004">
      <c r="A116" s="119" t="s">
        <v>1121</v>
      </c>
      <c r="B116" s="119" t="s">
        <v>497</v>
      </c>
      <c r="C116" s="296" t="s">
        <v>498</v>
      </c>
      <c r="D116" s="179"/>
      <c r="E116" s="252" t="b">
        <f>D116='d3'!J441</f>
        <v>1</v>
      </c>
      <c r="F116" s="180"/>
    </row>
    <row r="117" spans="1:6" ht="47.25" hidden="1" thickTop="1" thickBot="1" x14ac:dyDescent="0.55000000000000004">
      <c r="A117" s="119" t="s">
        <v>1146</v>
      </c>
      <c r="B117" s="119"/>
      <c r="C117" s="296" t="s">
        <v>550</v>
      </c>
      <c r="D117" s="179">
        <f>D114+D116</f>
        <v>0</v>
      </c>
      <c r="E117" s="180"/>
      <c r="F117" s="180"/>
    </row>
    <row r="118" spans="1:6" ht="47.25" hidden="1" thickTop="1" thickBot="1" x14ac:dyDescent="0.55000000000000004">
      <c r="A118" s="181" t="s">
        <v>954</v>
      </c>
      <c r="B118" s="181" t="s">
        <v>353</v>
      </c>
      <c r="C118" s="183" t="s">
        <v>354</v>
      </c>
      <c r="D118" s="182">
        <v>0</v>
      </c>
      <c r="E118" s="252" t="b">
        <f>D118='d3'!J116</f>
        <v>1</v>
      </c>
      <c r="F118" s="180"/>
    </row>
    <row r="119" spans="1:6" ht="47.25" hidden="1" thickTop="1" thickBot="1" x14ac:dyDescent="0.55000000000000004">
      <c r="A119" s="119" t="s">
        <v>492</v>
      </c>
      <c r="B119" s="119" t="s">
        <v>353</v>
      </c>
      <c r="C119" s="296" t="s">
        <v>354</v>
      </c>
      <c r="D119" s="179"/>
      <c r="E119" s="252" t="b">
        <f>D119='d3'!J150</f>
        <v>1</v>
      </c>
      <c r="F119" s="180"/>
    </row>
    <row r="120" spans="1:6" ht="47.25" hidden="1" thickTop="1" thickBot="1" x14ac:dyDescent="0.55000000000000004">
      <c r="A120" s="181" t="s">
        <v>1022</v>
      </c>
      <c r="B120" s="181" t="s">
        <v>353</v>
      </c>
      <c r="C120" s="183" t="s">
        <v>354</v>
      </c>
      <c r="D120" s="182">
        <v>0</v>
      </c>
      <c r="E120" s="252" t="b">
        <f>D120='d3'!J271</f>
        <v>1</v>
      </c>
      <c r="F120" s="180"/>
    </row>
    <row r="121" spans="1:6" ht="47.25" hidden="1" thickTop="1" thickBot="1" x14ac:dyDescent="0.55000000000000004">
      <c r="A121" s="119" t="s">
        <v>1273</v>
      </c>
      <c r="B121" s="119" t="s">
        <v>353</v>
      </c>
      <c r="C121" s="296" t="s">
        <v>354</v>
      </c>
      <c r="D121" s="179"/>
      <c r="E121" s="252" t="b">
        <f>D121='d3'!J337</f>
        <v>1</v>
      </c>
      <c r="F121" s="180"/>
    </row>
    <row r="122" spans="1:6" ht="47.25" hidden="1" thickTop="1" thickBot="1" x14ac:dyDescent="0.55000000000000004">
      <c r="A122" s="119" t="s">
        <v>864</v>
      </c>
      <c r="B122" s="119" t="s">
        <v>353</v>
      </c>
      <c r="C122" s="296" t="s">
        <v>354</v>
      </c>
      <c r="D122" s="179">
        <v>0</v>
      </c>
      <c r="E122" s="252" t="b">
        <f>D122='d3'!J429</f>
        <v>1</v>
      </c>
      <c r="F122" s="180"/>
    </row>
    <row r="123" spans="1:6" ht="47.25" hidden="1" thickTop="1" thickBot="1" x14ac:dyDescent="0.55000000000000004">
      <c r="A123" s="119" t="s">
        <v>1150</v>
      </c>
      <c r="B123" s="119"/>
      <c r="C123" s="296" t="s">
        <v>582</v>
      </c>
      <c r="D123" s="179">
        <f>SUM(D118:D122)</f>
        <v>0</v>
      </c>
      <c r="E123" s="180"/>
      <c r="F123" s="180"/>
    </row>
    <row r="124" spans="1:6" ht="47.25" hidden="1" thickTop="1" thickBot="1" x14ac:dyDescent="0.55000000000000004">
      <c r="A124" s="291"/>
      <c r="B124" s="291"/>
      <c r="C124" s="293"/>
      <c r="D124" s="297"/>
      <c r="E124" s="180"/>
      <c r="F124" s="180"/>
    </row>
    <row r="125" spans="1:6" ht="47.25" thickTop="1" thickBot="1" x14ac:dyDescent="0.25">
      <c r="A125" s="664" t="s">
        <v>371</v>
      </c>
      <c r="B125" s="664" t="s">
        <v>371</v>
      </c>
      <c r="C125" s="665" t="s">
        <v>572</v>
      </c>
      <c r="D125" s="666">
        <f>D86+D87+D90+D101+D103+D106+D110+D117+D123+D108+D96+D113+D94+D89+D92</f>
        <v>452146024.48000002</v>
      </c>
      <c r="E125" s="615" t="b">
        <f>D125=D126+D127</f>
        <v>1</v>
      </c>
      <c r="F125" s="615" t="b">
        <f>D125=D109+'d7'!G50+'d7'!G52+'d7'!G53+'d7'!G51+'d7'!G54+'d7'!G55+'d7'!G56+'d7'!G57+'d7'!G58+'d7'!G60+'d7'!G61+'d7'!G371+'d7'!G395+'d7'!G48+'d7'!G49+'d7'!G62+'d7'!G387+'d7'!G322+'d7'!G59+'d7'!G242+'d7'!G150+'d7'!G323</f>
        <v>1</v>
      </c>
    </row>
    <row r="126" spans="1:6" ht="47.25" thickTop="1" thickBot="1" x14ac:dyDescent="0.55000000000000004">
      <c r="A126" s="94" t="s">
        <v>371</v>
      </c>
      <c r="B126" s="94" t="s">
        <v>371</v>
      </c>
      <c r="C126" s="413" t="s">
        <v>376</v>
      </c>
      <c r="D126" s="411">
        <f>'d3'!E44+'d3'!E408+'d3'!E440+'d3'!E466+'d3'!E429+'d3'!E337+'d3'!E271+'d3'!E150+'d3'!E338</f>
        <v>452146024.48000002</v>
      </c>
      <c r="E126" s="615" t="b">
        <f>D126=D85+D88+D102+D105+D109+D97+D104+D100+D99+D107+D95+D93+D91+D98</f>
        <v>1</v>
      </c>
      <c r="F126" s="298"/>
    </row>
    <row r="127" spans="1:6" ht="47.25" thickTop="1" thickBot="1" x14ac:dyDescent="0.55000000000000004">
      <c r="A127" s="94" t="s">
        <v>371</v>
      </c>
      <c r="B127" s="94" t="s">
        <v>371</v>
      </c>
      <c r="C127" s="413" t="s">
        <v>377</v>
      </c>
      <c r="D127" s="411">
        <f>'d3'!J44+'d3'!J408+'d3'!J440+'d3'!J466+'d3'!J337+'d3'!J150</f>
        <v>0</v>
      </c>
      <c r="E127" s="615" t="b">
        <f>D127=D116+D114+D121+D112+D119</f>
        <v>1</v>
      </c>
      <c r="F127" s="298"/>
    </row>
    <row r="128" spans="1:6" ht="38.25" customHeight="1" thickTop="1" x14ac:dyDescent="0.2">
      <c r="A128" s="157"/>
      <c r="B128" s="158"/>
      <c r="C128" s="158"/>
      <c r="D128" s="158"/>
      <c r="E128" s="13"/>
      <c r="F128" s="13"/>
    </row>
    <row r="129" spans="1:12" ht="45.75" x14ac:dyDescent="0.65">
      <c r="A129" s="157"/>
      <c r="B129" s="850" t="s">
        <v>1417</v>
      </c>
      <c r="C129" s="818"/>
      <c r="D129" s="672" t="s">
        <v>1418</v>
      </c>
      <c r="E129" s="267"/>
      <c r="F129" s="184"/>
      <c r="G129" s="185"/>
      <c r="H129" s="184"/>
      <c r="I129" s="184"/>
      <c r="J129" s="186"/>
      <c r="K129" s="186"/>
      <c r="L129" s="186"/>
    </row>
    <row r="130" spans="1:12" ht="45.75" hidden="1" x14ac:dyDescent="0.65">
      <c r="A130" s="157"/>
      <c r="B130" s="3" t="s">
        <v>1245</v>
      </c>
      <c r="C130" s="240"/>
      <c r="D130" s="3" t="s">
        <v>1246</v>
      </c>
      <c r="E130" s="267"/>
      <c r="F130" s="184"/>
      <c r="G130" s="185"/>
      <c r="H130" s="184"/>
      <c r="I130" s="184"/>
      <c r="J130" s="186"/>
      <c r="K130" s="186"/>
      <c r="L130" s="186"/>
    </row>
    <row r="131" spans="1:12" ht="45.75" hidden="1" x14ac:dyDescent="0.65">
      <c r="A131" s="157"/>
      <c r="B131" s="851" t="s">
        <v>1472</v>
      </c>
      <c r="C131" s="852"/>
      <c r="D131" s="367" t="s">
        <v>1471</v>
      </c>
      <c r="E131" s="267"/>
      <c r="F131" s="184"/>
      <c r="G131" s="185"/>
      <c r="H131" s="184"/>
      <c r="I131" s="184"/>
      <c r="J131" s="186"/>
      <c r="K131" s="186"/>
      <c r="L131" s="186"/>
    </row>
    <row r="132" spans="1:12" ht="35.25" customHeight="1" x14ac:dyDescent="0.65">
      <c r="A132" s="364"/>
      <c r="B132" s="184"/>
      <c r="C132" s="184"/>
      <c r="D132" s="184"/>
      <c r="E132" s="268"/>
      <c r="F132" s="13"/>
    </row>
    <row r="133" spans="1:12" ht="42" customHeight="1" x14ac:dyDescent="0.65">
      <c r="A133" s="175"/>
      <c r="B133" s="843" t="s">
        <v>501</v>
      </c>
      <c r="C133" s="742"/>
      <c r="D133" s="3" t="s">
        <v>1168</v>
      </c>
      <c r="E133" s="268"/>
      <c r="F133" s="290"/>
      <c r="G133" s="289"/>
      <c r="H133" s="290"/>
      <c r="I133" s="290"/>
    </row>
    <row r="134" spans="1:12" ht="45.75" x14ac:dyDescent="0.65">
      <c r="A134" s="175"/>
      <c r="B134" s="844"/>
      <c r="C134" s="845"/>
      <c r="D134" s="184"/>
      <c r="E134" s="13"/>
      <c r="F134" s="13"/>
    </row>
    <row r="135" spans="1:12" ht="45.75" x14ac:dyDescent="0.65">
      <c r="A135" s="175"/>
      <c r="B135" s="830"/>
      <c r="C135" s="830"/>
      <c r="D135" s="830"/>
      <c r="E135" s="13"/>
      <c r="F135" s="13"/>
    </row>
    <row r="138" spans="1:12" x14ac:dyDescent="0.2">
      <c r="A138" s="177"/>
      <c r="B138" s="177"/>
      <c r="C138" s="177"/>
    </row>
    <row r="140" spans="1:12" x14ac:dyDescent="0.2">
      <c r="A140" s="177"/>
      <c r="B140" s="177"/>
      <c r="C140" s="177"/>
    </row>
    <row r="144" spans="1:12" x14ac:dyDescent="0.2">
      <c r="A144" s="177"/>
      <c r="B144" s="177"/>
      <c r="C144" s="177"/>
      <c r="D144" s="177"/>
    </row>
    <row r="145" s="177" customFormat="1" x14ac:dyDescent="0.2"/>
    <row r="146" s="177" customFormat="1" x14ac:dyDescent="0.2"/>
    <row r="147" s="177" customFormat="1" x14ac:dyDescent="0.2"/>
  </sheetData>
  <mergeCells count="92">
    <mergeCell ref="B55:C55"/>
    <mergeCell ref="B17:C17"/>
    <mergeCell ref="B30:C30"/>
    <mergeCell ref="A37:A38"/>
    <mergeCell ref="B57:C57"/>
    <mergeCell ref="B33:C33"/>
    <mergeCell ref="B31:C31"/>
    <mergeCell ref="B32:C32"/>
    <mergeCell ref="B22:C22"/>
    <mergeCell ref="B29:C29"/>
    <mergeCell ref="B25:C25"/>
    <mergeCell ref="B26:C26"/>
    <mergeCell ref="B23:C23"/>
    <mergeCell ref="B19:C19"/>
    <mergeCell ref="B20:C20"/>
    <mergeCell ref="B28:C28"/>
    <mergeCell ref="B58:C58"/>
    <mergeCell ref="B15:C15"/>
    <mergeCell ref="B16:C16"/>
    <mergeCell ref="B56:C56"/>
    <mergeCell ref="B54:C54"/>
    <mergeCell ref="B35:C35"/>
    <mergeCell ref="B34:C34"/>
    <mergeCell ref="B43:C43"/>
    <mergeCell ref="B53:C53"/>
    <mergeCell ref="B46:C46"/>
    <mergeCell ref="B44:C44"/>
    <mergeCell ref="B41:C41"/>
    <mergeCell ref="B42:C42"/>
    <mergeCell ref="B38:C38"/>
    <mergeCell ref="B36:C36"/>
    <mergeCell ref="B21:C21"/>
    <mergeCell ref="B27:C27"/>
    <mergeCell ref="B37:C37"/>
    <mergeCell ref="B24:C24"/>
    <mergeCell ref="N3:O3"/>
    <mergeCell ref="N4:O4"/>
    <mergeCell ref="N5:O5"/>
    <mergeCell ref="A6:D6"/>
    <mergeCell ref="A7:D7"/>
    <mergeCell ref="A5:D5"/>
    <mergeCell ref="B18:C18"/>
    <mergeCell ref="A39:A40"/>
    <mergeCell ref="A43:A44"/>
    <mergeCell ref="D37:D38"/>
    <mergeCell ref="B50:C50"/>
    <mergeCell ref="B39:C39"/>
    <mergeCell ref="B40:C40"/>
    <mergeCell ref="D41:D42"/>
    <mergeCell ref="D43:D44"/>
    <mergeCell ref="B47:C47"/>
    <mergeCell ref="B49:C49"/>
    <mergeCell ref="B48:C48"/>
    <mergeCell ref="B70:C70"/>
    <mergeCell ref="B129:C129"/>
    <mergeCell ref="B71:C71"/>
    <mergeCell ref="B131:C131"/>
    <mergeCell ref="A9:D9"/>
    <mergeCell ref="A13:D13"/>
    <mergeCell ref="B11:C11"/>
    <mergeCell ref="B12:C12"/>
    <mergeCell ref="B14:C14"/>
    <mergeCell ref="D39:D40"/>
    <mergeCell ref="B45:C45"/>
    <mergeCell ref="B51:C51"/>
    <mergeCell ref="A51:A52"/>
    <mergeCell ref="D51:D52"/>
    <mergeCell ref="B52:C52"/>
    <mergeCell ref="A41:A42"/>
    <mergeCell ref="B60:C60"/>
    <mergeCell ref="B61:C61"/>
    <mergeCell ref="B63:C63"/>
    <mergeCell ref="B65:C65"/>
    <mergeCell ref="B66:C66"/>
    <mergeCell ref="A62:D62"/>
    <mergeCell ref="B64:C64"/>
    <mergeCell ref="B59:C59"/>
    <mergeCell ref="B135:D135"/>
    <mergeCell ref="A84:D84"/>
    <mergeCell ref="A111:D111"/>
    <mergeCell ref="B67:C67"/>
    <mergeCell ref="B76:C76"/>
    <mergeCell ref="B77:C77"/>
    <mergeCell ref="B75:C75"/>
    <mergeCell ref="B68:C68"/>
    <mergeCell ref="B72:C72"/>
    <mergeCell ref="A80:D80"/>
    <mergeCell ref="B73:C73"/>
    <mergeCell ref="B74:C74"/>
    <mergeCell ref="B69:C69"/>
    <mergeCell ref="B133:C133"/>
    <mergeCell ref="B134:C134"/>
  </mergeCells>
  <pageMargins left="0.23622047244094491" right="0.27559055118110237" top="0.27559055118110237" bottom="0.15748031496062992" header="0.23622047244094491" footer="0.27559055118110237"/>
  <pageSetup paperSize="9" scale="27" fitToHeight="0" orientation="portrait" verticalDpi="300" r:id="rId1"/>
  <headerFooter alignWithMargins="0">
    <oddFooter>&amp;C&amp;"Times New Roman Cyr,курсив"Сторінка &amp;P з &amp;N</oddFooter>
  </headerFooter>
  <rowBreaks count="1" manualBreakCount="1">
    <brk id="7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13"/>
  <sheetViews>
    <sheetView view="pageBreakPreview" topLeftCell="E1" zoomScale="70" zoomScaleNormal="40" zoomScaleSheetLayoutView="70" workbookViewId="0">
      <pane ySplit="11" topLeftCell="A97" activePane="bottomLeft" state="frozen"/>
      <selection activeCell="G144" sqref="G144"/>
      <selection pane="bottomLeft" activeCell="F22" sqref="F22"/>
    </sheetView>
  </sheetViews>
  <sheetFormatPr defaultColWidth="7.85546875" defaultRowHeight="12.75" x14ac:dyDescent="0.2"/>
  <cols>
    <col min="1" max="1" width="3.28515625" style="159" hidden="1" customWidth="1"/>
    <col min="2" max="2" width="4.5703125" style="159" customWidth="1"/>
    <col min="3" max="3" width="49.5703125" style="159" customWidth="1"/>
    <col min="4" max="4" width="15.140625" style="159" customWidth="1"/>
    <col min="5" max="5" width="15.42578125" style="11" customWidth="1"/>
    <col min="6" max="6" width="60.28515625" style="11" customWidth="1"/>
    <col min="7" max="7" width="41.5703125" style="11" customWidth="1"/>
    <col min="8" max="9" width="18.140625" style="193" customWidth="1"/>
    <col min="10" max="10" width="20.28515625" style="193" customWidth="1"/>
    <col min="11" max="14" width="23" style="193" customWidth="1"/>
    <col min="15" max="15" width="18.140625" style="193" customWidth="1"/>
    <col min="16" max="16" width="24.85546875" style="159" bestFit="1" customWidth="1"/>
    <col min="17" max="18" width="15.42578125" style="159" bestFit="1" customWidth="1"/>
    <col min="19" max="19" width="12.7109375" style="159" customWidth="1"/>
    <col min="20" max="16384" width="7.85546875" style="159"/>
  </cols>
  <sheetData>
    <row r="1" spans="1:22" s="191" customFormat="1" ht="22.7" customHeight="1" x14ac:dyDescent="0.25">
      <c r="E1" s="873"/>
      <c r="F1" s="873"/>
      <c r="G1" s="873"/>
      <c r="H1" s="873"/>
      <c r="I1" s="873"/>
      <c r="J1" s="873"/>
      <c r="K1" s="873"/>
      <c r="L1" s="873"/>
      <c r="M1" s="873"/>
      <c r="N1" s="873"/>
      <c r="O1" s="873"/>
    </row>
    <row r="2" spans="1:22" ht="41.25" customHeight="1" x14ac:dyDescent="0.2">
      <c r="E2" s="241"/>
      <c r="F2" s="241"/>
      <c r="G2" s="241"/>
      <c r="H2" s="673"/>
      <c r="I2" s="673"/>
      <c r="J2" s="673"/>
      <c r="K2" s="673"/>
      <c r="L2" s="673"/>
      <c r="M2" s="673"/>
      <c r="N2" s="814" t="s">
        <v>1716</v>
      </c>
      <c r="O2" s="814"/>
    </row>
    <row r="3" spans="1:22" ht="29.25" customHeight="1" x14ac:dyDescent="0.2">
      <c r="E3" s="241"/>
      <c r="F3" s="241"/>
      <c r="G3" s="241"/>
      <c r="H3" s="242"/>
      <c r="I3" s="242"/>
      <c r="J3" s="242"/>
      <c r="K3" s="242"/>
      <c r="L3" s="242"/>
      <c r="M3" s="242"/>
      <c r="N3" s="814"/>
      <c r="O3" s="814"/>
    </row>
    <row r="4" spans="1:22" ht="31.7" customHeight="1" x14ac:dyDescent="0.2">
      <c r="B4" s="874" t="s">
        <v>1479</v>
      </c>
      <c r="C4" s="874"/>
      <c r="D4" s="874"/>
      <c r="E4" s="874"/>
      <c r="F4" s="874"/>
      <c r="G4" s="874"/>
      <c r="H4" s="874"/>
      <c r="I4" s="874"/>
      <c r="J4" s="874"/>
      <c r="K4" s="874"/>
      <c r="L4" s="874"/>
      <c r="M4" s="874"/>
      <c r="N4" s="874"/>
      <c r="O4" s="874"/>
    </row>
    <row r="5" spans="1:22" ht="31.7" customHeight="1" x14ac:dyDescent="0.2">
      <c r="B5" s="874" t="s">
        <v>1480</v>
      </c>
      <c r="C5" s="874"/>
      <c r="D5" s="874"/>
      <c r="E5" s="874"/>
      <c r="F5" s="874"/>
      <c r="G5" s="874"/>
      <c r="H5" s="874"/>
      <c r="I5" s="874"/>
      <c r="J5" s="874"/>
      <c r="K5" s="874"/>
      <c r="L5" s="874"/>
      <c r="M5" s="874"/>
      <c r="N5" s="874"/>
      <c r="O5" s="874"/>
    </row>
    <row r="6" spans="1:22" ht="24.75" customHeight="1" x14ac:dyDescent="0.2">
      <c r="B6" s="874" t="s">
        <v>1481</v>
      </c>
      <c r="C6" s="874"/>
      <c r="D6" s="874"/>
      <c r="E6" s="874"/>
      <c r="F6" s="874"/>
      <c r="G6" s="874"/>
      <c r="H6" s="874"/>
      <c r="I6" s="874"/>
      <c r="J6" s="874"/>
      <c r="K6" s="874"/>
      <c r="L6" s="874"/>
      <c r="M6" s="874"/>
      <c r="N6" s="874"/>
      <c r="O6" s="874"/>
    </row>
    <row r="7" spans="1:22" ht="15" x14ac:dyDescent="0.2">
      <c r="A7" s="415">
        <v>2256400000</v>
      </c>
      <c r="B7" s="730">
        <v>2256400000</v>
      </c>
      <c r="C7" s="730"/>
      <c r="D7" s="415"/>
      <c r="E7" s="415"/>
      <c r="F7" s="415"/>
      <c r="G7" s="730"/>
      <c r="H7" s="730"/>
      <c r="I7" s="730"/>
      <c r="J7" s="730"/>
      <c r="K7" s="730"/>
      <c r="L7" s="400"/>
      <c r="M7" s="400"/>
      <c r="N7" s="400"/>
      <c r="O7" s="414" t="s">
        <v>394</v>
      </c>
    </row>
    <row r="8" spans="1:22" ht="19.5" thickBot="1" x14ac:dyDescent="0.25">
      <c r="B8" s="872" t="s">
        <v>474</v>
      </c>
      <c r="C8" s="872"/>
      <c r="D8" s="416"/>
      <c r="E8" s="416"/>
      <c r="F8" s="416"/>
      <c r="G8" s="395"/>
      <c r="H8" s="395"/>
      <c r="I8" s="395"/>
      <c r="J8" s="395"/>
      <c r="K8" s="395"/>
      <c r="L8" s="395"/>
      <c r="M8" s="395"/>
      <c r="N8" s="395"/>
      <c r="O8" s="395"/>
    </row>
    <row r="9" spans="1:22" ht="16.5" thickTop="1" thickBot="1" x14ac:dyDescent="0.25">
      <c r="A9" s="244"/>
      <c r="B9" s="877" t="s">
        <v>1482</v>
      </c>
      <c r="C9" s="877" t="s">
        <v>1483</v>
      </c>
      <c r="D9" s="877" t="s">
        <v>1484</v>
      </c>
      <c r="E9" s="877" t="s">
        <v>475</v>
      </c>
      <c r="F9" s="877" t="s">
        <v>1485</v>
      </c>
      <c r="G9" s="877" t="s">
        <v>1486</v>
      </c>
      <c r="H9" s="879" t="s">
        <v>1494</v>
      </c>
      <c r="I9" s="879" t="s">
        <v>1487</v>
      </c>
      <c r="J9" s="879" t="s">
        <v>1488</v>
      </c>
      <c r="K9" s="886" t="s">
        <v>1489</v>
      </c>
      <c r="L9" s="887"/>
      <c r="M9" s="887"/>
      <c r="N9" s="887"/>
      <c r="O9" s="888"/>
      <c r="P9" s="188"/>
      <c r="Q9" s="188"/>
      <c r="R9" s="188"/>
      <c r="S9" s="188"/>
      <c r="T9" s="188"/>
      <c r="U9" s="188"/>
      <c r="V9" s="188"/>
    </row>
    <row r="10" spans="1:22" ht="135.75" customHeight="1" thickTop="1" thickBot="1" x14ac:dyDescent="0.25">
      <c r="A10" s="244"/>
      <c r="B10" s="878"/>
      <c r="C10" s="878"/>
      <c r="D10" s="878"/>
      <c r="E10" s="878"/>
      <c r="F10" s="878"/>
      <c r="G10" s="878"/>
      <c r="H10" s="880"/>
      <c r="I10" s="880"/>
      <c r="J10" s="880"/>
      <c r="K10" s="422" t="s">
        <v>1490</v>
      </c>
      <c r="L10" s="422" t="s">
        <v>1491</v>
      </c>
      <c r="M10" s="422" t="s">
        <v>1492</v>
      </c>
      <c r="N10" s="422" t="s">
        <v>1493</v>
      </c>
      <c r="O10" s="422" t="s">
        <v>1495</v>
      </c>
      <c r="P10" s="188"/>
      <c r="Q10" s="188"/>
      <c r="R10" s="188"/>
      <c r="S10" s="188"/>
      <c r="T10" s="188"/>
      <c r="U10" s="188"/>
      <c r="V10" s="188"/>
    </row>
    <row r="11" spans="1:22" ht="16.5" thickTop="1" thickBot="1" x14ac:dyDescent="0.25">
      <c r="A11" s="244"/>
      <c r="B11" s="243">
        <v>1</v>
      </c>
      <c r="C11" s="243">
        <v>2</v>
      </c>
      <c r="D11" s="243">
        <v>3</v>
      </c>
      <c r="E11" s="243">
        <v>4</v>
      </c>
      <c r="F11" s="243">
        <v>5</v>
      </c>
      <c r="G11" s="243">
        <v>6</v>
      </c>
      <c r="H11" s="243">
        <v>7</v>
      </c>
      <c r="I11" s="243">
        <v>8</v>
      </c>
      <c r="J11" s="243">
        <v>9</v>
      </c>
      <c r="K11" s="243">
        <v>10</v>
      </c>
      <c r="L11" s="243">
        <v>11</v>
      </c>
      <c r="M11" s="243">
        <v>12</v>
      </c>
      <c r="N11" s="243">
        <v>13</v>
      </c>
      <c r="O11" s="243">
        <v>14</v>
      </c>
      <c r="P11" s="188"/>
      <c r="Q11" s="188"/>
      <c r="R11" s="188"/>
      <c r="S11" s="188"/>
      <c r="T11" s="188"/>
      <c r="U11" s="188"/>
      <c r="V11" s="188"/>
    </row>
    <row r="12" spans="1:22" ht="46.5" customHeight="1" thickTop="1" thickBot="1" x14ac:dyDescent="0.25">
      <c r="A12" s="192"/>
      <c r="B12" s="532">
        <v>1</v>
      </c>
      <c r="C12" s="532" t="s">
        <v>1539</v>
      </c>
      <c r="D12" s="532" t="s">
        <v>371</v>
      </c>
      <c r="E12" s="532" t="s">
        <v>371</v>
      </c>
      <c r="F12" s="532" t="s">
        <v>371</v>
      </c>
      <c r="G12" s="532" t="s">
        <v>1540</v>
      </c>
      <c r="H12" s="532" t="s">
        <v>371</v>
      </c>
      <c r="I12" s="532" t="s">
        <v>371</v>
      </c>
      <c r="J12" s="533">
        <f t="shared" ref="J12:O12" si="0">J17+J13+J15+J19</f>
        <v>14001287.15</v>
      </c>
      <c r="K12" s="533">
        <f t="shared" si="0"/>
        <v>14001287.15</v>
      </c>
      <c r="L12" s="533">
        <f t="shared" si="0"/>
        <v>0</v>
      </c>
      <c r="M12" s="533">
        <f t="shared" si="0"/>
        <v>0</v>
      </c>
      <c r="N12" s="533">
        <f t="shared" si="0"/>
        <v>0</v>
      </c>
      <c r="O12" s="533">
        <f t="shared" si="0"/>
        <v>0</v>
      </c>
      <c r="P12" s="188"/>
      <c r="Q12" s="188"/>
      <c r="R12" s="188"/>
      <c r="S12" s="188"/>
      <c r="T12" s="188"/>
      <c r="U12" s="188"/>
      <c r="V12" s="188"/>
    </row>
    <row r="13" spans="1:22" ht="115.5" thickTop="1" thickBot="1" x14ac:dyDescent="0.25">
      <c r="A13" s="192"/>
      <c r="B13" s="534" t="s">
        <v>1496</v>
      </c>
      <c r="C13" s="534" t="s">
        <v>1617</v>
      </c>
      <c r="D13" s="535" t="s">
        <v>1669</v>
      </c>
      <c r="E13" s="534" t="s">
        <v>371</v>
      </c>
      <c r="F13" s="534" t="s">
        <v>371</v>
      </c>
      <c r="G13" s="535" t="s">
        <v>1540</v>
      </c>
      <c r="H13" s="534" t="s">
        <v>1511</v>
      </c>
      <c r="I13" s="536">
        <v>2252760</v>
      </c>
      <c r="J13" s="536">
        <f>SUM(J14)</f>
        <v>2252760</v>
      </c>
      <c r="K13" s="536">
        <f t="shared" ref="K13:K19" si="1">SUM(K14)</f>
        <v>2252760</v>
      </c>
      <c r="L13" s="536">
        <f t="shared" ref="L13:L19" si="2">SUM(L14)</f>
        <v>0</v>
      </c>
      <c r="M13" s="536">
        <f t="shared" ref="M13:M19" si="3">SUM(M14)</f>
        <v>0</v>
      </c>
      <c r="N13" s="536">
        <f t="shared" ref="N13:N19" si="4">SUM(N14)</f>
        <v>0</v>
      </c>
      <c r="O13" s="536">
        <f t="shared" ref="O13:O19" si="5">SUM(O14)</f>
        <v>0</v>
      </c>
      <c r="P13" s="188"/>
      <c r="Q13" s="188"/>
      <c r="R13" s="188"/>
      <c r="S13" s="188"/>
      <c r="T13" s="188"/>
      <c r="U13" s="188"/>
      <c r="V13" s="188"/>
    </row>
    <row r="14" spans="1:22" ht="46.5" thickTop="1" thickBot="1" x14ac:dyDescent="0.25">
      <c r="A14" s="192"/>
      <c r="B14" s="329" t="s">
        <v>371</v>
      </c>
      <c r="C14" s="329" t="s">
        <v>371</v>
      </c>
      <c r="D14" s="329" t="s">
        <v>371</v>
      </c>
      <c r="E14" s="329" t="s">
        <v>1372</v>
      </c>
      <c r="F14" s="329" t="s">
        <v>1538</v>
      </c>
      <c r="G14" s="490" t="s">
        <v>1540</v>
      </c>
      <c r="H14" s="329" t="s">
        <v>371</v>
      </c>
      <c r="I14" s="329" t="s">
        <v>371</v>
      </c>
      <c r="J14" s="540">
        <f>SUM(K14:O14)</f>
        <v>2252760</v>
      </c>
      <c r="K14" s="540">
        <v>2252760</v>
      </c>
      <c r="L14" s="189"/>
      <c r="M14" s="189"/>
      <c r="N14" s="189"/>
      <c r="O14" s="190"/>
      <c r="P14" s="188"/>
      <c r="Q14" s="188"/>
      <c r="R14" s="188"/>
      <c r="S14" s="188"/>
      <c r="T14" s="188"/>
      <c r="U14" s="188"/>
      <c r="V14" s="188"/>
    </row>
    <row r="15" spans="1:22" ht="87" thickTop="1" thickBot="1" x14ac:dyDescent="0.25">
      <c r="A15" s="192"/>
      <c r="B15" s="534" t="s">
        <v>1497</v>
      </c>
      <c r="C15" s="534" t="s">
        <v>1619</v>
      </c>
      <c r="D15" s="535" t="s">
        <v>1641</v>
      </c>
      <c r="E15" s="534" t="s">
        <v>371</v>
      </c>
      <c r="F15" s="534" t="s">
        <v>371</v>
      </c>
      <c r="G15" s="535" t="s">
        <v>1540</v>
      </c>
      <c r="H15" s="534" t="s">
        <v>1511</v>
      </c>
      <c r="I15" s="536">
        <v>127000</v>
      </c>
      <c r="J15" s="536">
        <f>SUM(J16)</f>
        <v>127000</v>
      </c>
      <c r="K15" s="536">
        <f t="shared" si="1"/>
        <v>127000</v>
      </c>
      <c r="L15" s="536">
        <f t="shared" si="2"/>
        <v>0</v>
      </c>
      <c r="M15" s="536">
        <f t="shared" si="3"/>
        <v>0</v>
      </c>
      <c r="N15" s="536">
        <f t="shared" si="4"/>
        <v>0</v>
      </c>
      <c r="O15" s="536">
        <f t="shared" si="5"/>
        <v>0</v>
      </c>
      <c r="P15" s="188"/>
      <c r="Q15" s="188"/>
      <c r="R15" s="188"/>
      <c r="S15" s="188"/>
      <c r="T15" s="188"/>
      <c r="U15" s="188"/>
      <c r="V15" s="188"/>
    </row>
    <row r="16" spans="1:22" ht="46.5" thickTop="1" thickBot="1" x14ac:dyDescent="0.25">
      <c r="A16" s="192"/>
      <c r="B16" s="329" t="s">
        <v>371</v>
      </c>
      <c r="C16" s="329" t="s">
        <v>371</v>
      </c>
      <c r="D16" s="329" t="s">
        <v>371</v>
      </c>
      <c r="E16" s="329" t="s">
        <v>1372</v>
      </c>
      <c r="F16" s="329" t="s">
        <v>1538</v>
      </c>
      <c r="G16" s="329" t="s">
        <v>1540</v>
      </c>
      <c r="H16" s="329" t="s">
        <v>371</v>
      </c>
      <c r="I16" s="329" t="s">
        <v>371</v>
      </c>
      <c r="J16" s="540">
        <v>127000</v>
      </c>
      <c r="K16" s="540">
        <v>127000</v>
      </c>
      <c r="L16" s="189"/>
      <c r="M16" s="189"/>
      <c r="N16" s="189"/>
      <c r="O16" s="190"/>
      <c r="P16" s="188"/>
      <c r="Q16" s="188"/>
      <c r="R16" s="188"/>
      <c r="S16" s="188"/>
      <c r="T16" s="188"/>
      <c r="U16" s="188"/>
      <c r="V16" s="188"/>
    </row>
    <row r="17" spans="1:22" ht="58.5" thickTop="1" thickBot="1" x14ac:dyDescent="0.25">
      <c r="A17" s="192"/>
      <c r="B17" s="534" t="s">
        <v>1589</v>
      </c>
      <c r="C17" s="534" t="s">
        <v>1629</v>
      </c>
      <c r="D17" s="535" t="s">
        <v>1648</v>
      </c>
      <c r="E17" s="534" t="s">
        <v>371</v>
      </c>
      <c r="F17" s="534" t="s">
        <v>371</v>
      </c>
      <c r="G17" s="535" t="s">
        <v>1536</v>
      </c>
      <c r="H17" s="534" t="s">
        <v>1541</v>
      </c>
      <c r="I17" s="536">
        <v>45000000</v>
      </c>
      <c r="J17" s="536">
        <f>SUM(J18)</f>
        <v>11300000</v>
      </c>
      <c r="K17" s="536">
        <f t="shared" si="1"/>
        <v>11300000</v>
      </c>
      <c r="L17" s="536">
        <f t="shared" si="2"/>
        <v>0</v>
      </c>
      <c r="M17" s="536">
        <f t="shared" si="3"/>
        <v>0</v>
      </c>
      <c r="N17" s="536">
        <f t="shared" si="4"/>
        <v>0</v>
      </c>
      <c r="O17" s="536">
        <f t="shared" si="5"/>
        <v>0</v>
      </c>
      <c r="P17" s="188"/>
      <c r="Q17" s="188"/>
      <c r="R17" s="188"/>
      <c r="S17" s="188"/>
      <c r="T17" s="188"/>
      <c r="U17" s="188"/>
      <c r="V17" s="188"/>
    </row>
    <row r="18" spans="1:22" ht="46.5" thickTop="1" thickBot="1" x14ac:dyDescent="0.25">
      <c r="A18" s="192"/>
      <c r="B18" s="329" t="s">
        <v>371</v>
      </c>
      <c r="C18" s="329" t="s">
        <v>371</v>
      </c>
      <c r="D18" s="329" t="s">
        <v>371</v>
      </c>
      <c r="E18" s="490" t="s">
        <v>1358</v>
      </c>
      <c r="F18" s="329" t="s">
        <v>1538</v>
      </c>
      <c r="G18" s="490" t="s">
        <v>1536</v>
      </c>
      <c r="H18" s="329" t="s">
        <v>371</v>
      </c>
      <c r="I18" s="329" t="s">
        <v>371</v>
      </c>
      <c r="J18" s="492">
        <f>SUM(K18:O18)</f>
        <v>11300000</v>
      </c>
      <c r="K18" s="492">
        <f>(6300000)+6000000-1000000</f>
        <v>11300000</v>
      </c>
      <c r="L18" s="189"/>
      <c r="M18" s="189"/>
      <c r="N18" s="189"/>
      <c r="O18" s="190"/>
      <c r="P18" s="188"/>
      <c r="Q18" s="188"/>
      <c r="R18" s="188"/>
      <c r="S18" s="188"/>
      <c r="T18" s="188"/>
      <c r="U18" s="188"/>
      <c r="V18" s="188"/>
    </row>
    <row r="19" spans="1:22" ht="72.75" thickTop="1" thickBot="1" x14ac:dyDescent="0.25">
      <c r="A19" s="192"/>
      <c r="B19" s="534" t="s">
        <v>1765</v>
      </c>
      <c r="C19" s="534" t="s">
        <v>1766</v>
      </c>
      <c r="D19" s="535" t="s">
        <v>1767</v>
      </c>
      <c r="E19" s="534" t="s">
        <v>371</v>
      </c>
      <c r="F19" s="534" t="s">
        <v>371</v>
      </c>
      <c r="G19" s="535" t="s">
        <v>1540</v>
      </c>
      <c r="H19" s="534" t="s">
        <v>1535</v>
      </c>
      <c r="I19" s="536">
        <v>20279535</v>
      </c>
      <c r="J19" s="536">
        <f>SUM(J20)</f>
        <v>321527.14999999991</v>
      </c>
      <c r="K19" s="536">
        <f t="shared" si="1"/>
        <v>321527.14999999991</v>
      </c>
      <c r="L19" s="536">
        <f t="shared" si="2"/>
        <v>0</v>
      </c>
      <c r="M19" s="536">
        <f t="shared" si="3"/>
        <v>0</v>
      </c>
      <c r="N19" s="536">
        <f t="shared" si="4"/>
        <v>0</v>
      </c>
      <c r="O19" s="536">
        <f t="shared" si="5"/>
        <v>0</v>
      </c>
      <c r="P19" s="188"/>
      <c r="Q19" s="188"/>
      <c r="R19" s="188"/>
      <c r="S19" s="188"/>
      <c r="T19" s="188"/>
      <c r="U19" s="188"/>
      <c r="V19" s="188"/>
    </row>
    <row r="20" spans="1:22" ht="106.5" customHeight="1" thickTop="1" thickBot="1" x14ac:dyDescent="0.25">
      <c r="A20" s="192"/>
      <c r="B20" s="329" t="s">
        <v>371</v>
      </c>
      <c r="C20" s="329" t="s">
        <v>371</v>
      </c>
      <c r="D20" s="329" t="s">
        <v>371</v>
      </c>
      <c r="E20" s="329" t="s">
        <v>1762</v>
      </c>
      <c r="F20" s="329" t="s">
        <v>1801</v>
      </c>
      <c r="G20" s="490" t="s">
        <v>1540</v>
      </c>
      <c r="H20" s="329" t="s">
        <v>371</v>
      </c>
      <c r="I20" s="329" t="s">
        <v>371</v>
      </c>
      <c r="J20" s="540">
        <f>SUM(K20:O20)</f>
        <v>321527.14999999991</v>
      </c>
      <c r="K20" s="540">
        <f>(2500000)-2178472.85</f>
        <v>321527.14999999991</v>
      </c>
      <c r="L20" s="523"/>
      <c r="M20" s="523"/>
      <c r="N20" s="523"/>
      <c r="O20" s="541"/>
      <c r="P20" s="188"/>
      <c r="Q20" s="188"/>
      <c r="R20" s="188"/>
      <c r="S20" s="188"/>
      <c r="T20" s="188"/>
      <c r="U20" s="188"/>
      <c r="V20" s="188"/>
    </row>
    <row r="21" spans="1:22" ht="48.75" customHeight="1" thickTop="1" thickBot="1" x14ac:dyDescent="0.25">
      <c r="A21" s="192"/>
      <c r="B21" s="532" t="s">
        <v>3</v>
      </c>
      <c r="C21" s="532" t="s">
        <v>683</v>
      </c>
      <c r="D21" s="532" t="s">
        <v>371</v>
      </c>
      <c r="E21" s="532" t="s">
        <v>371</v>
      </c>
      <c r="F21" s="532" t="s">
        <v>371</v>
      </c>
      <c r="G21" s="532" t="s">
        <v>1588</v>
      </c>
      <c r="H21" s="532" t="s">
        <v>371</v>
      </c>
      <c r="I21" s="532" t="s">
        <v>371</v>
      </c>
      <c r="J21" s="533">
        <f t="shared" ref="J21:O21" si="6">J22+J24+J26+J28+J30</f>
        <v>16500000</v>
      </c>
      <c r="K21" s="533">
        <f t="shared" si="6"/>
        <v>16500000</v>
      </c>
      <c r="L21" s="533">
        <f t="shared" si="6"/>
        <v>0</v>
      </c>
      <c r="M21" s="533">
        <f t="shared" si="6"/>
        <v>0</v>
      </c>
      <c r="N21" s="533">
        <f t="shared" si="6"/>
        <v>0</v>
      </c>
      <c r="O21" s="533">
        <f t="shared" si="6"/>
        <v>0</v>
      </c>
      <c r="P21" s="188"/>
      <c r="Q21" s="188"/>
      <c r="R21" s="188"/>
      <c r="S21" s="188"/>
      <c r="T21" s="188"/>
      <c r="U21" s="188"/>
      <c r="V21" s="188"/>
    </row>
    <row r="22" spans="1:22" ht="106.5" customHeight="1" thickTop="1" thickBot="1" x14ac:dyDescent="0.25">
      <c r="A22" s="192"/>
      <c r="B22" s="534" t="s">
        <v>1498</v>
      </c>
      <c r="C22" s="534" t="s">
        <v>1630</v>
      </c>
      <c r="D22" s="535" t="s">
        <v>1649</v>
      </c>
      <c r="E22" s="534" t="s">
        <v>371</v>
      </c>
      <c r="F22" s="534" t="s">
        <v>371</v>
      </c>
      <c r="G22" s="535" t="s">
        <v>1588</v>
      </c>
      <c r="H22" s="534" t="s">
        <v>1511</v>
      </c>
      <c r="I22" s="536">
        <v>14904255</v>
      </c>
      <c r="J22" s="536">
        <f>SUM(J23)</f>
        <v>7500000</v>
      </c>
      <c r="K22" s="536">
        <f t="shared" ref="K22:O30" si="7">SUM(K23)</f>
        <v>7500000</v>
      </c>
      <c r="L22" s="536">
        <f t="shared" si="7"/>
        <v>0</v>
      </c>
      <c r="M22" s="536">
        <f t="shared" si="7"/>
        <v>0</v>
      </c>
      <c r="N22" s="536">
        <f t="shared" si="7"/>
        <v>0</v>
      </c>
      <c r="O22" s="536">
        <f t="shared" si="7"/>
        <v>0</v>
      </c>
      <c r="P22" s="420"/>
      <c r="Q22" s="421"/>
      <c r="R22" s="188"/>
      <c r="S22" s="188"/>
      <c r="T22" s="188"/>
      <c r="U22" s="188"/>
      <c r="V22" s="188"/>
    </row>
    <row r="23" spans="1:22" ht="46.5" thickTop="1" thickBot="1" x14ac:dyDescent="0.25">
      <c r="A23" s="192"/>
      <c r="B23" s="329" t="s">
        <v>371</v>
      </c>
      <c r="C23" s="329" t="s">
        <v>371</v>
      </c>
      <c r="D23" s="329" t="s">
        <v>371</v>
      </c>
      <c r="E23" s="329" t="s">
        <v>1423</v>
      </c>
      <c r="F23" s="329" t="s">
        <v>1587</v>
      </c>
      <c r="G23" s="490" t="s">
        <v>1588</v>
      </c>
      <c r="H23" s="329" t="s">
        <v>371</v>
      </c>
      <c r="I23" s="329" t="s">
        <v>371</v>
      </c>
      <c r="J23" s="540">
        <f>SUM(K23:O23)</f>
        <v>7500000</v>
      </c>
      <c r="K23" s="540">
        <f>(2500000)+5000000</f>
        <v>7500000</v>
      </c>
      <c r="L23" s="523"/>
      <c r="M23" s="523"/>
      <c r="N23" s="523"/>
      <c r="O23" s="541"/>
      <c r="P23" s="883"/>
      <c r="Q23" s="884"/>
      <c r="R23" s="188"/>
      <c r="S23" s="188"/>
      <c r="T23" s="188"/>
      <c r="U23" s="188"/>
      <c r="V23" s="188"/>
    </row>
    <row r="24" spans="1:22" ht="87" thickTop="1" thickBot="1" x14ac:dyDescent="0.25">
      <c r="A24" s="192"/>
      <c r="B24" s="534" t="s">
        <v>1590</v>
      </c>
      <c r="C24" s="534" t="s">
        <v>1644</v>
      </c>
      <c r="D24" s="535" t="s">
        <v>1671</v>
      </c>
      <c r="E24" s="534" t="s">
        <v>371</v>
      </c>
      <c r="F24" s="534" t="s">
        <v>371</v>
      </c>
      <c r="G24" s="535" t="s">
        <v>1588</v>
      </c>
      <c r="H24" s="534" t="s">
        <v>1511</v>
      </c>
      <c r="I24" s="536">
        <v>11489013</v>
      </c>
      <c r="J24" s="536">
        <f>SUM(J25)</f>
        <v>2000000</v>
      </c>
      <c r="K24" s="536">
        <f t="shared" si="7"/>
        <v>2000000</v>
      </c>
      <c r="L24" s="536">
        <f t="shared" si="7"/>
        <v>0</v>
      </c>
      <c r="M24" s="536">
        <f t="shared" si="7"/>
        <v>0</v>
      </c>
      <c r="N24" s="536">
        <f t="shared" si="7"/>
        <v>0</v>
      </c>
      <c r="O24" s="536">
        <f t="shared" si="7"/>
        <v>0</v>
      </c>
      <c r="P24" s="883"/>
      <c r="Q24" s="884"/>
      <c r="R24" s="188"/>
      <c r="S24" s="188"/>
      <c r="T24" s="188"/>
      <c r="U24" s="188"/>
      <c r="V24" s="188"/>
    </row>
    <row r="25" spans="1:22" ht="46.5" thickTop="1" thickBot="1" x14ac:dyDescent="0.25">
      <c r="A25" s="192"/>
      <c r="B25" s="329" t="s">
        <v>371</v>
      </c>
      <c r="C25" s="329" t="s">
        <v>371</v>
      </c>
      <c r="D25" s="329" t="s">
        <v>371</v>
      </c>
      <c r="E25" s="329" t="s">
        <v>1423</v>
      </c>
      <c r="F25" s="329" t="s">
        <v>1587</v>
      </c>
      <c r="G25" s="329" t="s">
        <v>1588</v>
      </c>
      <c r="H25" s="329" t="s">
        <v>371</v>
      </c>
      <c r="I25" s="329" t="s">
        <v>371</v>
      </c>
      <c r="J25" s="540">
        <f>SUM(K25:O25)</f>
        <v>2000000</v>
      </c>
      <c r="K25" s="540">
        <v>2000000</v>
      </c>
      <c r="L25" s="523"/>
      <c r="M25" s="523"/>
      <c r="N25" s="523"/>
      <c r="O25" s="541"/>
      <c r="P25" s="883"/>
      <c r="Q25" s="884"/>
      <c r="R25" s="188"/>
      <c r="S25" s="188"/>
      <c r="T25" s="188"/>
      <c r="U25" s="188"/>
      <c r="V25" s="188"/>
    </row>
    <row r="26" spans="1:22" ht="117" customHeight="1" thickTop="1" thickBot="1" x14ac:dyDescent="0.25">
      <c r="A26" s="192"/>
      <c r="B26" s="534" t="s">
        <v>1591</v>
      </c>
      <c r="C26" s="534" t="s">
        <v>1645</v>
      </c>
      <c r="D26" s="535" t="s">
        <v>1672</v>
      </c>
      <c r="E26" s="534" t="s">
        <v>371</v>
      </c>
      <c r="F26" s="534" t="s">
        <v>371</v>
      </c>
      <c r="G26" s="535" t="s">
        <v>1588</v>
      </c>
      <c r="H26" s="534" t="s">
        <v>1511</v>
      </c>
      <c r="I26" s="536">
        <v>15021432</v>
      </c>
      <c r="J26" s="536">
        <f>SUM(J27)</f>
        <v>2500000</v>
      </c>
      <c r="K26" s="536">
        <f t="shared" si="7"/>
        <v>2500000</v>
      </c>
      <c r="L26" s="536">
        <f t="shared" si="7"/>
        <v>0</v>
      </c>
      <c r="M26" s="536">
        <f t="shared" si="7"/>
        <v>0</v>
      </c>
      <c r="N26" s="536">
        <f t="shared" si="7"/>
        <v>0</v>
      </c>
      <c r="O26" s="536">
        <f t="shared" si="7"/>
        <v>0</v>
      </c>
      <c r="P26" s="883"/>
      <c r="Q26" s="884"/>
      <c r="R26" s="188"/>
      <c r="S26" s="188"/>
      <c r="T26" s="188"/>
      <c r="U26" s="188"/>
      <c r="V26" s="188"/>
    </row>
    <row r="27" spans="1:22" ht="46.5" thickTop="1" thickBot="1" x14ac:dyDescent="0.25">
      <c r="A27" s="192"/>
      <c r="B27" s="329" t="s">
        <v>371</v>
      </c>
      <c r="C27" s="329" t="s">
        <v>371</v>
      </c>
      <c r="D27" s="329" t="s">
        <v>371</v>
      </c>
      <c r="E27" s="329" t="s">
        <v>1423</v>
      </c>
      <c r="F27" s="329" t="s">
        <v>1587</v>
      </c>
      <c r="G27" s="329" t="s">
        <v>1588</v>
      </c>
      <c r="H27" s="329" t="s">
        <v>371</v>
      </c>
      <c r="I27" s="329" t="s">
        <v>371</v>
      </c>
      <c r="J27" s="540">
        <f>SUM(K27:O27)</f>
        <v>2500000</v>
      </c>
      <c r="K27" s="540">
        <v>2500000</v>
      </c>
      <c r="L27" s="523"/>
      <c r="M27" s="523"/>
      <c r="N27" s="523"/>
      <c r="O27" s="541"/>
      <c r="P27" s="883"/>
      <c r="Q27" s="884"/>
      <c r="R27" s="188"/>
      <c r="S27" s="188"/>
      <c r="T27" s="188"/>
      <c r="U27" s="188"/>
      <c r="V27" s="188"/>
    </row>
    <row r="28" spans="1:22" ht="129.75" thickTop="1" thickBot="1" x14ac:dyDescent="0.25">
      <c r="A28" s="192"/>
      <c r="B28" s="534" t="s">
        <v>1592</v>
      </c>
      <c r="C28" s="534" t="s">
        <v>1646</v>
      </c>
      <c r="D28" s="535" t="s">
        <v>1670</v>
      </c>
      <c r="E28" s="534" t="s">
        <v>371</v>
      </c>
      <c r="F28" s="534" t="s">
        <v>371</v>
      </c>
      <c r="G28" s="535" t="s">
        <v>1588</v>
      </c>
      <c r="H28" s="534" t="s">
        <v>1511</v>
      </c>
      <c r="I28" s="536">
        <v>30500000</v>
      </c>
      <c r="J28" s="536">
        <f>SUM(J29)</f>
        <v>3000000</v>
      </c>
      <c r="K28" s="536">
        <f t="shared" si="7"/>
        <v>3000000</v>
      </c>
      <c r="L28" s="536">
        <f t="shared" si="7"/>
        <v>0</v>
      </c>
      <c r="M28" s="536">
        <f t="shared" si="7"/>
        <v>0</v>
      </c>
      <c r="N28" s="536">
        <f t="shared" si="7"/>
        <v>0</v>
      </c>
      <c r="O28" s="536">
        <f t="shared" si="7"/>
        <v>0</v>
      </c>
      <c r="P28" s="883"/>
      <c r="Q28" s="884"/>
      <c r="R28" s="188"/>
      <c r="S28" s="188"/>
      <c r="T28" s="188"/>
      <c r="U28" s="188"/>
      <c r="V28" s="188"/>
    </row>
    <row r="29" spans="1:22" ht="46.5" thickTop="1" thickBot="1" x14ac:dyDescent="0.25">
      <c r="A29" s="192"/>
      <c r="B29" s="329" t="s">
        <v>371</v>
      </c>
      <c r="C29" s="329" t="s">
        <v>371</v>
      </c>
      <c r="D29" s="329" t="s">
        <v>371</v>
      </c>
      <c r="E29" s="329" t="s">
        <v>1423</v>
      </c>
      <c r="F29" s="329" t="s">
        <v>1587</v>
      </c>
      <c r="G29" s="329" t="s">
        <v>1588</v>
      </c>
      <c r="H29" s="329" t="s">
        <v>371</v>
      </c>
      <c r="I29" s="329" t="s">
        <v>371</v>
      </c>
      <c r="J29" s="540">
        <f>SUM(K29:O29)</f>
        <v>3000000</v>
      </c>
      <c r="K29" s="540">
        <v>3000000</v>
      </c>
      <c r="L29" s="523"/>
      <c r="M29" s="523"/>
      <c r="N29" s="523"/>
      <c r="O29" s="541"/>
      <c r="P29" s="883"/>
      <c r="Q29" s="884"/>
      <c r="R29" s="188"/>
      <c r="S29" s="188"/>
      <c r="T29" s="188"/>
      <c r="U29" s="188"/>
      <c r="V29" s="188"/>
    </row>
    <row r="30" spans="1:22" ht="93" customHeight="1" thickTop="1" thickBot="1" x14ac:dyDescent="0.25">
      <c r="A30" s="192"/>
      <c r="B30" s="534" t="s">
        <v>1593</v>
      </c>
      <c r="C30" s="534" t="s">
        <v>1643</v>
      </c>
      <c r="D30" s="535" t="s">
        <v>1642</v>
      </c>
      <c r="E30" s="534" t="s">
        <v>371</v>
      </c>
      <c r="F30" s="534" t="s">
        <v>371</v>
      </c>
      <c r="G30" s="535" t="s">
        <v>1588</v>
      </c>
      <c r="H30" s="534" t="s">
        <v>1553</v>
      </c>
      <c r="I30" s="536">
        <v>16192450</v>
      </c>
      <c r="J30" s="536">
        <f>SUM(J31)</f>
        <v>1500000</v>
      </c>
      <c r="K30" s="536">
        <f t="shared" si="7"/>
        <v>1500000</v>
      </c>
      <c r="L30" s="536">
        <f t="shared" si="7"/>
        <v>0</v>
      </c>
      <c r="M30" s="536">
        <f t="shared" si="7"/>
        <v>0</v>
      </c>
      <c r="N30" s="536">
        <f t="shared" si="7"/>
        <v>0</v>
      </c>
      <c r="O30" s="536">
        <f t="shared" si="7"/>
        <v>0</v>
      </c>
      <c r="P30" s="883"/>
      <c r="Q30" s="884"/>
      <c r="R30" s="188"/>
      <c r="S30" s="188"/>
      <c r="T30" s="188"/>
      <c r="U30" s="188"/>
      <c r="V30" s="188"/>
    </row>
    <row r="31" spans="1:22" ht="46.5" thickTop="1" thickBot="1" x14ac:dyDescent="0.25">
      <c r="A31" s="192"/>
      <c r="B31" s="329" t="s">
        <v>371</v>
      </c>
      <c r="C31" s="329" t="s">
        <v>371</v>
      </c>
      <c r="D31" s="329" t="s">
        <v>371</v>
      </c>
      <c r="E31" s="329" t="s">
        <v>1423</v>
      </c>
      <c r="F31" s="329" t="s">
        <v>1587</v>
      </c>
      <c r="G31" s="329" t="s">
        <v>1588</v>
      </c>
      <c r="H31" s="329" t="s">
        <v>371</v>
      </c>
      <c r="I31" s="329" t="s">
        <v>371</v>
      </c>
      <c r="J31" s="540">
        <f>SUM(K31:O31)</f>
        <v>1500000</v>
      </c>
      <c r="K31" s="540">
        <f>(5000000)-3500000</f>
        <v>1500000</v>
      </c>
      <c r="L31" s="523"/>
      <c r="M31" s="523"/>
      <c r="N31" s="523"/>
      <c r="O31" s="541"/>
      <c r="P31" s="883"/>
      <c r="Q31" s="884"/>
      <c r="R31" s="188"/>
      <c r="S31" s="188"/>
      <c r="T31" s="188"/>
      <c r="U31" s="188"/>
      <c r="V31" s="188"/>
    </row>
    <row r="32" spans="1:22" ht="31.5" thickTop="1" thickBot="1" x14ac:dyDescent="0.25">
      <c r="A32" s="192"/>
      <c r="B32" s="532" t="s">
        <v>14</v>
      </c>
      <c r="C32" s="532" t="s">
        <v>1546</v>
      </c>
      <c r="D32" s="532" t="s">
        <v>371</v>
      </c>
      <c r="E32" s="532" t="s">
        <v>371</v>
      </c>
      <c r="F32" s="532" t="s">
        <v>371</v>
      </c>
      <c r="G32" s="532" t="s">
        <v>1551</v>
      </c>
      <c r="H32" s="532" t="s">
        <v>371</v>
      </c>
      <c r="I32" s="532" t="s">
        <v>371</v>
      </c>
      <c r="J32" s="533">
        <f>J33</f>
        <v>3689988</v>
      </c>
      <c r="K32" s="533">
        <f t="shared" ref="K32:O32" si="8">K33</f>
        <v>3689988</v>
      </c>
      <c r="L32" s="533">
        <f t="shared" si="8"/>
        <v>0</v>
      </c>
      <c r="M32" s="533">
        <f t="shared" si="8"/>
        <v>0</v>
      </c>
      <c r="N32" s="533">
        <f t="shared" si="8"/>
        <v>0</v>
      </c>
      <c r="O32" s="533">
        <f t="shared" si="8"/>
        <v>0</v>
      </c>
      <c r="P32" s="883"/>
      <c r="Q32" s="884"/>
      <c r="R32" s="188"/>
      <c r="S32" s="188"/>
      <c r="T32" s="188"/>
      <c r="U32" s="188"/>
      <c r="V32" s="188"/>
    </row>
    <row r="33" spans="1:22" ht="56.25" customHeight="1" thickTop="1" thickBot="1" x14ac:dyDescent="0.25">
      <c r="A33" s="192"/>
      <c r="B33" s="534" t="s">
        <v>1594</v>
      </c>
      <c r="C33" s="534" t="s">
        <v>1631</v>
      </c>
      <c r="D33" s="534" t="s">
        <v>1650</v>
      </c>
      <c r="E33" s="534" t="s">
        <v>371</v>
      </c>
      <c r="F33" s="534" t="s">
        <v>371</v>
      </c>
      <c r="G33" s="535" t="s">
        <v>1536</v>
      </c>
      <c r="H33" s="534" t="s">
        <v>1547</v>
      </c>
      <c r="I33" s="536">
        <v>100294275</v>
      </c>
      <c r="J33" s="536">
        <f>SUM(J34)</f>
        <v>3689988</v>
      </c>
      <c r="K33" s="536">
        <f t="shared" ref="K33" si="9">SUM(K34)</f>
        <v>3689988</v>
      </c>
      <c r="L33" s="536">
        <f t="shared" ref="L33" si="10">SUM(L34)</f>
        <v>0</v>
      </c>
      <c r="M33" s="536">
        <f t="shared" ref="M33" si="11">SUM(M34)</f>
        <v>0</v>
      </c>
      <c r="N33" s="536">
        <f t="shared" ref="N33" si="12">SUM(N34)</f>
        <v>0</v>
      </c>
      <c r="O33" s="536">
        <f t="shared" ref="O33" si="13">SUM(O34)</f>
        <v>0</v>
      </c>
      <c r="P33" s="883"/>
      <c r="Q33" s="884"/>
      <c r="R33" s="188"/>
      <c r="S33" s="188"/>
      <c r="T33" s="188"/>
      <c r="U33" s="188"/>
      <c r="V33" s="188"/>
    </row>
    <row r="34" spans="1:22" ht="46.5" thickTop="1" thickBot="1" x14ac:dyDescent="0.25">
      <c r="A34" s="192"/>
      <c r="B34" s="329" t="s">
        <v>371</v>
      </c>
      <c r="C34" s="329" t="s">
        <v>371</v>
      </c>
      <c r="D34" s="329" t="s">
        <v>371</v>
      </c>
      <c r="E34" s="490" t="s">
        <v>1544</v>
      </c>
      <c r="F34" s="526" t="s">
        <v>1543</v>
      </c>
      <c r="G34" s="490" t="s">
        <v>1536</v>
      </c>
      <c r="H34" s="329" t="s">
        <v>371</v>
      </c>
      <c r="I34" s="329" t="s">
        <v>371</v>
      </c>
      <c r="J34" s="492">
        <f>SUM(K34:O34)</f>
        <v>3689988</v>
      </c>
      <c r="K34" s="492">
        <f>((1000000)+1836296)+853692</f>
        <v>3689988</v>
      </c>
      <c r="L34" s="189"/>
      <c r="M34" s="189"/>
      <c r="N34" s="189"/>
      <c r="O34" s="190"/>
      <c r="P34" s="883"/>
      <c r="Q34" s="884"/>
      <c r="R34" s="188"/>
      <c r="S34" s="188"/>
      <c r="T34" s="188"/>
      <c r="U34" s="188"/>
      <c r="V34" s="188"/>
    </row>
    <row r="35" spans="1:22" ht="46.5" thickTop="1" thickBot="1" x14ac:dyDescent="0.25">
      <c r="A35" s="192"/>
      <c r="B35" s="532" t="s">
        <v>5</v>
      </c>
      <c r="C35" s="532" t="s">
        <v>1508</v>
      </c>
      <c r="D35" s="532" t="s">
        <v>371</v>
      </c>
      <c r="E35" s="532" t="s">
        <v>371</v>
      </c>
      <c r="F35" s="532" t="s">
        <v>371</v>
      </c>
      <c r="G35" s="532" t="s">
        <v>1509</v>
      </c>
      <c r="H35" s="532" t="s">
        <v>371</v>
      </c>
      <c r="I35" s="532" t="s">
        <v>371</v>
      </c>
      <c r="J35" s="533">
        <f t="shared" ref="J35:O35" si="14">J36+J38+J42+J46+J48+J40+J44</f>
        <v>64964755</v>
      </c>
      <c r="K35" s="533">
        <f t="shared" si="14"/>
        <v>64964755</v>
      </c>
      <c r="L35" s="533">
        <f t="shared" si="14"/>
        <v>0</v>
      </c>
      <c r="M35" s="533">
        <f t="shared" si="14"/>
        <v>0</v>
      </c>
      <c r="N35" s="533">
        <f t="shared" si="14"/>
        <v>0</v>
      </c>
      <c r="O35" s="533">
        <f t="shared" si="14"/>
        <v>0</v>
      </c>
      <c r="P35" s="420"/>
      <c r="Q35" s="421"/>
      <c r="R35" s="188"/>
      <c r="S35" s="188"/>
      <c r="T35" s="188"/>
      <c r="U35" s="188"/>
      <c r="V35" s="188"/>
    </row>
    <row r="36" spans="1:22" ht="102" customHeight="1" thickTop="1" thickBot="1" x14ac:dyDescent="0.25">
      <c r="A36" s="192"/>
      <c r="B36" s="534" t="s">
        <v>1595</v>
      </c>
      <c r="C36" s="534" t="s">
        <v>1620</v>
      </c>
      <c r="D36" s="535" t="s">
        <v>1651</v>
      </c>
      <c r="E36" s="534" t="s">
        <v>371</v>
      </c>
      <c r="F36" s="534" t="s">
        <v>371</v>
      </c>
      <c r="G36" s="535" t="s">
        <v>1510</v>
      </c>
      <c r="H36" s="534" t="s">
        <v>1511</v>
      </c>
      <c r="I36" s="536">
        <v>9664770</v>
      </c>
      <c r="J36" s="536">
        <f>SUM(J37)</f>
        <v>9664770</v>
      </c>
      <c r="K36" s="536">
        <f t="shared" ref="K36:O36" si="15">SUM(K37)</f>
        <v>9664770</v>
      </c>
      <c r="L36" s="536">
        <f t="shared" si="15"/>
        <v>0</v>
      </c>
      <c r="M36" s="536">
        <f t="shared" si="15"/>
        <v>0</v>
      </c>
      <c r="N36" s="536">
        <f t="shared" si="15"/>
        <v>0</v>
      </c>
      <c r="O36" s="536">
        <f t="shared" si="15"/>
        <v>0</v>
      </c>
      <c r="P36" s="420"/>
      <c r="Q36" s="421"/>
      <c r="R36" s="188"/>
      <c r="S36" s="188"/>
      <c r="T36" s="188"/>
      <c r="U36" s="188"/>
      <c r="V36" s="188"/>
    </row>
    <row r="37" spans="1:22" ht="78.75" customHeight="1" thickTop="1" thickBot="1" x14ac:dyDescent="0.25">
      <c r="A37" s="192"/>
      <c r="B37" s="329" t="s">
        <v>371</v>
      </c>
      <c r="C37" s="329" t="s">
        <v>371</v>
      </c>
      <c r="D37" s="329" t="s">
        <v>371</v>
      </c>
      <c r="E37" s="490" t="s">
        <v>1506</v>
      </c>
      <c r="F37" s="491" t="s">
        <v>1505</v>
      </c>
      <c r="G37" s="490" t="s">
        <v>1510</v>
      </c>
      <c r="H37" s="329" t="s">
        <v>371</v>
      </c>
      <c r="I37" s="329" t="s">
        <v>371</v>
      </c>
      <c r="J37" s="492">
        <f>SUM(K37:O37)</f>
        <v>9664770</v>
      </c>
      <c r="K37" s="493">
        <v>9664770</v>
      </c>
      <c r="L37" s="189"/>
      <c r="M37" s="189"/>
      <c r="N37" s="189"/>
      <c r="O37" s="190"/>
      <c r="P37" s="420"/>
      <c r="Q37" s="421"/>
      <c r="R37" s="188"/>
      <c r="S37" s="188"/>
      <c r="T37" s="188"/>
      <c r="U37" s="188"/>
      <c r="V37" s="188"/>
    </row>
    <row r="38" spans="1:22" ht="78.75" customHeight="1" thickTop="1" thickBot="1" x14ac:dyDescent="0.25">
      <c r="A38" s="192"/>
      <c r="B38" s="534" t="s">
        <v>1596</v>
      </c>
      <c r="C38" s="534" t="s">
        <v>1632</v>
      </c>
      <c r="D38" s="534" t="s">
        <v>1652</v>
      </c>
      <c r="E38" s="534" t="s">
        <v>371</v>
      </c>
      <c r="F38" s="534" t="s">
        <v>371</v>
      </c>
      <c r="G38" s="535" t="s">
        <v>1509</v>
      </c>
      <c r="H38" s="534" t="s">
        <v>1511</v>
      </c>
      <c r="I38" s="536">
        <v>7999850</v>
      </c>
      <c r="J38" s="536">
        <f>SUM(J39)</f>
        <v>799985</v>
      </c>
      <c r="K38" s="536">
        <f t="shared" ref="K38" si="16">SUM(K39)</f>
        <v>799985</v>
      </c>
      <c r="L38" s="536">
        <f t="shared" ref="L38" si="17">SUM(L39)</f>
        <v>0</v>
      </c>
      <c r="M38" s="536">
        <f t="shared" ref="M38" si="18">SUM(M39)</f>
        <v>0</v>
      </c>
      <c r="N38" s="536">
        <f t="shared" ref="N38" si="19">SUM(N39)</f>
        <v>0</v>
      </c>
      <c r="O38" s="536">
        <f t="shared" ref="O38" si="20">SUM(O39)</f>
        <v>0</v>
      </c>
      <c r="P38" s="420"/>
      <c r="Q38" s="421"/>
      <c r="R38" s="188"/>
      <c r="S38" s="188"/>
      <c r="T38" s="188"/>
      <c r="U38" s="188"/>
      <c r="V38" s="188"/>
    </row>
    <row r="39" spans="1:22" ht="78.75" customHeight="1" thickTop="1" thickBot="1" x14ac:dyDescent="0.25">
      <c r="A39" s="192"/>
      <c r="B39" s="329" t="s">
        <v>371</v>
      </c>
      <c r="C39" s="329" t="s">
        <v>371</v>
      </c>
      <c r="D39" s="329" t="s">
        <v>371</v>
      </c>
      <c r="E39" s="490" t="s">
        <v>1460</v>
      </c>
      <c r="F39" s="526" t="s">
        <v>1458</v>
      </c>
      <c r="G39" s="490" t="s">
        <v>1509</v>
      </c>
      <c r="H39" s="329" t="s">
        <v>371</v>
      </c>
      <c r="I39" s="329" t="s">
        <v>371</v>
      </c>
      <c r="J39" s="492">
        <f>SUM(K39:O39)</f>
        <v>799985</v>
      </c>
      <c r="K39" s="523">
        <v>799985</v>
      </c>
      <c r="L39" s="189"/>
      <c r="M39" s="189"/>
      <c r="N39" s="189"/>
      <c r="O39" s="190"/>
      <c r="P39" s="420"/>
      <c r="Q39" s="421"/>
      <c r="R39" s="188"/>
      <c r="S39" s="188"/>
      <c r="T39" s="188"/>
      <c r="U39" s="188"/>
      <c r="V39" s="188"/>
    </row>
    <row r="40" spans="1:22" ht="78.75" customHeight="1" thickTop="1" thickBot="1" x14ac:dyDescent="0.25">
      <c r="A40" s="192"/>
      <c r="B40" s="534" t="s">
        <v>1597</v>
      </c>
      <c r="C40" s="539" t="s">
        <v>1633</v>
      </c>
      <c r="D40" s="534" t="s">
        <v>1653</v>
      </c>
      <c r="E40" s="534" t="s">
        <v>371</v>
      </c>
      <c r="F40" s="534" t="s">
        <v>371</v>
      </c>
      <c r="G40" s="535" t="s">
        <v>1536</v>
      </c>
      <c r="H40" s="534" t="s">
        <v>1553</v>
      </c>
      <c r="I40" s="536">
        <v>650000</v>
      </c>
      <c r="J40" s="536">
        <f>SUM(J41)</f>
        <v>500000</v>
      </c>
      <c r="K40" s="536">
        <f t="shared" ref="K40" si="21">SUM(K41)</f>
        <v>500000</v>
      </c>
      <c r="L40" s="536">
        <f t="shared" ref="L40" si="22">SUM(L41)</f>
        <v>0</v>
      </c>
      <c r="M40" s="536">
        <f t="shared" ref="M40" si="23">SUM(M41)</f>
        <v>0</v>
      </c>
      <c r="N40" s="536">
        <f t="shared" ref="N40" si="24">SUM(N41)</f>
        <v>0</v>
      </c>
      <c r="O40" s="536">
        <f t="shared" ref="O40" si="25">SUM(O41)</f>
        <v>0</v>
      </c>
      <c r="P40" s="420"/>
      <c r="Q40" s="421"/>
      <c r="R40" s="188"/>
      <c r="S40" s="188"/>
      <c r="T40" s="188"/>
      <c r="U40" s="188"/>
      <c r="V40" s="188"/>
    </row>
    <row r="41" spans="1:22" ht="78.75" customHeight="1" thickTop="1" thickBot="1" x14ac:dyDescent="0.25">
      <c r="A41" s="192"/>
      <c r="B41" s="329" t="s">
        <v>371</v>
      </c>
      <c r="C41" s="490" t="s">
        <v>371</v>
      </c>
      <c r="D41" s="490" t="s">
        <v>371</v>
      </c>
      <c r="E41" s="329" t="s">
        <v>1555</v>
      </c>
      <c r="F41" s="526" t="s">
        <v>1458</v>
      </c>
      <c r="G41" s="329" t="s">
        <v>1536</v>
      </c>
      <c r="H41" s="329" t="s">
        <v>371</v>
      </c>
      <c r="I41" s="329" t="s">
        <v>371</v>
      </c>
      <c r="J41" s="540">
        <f>SUM(K41:O41)</f>
        <v>500000</v>
      </c>
      <c r="K41" s="523">
        <v>500000</v>
      </c>
      <c r="L41" s="523"/>
      <c r="M41" s="523"/>
      <c r="N41" s="523"/>
      <c r="O41" s="541"/>
      <c r="P41" s="420"/>
      <c r="Q41" s="421"/>
      <c r="R41" s="188"/>
      <c r="S41" s="188"/>
      <c r="T41" s="188"/>
      <c r="U41" s="188"/>
      <c r="V41" s="188"/>
    </row>
    <row r="42" spans="1:22" ht="78.75" customHeight="1" thickTop="1" thickBot="1" x14ac:dyDescent="0.25">
      <c r="A42" s="192"/>
      <c r="B42" s="534" t="s">
        <v>1598</v>
      </c>
      <c r="C42" s="534" t="s">
        <v>1521</v>
      </c>
      <c r="D42" s="534" t="s">
        <v>1758</v>
      </c>
      <c r="E42" s="534" t="s">
        <v>371</v>
      </c>
      <c r="F42" s="534" t="s">
        <v>371</v>
      </c>
      <c r="G42" s="535" t="s">
        <v>1509</v>
      </c>
      <c r="H42" s="534" t="s">
        <v>1511</v>
      </c>
      <c r="I42" s="536">
        <v>10000000</v>
      </c>
      <c r="J42" s="536">
        <f>SUM(J43)</f>
        <v>10000000</v>
      </c>
      <c r="K42" s="536">
        <f t="shared" ref="K42:K44" si="26">SUM(K43)</f>
        <v>10000000</v>
      </c>
      <c r="L42" s="536">
        <f t="shared" ref="L42:L44" si="27">SUM(L43)</f>
        <v>0</v>
      </c>
      <c r="M42" s="536">
        <f t="shared" ref="M42:M44" si="28">SUM(M43)</f>
        <v>0</v>
      </c>
      <c r="N42" s="536">
        <f t="shared" ref="N42:N44" si="29">SUM(N43)</f>
        <v>0</v>
      </c>
      <c r="O42" s="536">
        <f t="shared" ref="O42:O44" si="30">SUM(O43)</f>
        <v>0</v>
      </c>
      <c r="P42" s="420"/>
      <c r="Q42" s="421"/>
      <c r="R42" s="188"/>
      <c r="S42" s="188"/>
      <c r="T42" s="188"/>
      <c r="U42" s="188"/>
      <c r="V42" s="188"/>
    </row>
    <row r="43" spans="1:22" ht="78.75" customHeight="1" thickTop="1" thickBot="1" x14ac:dyDescent="0.25">
      <c r="A43" s="192"/>
      <c r="B43" s="329" t="s">
        <v>371</v>
      </c>
      <c r="C43" s="329" t="s">
        <v>371</v>
      </c>
      <c r="D43" s="329" t="s">
        <v>371</v>
      </c>
      <c r="E43" s="490" t="s">
        <v>1376</v>
      </c>
      <c r="F43" s="329" t="s">
        <v>1505</v>
      </c>
      <c r="G43" s="490" t="s">
        <v>1509</v>
      </c>
      <c r="H43" s="329" t="s">
        <v>371</v>
      </c>
      <c r="I43" s="329" t="s">
        <v>371</v>
      </c>
      <c r="J43" s="492">
        <f>SUM(K43:O43)</f>
        <v>10000000</v>
      </c>
      <c r="K43" s="523">
        <v>10000000</v>
      </c>
      <c r="L43" s="189"/>
      <c r="M43" s="189"/>
      <c r="N43" s="189"/>
      <c r="O43" s="190"/>
      <c r="P43" s="420"/>
      <c r="Q43" s="421"/>
      <c r="R43" s="188"/>
      <c r="S43" s="188"/>
      <c r="T43" s="188"/>
      <c r="U43" s="188"/>
      <c r="V43" s="188"/>
    </row>
    <row r="44" spans="1:22" ht="78.75" customHeight="1" thickTop="1" thickBot="1" x14ac:dyDescent="0.25">
      <c r="A44" s="192"/>
      <c r="B44" s="534" t="s">
        <v>1599</v>
      </c>
      <c r="C44" s="534" t="s">
        <v>1521</v>
      </c>
      <c r="D44" s="534" t="s">
        <v>1759</v>
      </c>
      <c r="E44" s="534" t="s">
        <v>371</v>
      </c>
      <c r="F44" s="534" t="s">
        <v>371</v>
      </c>
      <c r="G44" s="535" t="s">
        <v>1509</v>
      </c>
      <c r="H44" s="534" t="s">
        <v>1511</v>
      </c>
      <c r="I44" s="536">
        <v>35000000</v>
      </c>
      <c r="J44" s="536">
        <f>SUM(J45)</f>
        <v>35000000</v>
      </c>
      <c r="K44" s="536">
        <f t="shared" si="26"/>
        <v>35000000</v>
      </c>
      <c r="L44" s="536">
        <f t="shared" si="27"/>
        <v>0</v>
      </c>
      <c r="M44" s="536">
        <f t="shared" si="28"/>
        <v>0</v>
      </c>
      <c r="N44" s="536">
        <f t="shared" si="29"/>
        <v>0</v>
      </c>
      <c r="O44" s="536">
        <f t="shared" si="30"/>
        <v>0</v>
      </c>
      <c r="P44" s="420"/>
      <c r="Q44" s="421"/>
      <c r="R44" s="188"/>
      <c r="S44" s="188"/>
      <c r="T44" s="188"/>
      <c r="U44" s="188"/>
      <c r="V44" s="188"/>
    </row>
    <row r="45" spans="1:22" ht="78.75" customHeight="1" thickTop="1" thickBot="1" x14ac:dyDescent="0.25">
      <c r="A45" s="705"/>
      <c r="B45" s="329" t="s">
        <v>371</v>
      </c>
      <c r="C45" s="329" t="s">
        <v>371</v>
      </c>
      <c r="D45" s="329" t="s">
        <v>371</v>
      </c>
      <c r="E45" s="329" t="s">
        <v>1376</v>
      </c>
      <c r="F45" s="329" t="s">
        <v>1505</v>
      </c>
      <c r="G45" s="329" t="s">
        <v>1509</v>
      </c>
      <c r="H45" s="329" t="s">
        <v>371</v>
      </c>
      <c r="I45" s="329" t="s">
        <v>371</v>
      </c>
      <c r="J45" s="540">
        <f>SUM(K45:O45)</f>
        <v>35000000</v>
      </c>
      <c r="K45" s="523">
        <v>35000000</v>
      </c>
      <c r="L45" s="523"/>
      <c r="M45" s="523"/>
      <c r="N45" s="523"/>
      <c r="O45" s="541"/>
      <c r="P45" s="420"/>
      <c r="Q45" s="421"/>
      <c r="R45" s="188"/>
      <c r="S45" s="188"/>
      <c r="T45" s="188"/>
      <c r="U45" s="188"/>
      <c r="V45" s="188"/>
    </row>
    <row r="46" spans="1:22" ht="128.25" customHeight="1" thickTop="1" thickBot="1" x14ac:dyDescent="0.25">
      <c r="A46" s="192"/>
      <c r="B46" s="534" t="s">
        <v>1600</v>
      </c>
      <c r="C46" s="534" t="s">
        <v>1634</v>
      </c>
      <c r="D46" s="534" t="s">
        <v>1654</v>
      </c>
      <c r="E46" s="534" t="s">
        <v>371</v>
      </c>
      <c r="F46" s="534" t="s">
        <v>371</v>
      </c>
      <c r="G46" s="535" t="s">
        <v>1509</v>
      </c>
      <c r="H46" s="534" t="s">
        <v>1511</v>
      </c>
      <c r="I46" s="536">
        <v>28394601</v>
      </c>
      <c r="J46" s="536">
        <f>SUM(J47)</f>
        <v>8000000</v>
      </c>
      <c r="K46" s="536">
        <f t="shared" ref="K46" si="31">SUM(K47)</f>
        <v>8000000</v>
      </c>
      <c r="L46" s="536">
        <f t="shared" ref="L46" si="32">SUM(L47)</f>
        <v>0</v>
      </c>
      <c r="M46" s="536">
        <f t="shared" ref="M46" si="33">SUM(M47)</f>
        <v>0</v>
      </c>
      <c r="N46" s="536">
        <f t="shared" ref="N46" si="34">SUM(N47)</f>
        <v>0</v>
      </c>
      <c r="O46" s="536">
        <f t="shared" ref="O46" si="35">SUM(O47)</f>
        <v>0</v>
      </c>
      <c r="P46" s="420"/>
      <c r="Q46" s="421"/>
      <c r="R46" s="188"/>
      <c r="S46" s="188"/>
      <c r="T46" s="188"/>
      <c r="U46" s="188"/>
      <c r="V46" s="188"/>
    </row>
    <row r="47" spans="1:22" ht="78.75" customHeight="1" thickTop="1" thickBot="1" x14ac:dyDescent="0.25">
      <c r="A47" s="192"/>
      <c r="B47" s="329" t="s">
        <v>371</v>
      </c>
      <c r="C47" s="329" t="s">
        <v>371</v>
      </c>
      <c r="D47" s="329" t="s">
        <v>371</v>
      </c>
      <c r="E47" s="490" t="s">
        <v>1376</v>
      </c>
      <c r="F47" s="329" t="s">
        <v>1505</v>
      </c>
      <c r="G47" s="490" t="s">
        <v>1509</v>
      </c>
      <c r="H47" s="329" t="s">
        <v>371</v>
      </c>
      <c r="I47" s="329" t="s">
        <v>371</v>
      </c>
      <c r="J47" s="492">
        <f>SUM(K47:O47)</f>
        <v>8000000</v>
      </c>
      <c r="K47" s="523">
        <f>(5000000)+3000000</f>
        <v>8000000</v>
      </c>
      <c r="L47" s="189"/>
      <c r="M47" s="189"/>
      <c r="N47" s="189"/>
      <c r="O47" s="190"/>
      <c r="P47" s="420"/>
      <c r="Q47" s="421"/>
      <c r="R47" s="188"/>
      <c r="S47" s="188"/>
      <c r="T47" s="188"/>
      <c r="U47" s="188"/>
      <c r="V47" s="188"/>
    </row>
    <row r="48" spans="1:22" ht="105.75" customHeight="1" thickTop="1" thickBot="1" x14ac:dyDescent="0.25">
      <c r="A48" s="192"/>
      <c r="B48" s="534" t="s">
        <v>1757</v>
      </c>
      <c r="C48" s="534" t="s">
        <v>1635</v>
      </c>
      <c r="D48" s="534" t="s">
        <v>1655</v>
      </c>
      <c r="E48" s="534" t="s">
        <v>371</v>
      </c>
      <c r="F48" s="534" t="s">
        <v>371</v>
      </c>
      <c r="G48" s="535" t="s">
        <v>1509</v>
      </c>
      <c r="H48" s="534" t="s">
        <v>1511</v>
      </c>
      <c r="I48" s="536">
        <v>87000000</v>
      </c>
      <c r="J48" s="536">
        <f>SUM(J49)</f>
        <v>1000000</v>
      </c>
      <c r="K48" s="536">
        <f t="shared" ref="K48" si="36">SUM(K49)</f>
        <v>1000000</v>
      </c>
      <c r="L48" s="536">
        <f t="shared" ref="L48" si="37">SUM(L49)</f>
        <v>0</v>
      </c>
      <c r="M48" s="536">
        <f t="shared" ref="M48" si="38">SUM(M49)</f>
        <v>0</v>
      </c>
      <c r="N48" s="536">
        <f t="shared" ref="N48" si="39">SUM(N49)</f>
        <v>0</v>
      </c>
      <c r="O48" s="536">
        <f t="shared" ref="O48" si="40">SUM(O49)</f>
        <v>0</v>
      </c>
      <c r="P48" s="420"/>
      <c r="Q48" s="421"/>
      <c r="R48" s="188"/>
      <c r="S48" s="188"/>
      <c r="T48" s="188"/>
      <c r="U48" s="188"/>
      <c r="V48" s="188"/>
    </row>
    <row r="49" spans="1:22" ht="78.75" customHeight="1" thickTop="1" thickBot="1" x14ac:dyDescent="0.25">
      <c r="A49" s="192"/>
      <c r="B49" s="329" t="s">
        <v>371</v>
      </c>
      <c r="C49" s="329" t="s">
        <v>371</v>
      </c>
      <c r="D49" s="329" t="s">
        <v>371</v>
      </c>
      <c r="E49" s="490" t="s">
        <v>1376</v>
      </c>
      <c r="F49" s="329" t="s">
        <v>1505</v>
      </c>
      <c r="G49" s="490" t="s">
        <v>1509</v>
      </c>
      <c r="H49" s="329" t="s">
        <v>371</v>
      </c>
      <c r="I49" s="329" t="s">
        <v>371</v>
      </c>
      <c r="J49" s="492">
        <f>SUM(K49:O49)</f>
        <v>1000000</v>
      </c>
      <c r="K49" s="523">
        <v>1000000</v>
      </c>
      <c r="L49" s="189"/>
      <c r="M49" s="189"/>
      <c r="N49" s="189"/>
      <c r="O49" s="190"/>
      <c r="P49" s="420"/>
      <c r="Q49" s="421"/>
      <c r="R49" s="188"/>
      <c r="S49" s="188"/>
      <c r="T49" s="188"/>
      <c r="U49" s="188"/>
      <c r="V49" s="188"/>
    </row>
    <row r="50" spans="1:22" ht="78.75" customHeight="1" thickTop="1" thickBot="1" x14ac:dyDescent="0.25">
      <c r="A50" s="192"/>
      <c r="B50" s="532" t="s">
        <v>382</v>
      </c>
      <c r="C50" s="532" t="s">
        <v>1550</v>
      </c>
      <c r="D50" s="532" t="s">
        <v>371</v>
      </c>
      <c r="E50" s="532" t="s">
        <v>371</v>
      </c>
      <c r="F50" s="532" t="s">
        <v>371</v>
      </c>
      <c r="G50" s="532" t="s">
        <v>1552</v>
      </c>
      <c r="H50" s="532" t="s">
        <v>371</v>
      </c>
      <c r="I50" s="532" t="s">
        <v>371</v>
      </c>
      <c r="J50" s="533">
        <f>J51</f>
        <v>3315815</v>
      </c>
      <c r="K50" s="533">
        <f t="shared" ref="K50:O50" si="41">K51</f>
        <v>3315815</v>
      </c>
      <c r="L50" s="533">
        <f t="shared" si="41"/>
        <v>0</v>
      </c>
      <c r="M50" s="533">
        <f t="shared" si="41"/>
        <v>0</v>
      </c>
      <c r="N50" s="533">
        <f t="shared" si="41"/>
        <v>0</v>
      </c>
      <c r="O50" s="533">
        <f t="shared" si="41"/>
        <v>0</v>
      </c>
      <c r="P50" s="420"/>
      <c r="Q50" s="421"/>
      <c r="R50" s="188"/>
      <c r="S50" s="188"/>
      <c r="T50" s="188"/>
      <c r="U50" s="188"/>
      <c r="V50" s="188"/>
    </row>
    <row r="51" spans="1:22" ht="63.75" customHeight="1" thickTop="1" thickBot="1" x14ac:dyDescent="0.25">
      <c r="A51" s="192"/>
      <c r="B51" s="534" t="s">
        <v>1601</v>
      </c>
      <c r="C51" s="534" t="s">
        <v>1636</v>
      </c>
      <c r="D51" s="535" t="s">
        <v>1656</v>
      </c>
      <c r="E51" s="534" t="s">
        <v>371</v>
      </c>
      <c r="F51" s="534" t="s">
        <v>371</v>
      </c>
      <c r="G51" s="535" t="s">
        <v>1536</v>
      </c>
      <c r="H51" s="534" t="s">
        <v>1535</v>
      </c>
      <c r="I51" s="536">
        <v>650000000</v>
      </c>
      <c r="J51" s="536">
        <f>SUM(J52)</f>
        <v>3315815</v>
      </c>
      <c r="K51" s="536">
        <f t="shared" ref="K51" si="42">SUM(K52)</f>
        <v>3315815</v>
      </c>
      <c r="L51" s="536">
        <f t="shared" ref="L51" si="43">SUM(L52)</f>
        <v>0</v>
      </c>
      <c r="M51" s="536">
        <f t="shared" ref="M51" si="44">SUM(M52)</f>
        <v>0</v>
      </c>
      <c r="N51" s="536">
        <f t="shared" ref="N51" si="45">SUM(N52)</f>
        <v>0</v>
      </c>
      <c r="O51" s="536">
        <f t="shared" ref="O51" si="46">SUM(O52)</f>
        <v>0</v>
      </c>
      <c r="P51" s="420"/>
      <c r="Q51" s="421"/>
      <c r="R51" s="188"/>
      <c r="S51" s="188"/>
      <c r="T51" s="188"/>
      <c r="U51" s="188"/>
      <c r="V51" s="188"/>
    </row>
    <row r="52" spans="1:22" ht="78.75" customHeight="1" thickTop="1" thickBot="1" x14ac:dyDescent="0.25">
      <c r="A52" s="192"/>
      <c r="B52" s="329" t="s">
        <v>371</v>
      </c>
      <c r="C52" s="329" t="s">
        <v>371</v>
      </c>
      <c r="D52" s="329" t="s">
        <v>371</v>
      </c>
      <c r="E52" s="329" t="s">
        <v>1548</v>
      </c>
      <c r="F52" s="329" t="s">
        <v>1549</v>
      </c>
      <c r="G52" s="490" t="s">
        <v>1536</v>
      </c>
      <c r="H52" s="329" t="s">
        <v>371</v>
      </c>
      <c r="I52" s="329" t="s">
        <v>371</v>
      </c>
      <c r="J52" s="492">
        <f>SUM(K52:O52)</f>
        <v>3315815</v>
      </c>
      <c r="K52" s="493">
        <f>(5000000)-1684185</f>
        <v>3315815</v>
      </c>
      <c r="L52" s="189"/>
      <c r="M52" s="189"/>
      <c r="N52" s="189"/>
      <c r="O52" s="527"/>
      <c r="P52" s="420"/>
      <c r="Q52" s="421"/>
      <c r="R52" s="188"/>
      <c r="S52" s="188"/>
      <c r="T52" s="188"/>
      <c r="U52" s="188"/>
      <c r="V52" s="188"/>
    </row>
    <row r="53" spans="1:22" ht="63" customHeight="1" thickTop="1" thickBot="1" x14ac:dyDescent="0.25">
      <c r="A53" s="192"/>
      <c r="B53" s="532" t="s">
        <v>383</v>
      </c>
      <c r="C53" s="532" t="s">
        <v>1526</v>
      </c>
      <c r="D53" s="532" t="s">
        <v>371</v>
      </c>
      <c r="E53" s="532" t="s">
        <v>371</v>
      </c>
      <c r="F53" s="532" t="s">
        <v>371</v>
      </c>
      <c r="G53" s="532" t="s">
        <v>1527</v>
      </c>
      <c r="H53" s="532" t="s">
        <v>371</v>
      </c>
      <c r="I53" s="532" t="s">
        <v>371</v>
      </c>
      <c r="J53" s="533">
        <f t="shared" ref="J53:O53" si="47">J54+J56+J58+J60+J62+J66+J64+J68+J70</f>
        <v>19999339.370000001</v>
      </c>
      <c r="K53" s="533">
        <f t="shared" si="47"/>
        <v>19999339.370000001</v>
      </c>
      <c r="L53" s="533">
        <f t="shared" si="47"/>
        <v>0</v>
      </c>
      <c r="M53" s="533">
        <f t="shared" si="47"/>
        <v>0</v>
      </c>
      <c r="N53" s="533">
        <f t="shared" si="47"/>
        <v>0</v>
      </c>
      <c r="O53" s="533">
        <f t="shared" si="47"/>
        <v>0</v>
      </c>
      <c r="P53" s="420"/>
      <c r="Q53" s="421"/>
      <c r="R53" s="188"/>
      <c r="S53" s="188"/>
      <c r="T53" s="188"/>
      <c r="U53" s="188"/>
      <c r="V53" s="188"/>
    </row>
    <row r="54" spans="1:22" ht="75.75" customHeight="1" thickTop="1" thickBot="1" x14ac:dyDescent="0.25">
      <c r="A54" s="192"/>
      <c r="B54" s="534" t="s">
        <v>1602</v>
      </c>
      <c r="C54" s="534" t="s">
        <v>1621</v>
      </c>
      <c r="D54" s="535" t="s">
        <v>1657</v>
      </c>
      <c r="E54" s="534" t="s">
        <v>371</v>
      </c>
      <c r="F54" s="534" t="s">
        <v>371</v>
      </c>
      <c r="G54" s="535" t="s">
        <v>1527</v>
      </c>
      <c r="H54" s="534" t="s">
        <v>1558</v>
      </c>
      <c r="I54" s="536">
        <v>7612478</v>
      </c>
      <c r="J54" s="536">
        <f>SUM(J55)</f>
        <v>100000</v>
      </c>
      <c r="K54" s="536">
        <f t="shared" ref="K54" si="48">SUM(K55)</f>
        <v>100000</v>
      </c>
      <c r="L54" s="536">
        <f t="shared" ref="L54" si="49">SUM(L55)</f>
        <v>0</v>
      </c>
      <c r="M54" s="536">
        <f t="shared" ref="M54" si="50">SUM(M55)</f>
        <v>0</v>
      </c>
      <c r="N54" s="536">
        <f t="shared" ref="N54" si="51">SUM(N55)</f>
        <v>0</v>
      </c>
      <c r="O54" s="536">
        <f t="shared" ref="O54" si="52">SUM(O55)</f>
        <v>0</v>
      </c>
      <c r="P54" s="420"/>
      <c r="Q54" s="421"/>
      <c r="R54" s="188"/>
      <c r="S54" s="188"/>
      <c r="T54" s="188"/>
      <c r="U54" s="188"/>
      <c r="V54" s="188"/>
    </row>
    <row r="55" spans="1:22" ht="63" customHeight="1" thickTop="1" thickBot="1" x14ac:dyDescent="0.25">
      <c r="A55" s="192"/>
      <c r="B55" s="329" t="s">
        <v>371</v>
      </c>
      <c r="C55" s="329" t="s">
        <v>371</v>
      </c>
      <c r="D55" s="329" t="s">
        <v>371</v>
      </c>
      <c r="E55" s="329" t="s">
        <v>1355</v>
      </c>
      <c r="F55" s="329" t="s">
        <v>1742</v>
      </c>
      <c r="G55" s="490" t="s">
        <v>1527</v>
      </c>
      <c r="H55" s="329" t="s">
        <v>371</v>
      </c>
      <c r="I55" s="329" t="s">
        <v>371</v>
      </c>
      <c r="J55" s="492">
        <f>SUM(K55:O55)</f>
        <v>100000</v>
      </c>
      <c r="K55" s="493">
        <v>100000</v>
      </c>
      <c r="L55" s="189"/>
      <c r="M55" s="189"/>
      <c r="N55" s="189"/>
      <c r="O55" s="527"/>
      <c r="P55" s="420"/>
      <c r="Q55" s="421"/>
      <c r="R55" s="188"/>
      <c r="S55" s="188"/>
      <c r="T55" s="188"/>
      <c r="U55" s="188"/>
      <c r="V55" s="188"/>
    </row>
    <row r="56" spans="1:22" ht="63" customHeight="1" thickTop="1" thickBot="1" x14ac:dyDescent="0.25">
      <c r="A56" s="192"/>
      <c r="B56" s="534" t="s">
        <v>1603</v>
      </c>
      <c r="C56" s="534" t="s">
        <v>1622</v>
      </c>
      <c r="D56" s="534" t="s">
        <v>1658</v>
      </c>
      <c r="E56" s="534" t="s">
        <v>371</v>
      </c>
      <c r="F56" s="535" t="s">
        <v>371</v>
      </c>
      <c r="G56" s="534" t="s">
        <v>1527</v>
      </c>
      <c r="H56" s="534" t="s">
        <v>1558</v>
      </c>
      <c r="I56" s="536">
        <v>2685966</v>
      </c>
      <c r="J56" s="536">
        <f>SUM(J57)</f>
        <v>100000</v>
      </c>
      <c r="K56" s="536">
        <f t="shared" ref="K56" si="53">SUM(K57)</f>
        <v>100000</v>
      </c>
      <c r="L56" s="536">
        <f t="shared" ref="L56" si="54">SUM(L57)</f>
        <v>0</v>
      </c>
      <c r="M56" s="536">
        <f t="shared" ref="M56" si="55">SUM(M57)</f>
        <v>0</v>
      </c>
      <c r="N56" s="536">
        <f t="shared" ref="N56" si="56">SUM(N57)</f>
        <v>0</v>
      </c>
      <c r="O56" s="536">
        <f t="shared" ref="O56" si="57">SUM(O57)</f>
        <v>0</v>
      </c>
      <c r="P56" s="420"/>
      <c r="Q56" s="421"/>
      <c r="R56" s="188"/>
      <c r="S56" s="188"/>
      <c r="T56" s="188"/>
      <c r="U56" s="188"/>
      <c r="V56" s="188"/>
    </row>
    <row r="57" spans="1:22" ht="63" customHeight="1" thickTop="1" thickBot="1" x14ac:dyDescent="0.25">
      <c r="A57" s="192"/>
      <c r="B57" s="329" t="s">
        <v>371</v>
      </c>
      <c r="C57" s="329" t="s">
        <v>371</v>
      </c>
      <c r="D57" s="329" t="s">
        <v>371</v>
      </c>
      <c r="E57" s="329" t="s">
        <v>1355</v>
      </c>
      <c r="F57" s="329" t="s">
        <v>1742</v>
      </c>
      <c r="G57" s="490" t="s">
        <v>1527</v>
      </c>
      <c r="H57" s="329" t="s">
        <v>371</v>
      </c>
      <c r="I57" s="329" t="s">
        <v>371</v>
      </c>
      <c r="J57" s="492">
        <f>SUM(K57:O57)</f>
        <v>100000</v>
      </c>
      <c r="K57" s="493">
        <v>100000</v>
      </c>
      <c r="L57" s="189"/>
      <c r="M57" s="189"/>
      <c r="N57" s="189"/>
      <c r="O57" s="527"/>
      <c r="P57" s="420"/>
      <c r="Q57" s="421"/>
      <c r="R57" s="188"/>
      <c r="S57" s="188"/>
      <c r="T57" s="188"/>
      <c r="U57" s="188"/>
      <c r="V57" s="188"/>
    </row>
    <row r="58" spans="1:22" ht="63" customHeight="1" thickTop="1" thickBot="1" x14ac:dyDescent="0.25">
      <c r="A58" s="192"/>
      <c r="B58" s="534" t="s">
        <v>1604</v>
      </c>
      <c r="C58" s="534" t="s">
        <v>1623</v>
      </c>
      <c r="D58" s="536" t="s">
        <v>1749</v>
      </c>
      <c r="E58" s="534" t="s">
        <v>371</v>
      </c>
      <c r="F58" s="535" t="s">
        <v>371</v>
      </c>
      <c r="G58" s="534" t="s">
        <v>1527</v>
      </c>
      <c r="H58" s="534" t="s">
        <v>1750</v>
      </c>
      <c r="I58" s="536">
        <v>150550000</v>
      </c>
      <c r="J58" s="536">
        <f>SUM(J59)</f>
        <v>200000</v>
      </c>
      <c r="K58" s="536">
        <f t="shared" ref="K58" si="58">SUM(K59)</f>
        <v>200000</v>
      </c>
      <c r="L58" s="536">
        <f t="shared" ref="L58" si="59">SUM(L59)</f>
        <v>0</v>
      </c>
      <c r="M58" s="536">
        <f t="shared" ref="M58" si="60">SUM(M59)</f>
        <v>0</v>
      </c>
      <c r="N58" s="536">
        <f t="shared" ref="N58" si="61">SUM(N59)</f>
        <v>0</v>
      </c>
      <c r="O58" s="536">
        <f t="shared" ref="O58" si="62">SUM(O59)</f>
        <v>0</v>
      </c>
      <c r="P58" s="420"/>
      <c r="Q58" s="421"/>
      <c r="R58" s="188"/>
      <c r="S58" s="188"/>
      <c r="T58" s="188"/>
      <c r="U58" s="188"/>
      <c r="V58" s="188"/>
    </row>
    <row r="59" spans="1:22" ht="63" customHeight="1" thickTop="1" thickBot="1" x14ac:dyDescent="0.25">
      <c r="A59" s="192"/>
      <c r="B59" s="329" t="s">
        <v>371</v>
      </c>
      <c r="C59" s="329" t="s">
        <v>371</v>
      </c>
      <c r="D59" s="329" t="s">
        <v>371</v>
      </c>
      <c r="E59" s="329" t="s">
        <v>1355</v>
      </c>
      <c r="F59" s="329" t="s">
        <v>1742</v>
      </c>
      <c r="G59" s="490" t="s">
        <v>1527</v>
      </c>
      <c r="H59" s="329" t="s">
        <v>371</v>
      </c>
      <c r="I59" s="329" t="s">
        <v>371</v>
      </c>
      <c r="J59" s="492">
        <f>SUM(K59:O59)</f>
        <v>200000</v>
      </c>
      <c r="K59" s="493">
        <v>200000</v>
      </c>
      <c r="L59" s="189"/>
      <c r="M59" s="189"/>
      <c r="N59" s="189"/>
      <c r="O59" s="527"/>
      <c r="P59" s="420"/>
      <c r="Q59" s="421"/>
      <c r="R59" s="188"/>
      <c r="S59" s="188"/>
      <c r="T59" s="188"/>
      <c r="U59" s="188"/>
      <c r="V59" s="188"/>
    </row>
    <row r="60" spans="1:22" ht="70.5" customHeight="1" thickTop="1" thickBot="1" x14ac:dyDescent="0.25">
      <c r="A60" s="192"/>
      <c r="B60" s="534" t="s">
        <v>1605</v>
      </c>
      <c r="C60" s="534" t="s">
        <v>1625</v>
      </c>
      <c r="D60" s="536" t="s">
        <v>1659</v>
      </c>
      <c r="E60" s="534" t="s">
        <v>371</v>
      </c>
      <c r="F60" s="535" t="s">
        <v>371</v>
      </c>
      <c r="G60" s="534" t="s">
        <v>1527</v>
      </c>
      <c r="H60" s="534" t="s">
        <v>1558</v>
      </c>
      <c r="I60" s="536">
        <v>50000000</v>
      </c>
      <c r="J60" s="536">
        <f>SUM(J61)</f>
        <v>200000</v>
      </c>
      <c r="K60" s="536">
        <f t="shared" ref="K60" si="63">SUM(K61)</f>
        <v>200000</v>
      </c>
      <c r="L60" s="536">
        <f t="shared" ref="L60" si="64">SUM(L61)</f>
        <v>0</v>
      </c>
      <c r="M60" s="536">
        <f t="shared" ref="M60" si="65">SUM(M61)</f>
        <v>0</v>
      </c>
      <c r="N60" s="536">
        <f t="shared" ref="N60" si="66">SUM(N61)</f>
        <v>0</v>
      </c>
      <c r="O60" s="536">
        <f t="shared" ref="O60" si="67">SUM(O61)</f>
        <v>0</v>
      </c>
      <c r="P60" s="420"/>
      <c r="Q60" s="421"/>
      <c r="R60" s="188"/>
      <c r="S60" s="188"/>
      <c r="T60" s="188"/>
      <c r="U60" s="188"/>
      <c r="V60" s="188"/>
    </row>
    <row r="61" spans="1:22" ht="63" customHeight="1" thickTop="1" thickBot="1" x14ac:dyDescent="0.25">
      <c r="A61" s="192"/>
      <c r="B61" s="329" t="s">
        <v>371</v>
      </c>
      <c r="C61" s="329" t="s">
        <v>371</v>
      </c>
      <c r="D61" s="329" t="s">
        <v>371</v>
      </c>
      <c r="E61" s="329" t="s">
        <v>1355</v>
      </c>
      <c r="F61" s="329" t="s">
        <v>1742</v>
      </c>
      <c r="G61" s="490" t="s">
        <v>1527</v>
      </c>
      <c r="H61" s="329" t="s">
        <v>371</v>
      </c>
      <c r="I61" s="329" t="s">
        <v>371</v>
      </c>
      <c r="J61" s="492">
        <f>SUM(K61:O61)</f>
        <v>200000</v>
      </c>
      <c r="K61" s="493">
        <v>200000</v>
      </c>
      <c r="L61" s="189"/>
      <c r="M61" s="189"/>
      <c r="N61" s="189"/>
      <c r="O61" s="527"/>
      <c r="P61" s="420"/>
      <c r="Q61" s="421"/>
      <c r="R61" s="188"/>
      <c r="S61" s="188"/>
      <c r="T61" s="188"/>
      <c r="U61" s="188"/>
      <c r="V61" s="188"/>
    </row>
    <row r="62" spans="1:22" ht="66" customHeight="1" thickTop="1" thickBot="1" x14ac:dyDescent="0.25">
      <c r="A62" s="192"/>
      <c r="B62" s="534" t="s">
        <v>1606</v>
      </c>
      <c r="C62" s="534" t="s">
        <v>1752</v>
      </c>
      <c r="D62" s="536" t="s">
        <v>1751</v>
      </c>
      <c r="E62" s="534" t="s">
        <v>371</v>
      </c>
      <c r="F62" s="535" t="s">
        <v>371</v>
      </c>
      <c r="G62" s="534" t="s">
        <v>1527</v>
      </c>
      <c r="H62" s="534" t="s">
        <v>1753</v>
      </c>
      <c r="I62" s="536">
        <v>108716000</v>
      </c>
      <c r="J62" s="536">
        <f>SUM(J63)</f>
        <v>200000</v>
      </c>
      <c r="K62" s="536">
        <f t="shared" ref="K62" si="68">SUM(K63)</f>
        <v>200000</v>
      </c>
      <c r="L62" s="536">
        <f t="shared" ref="L62" si="69">SUM(L63)</f>
        <v>0</v>
      </c>
      <c r="M62" s="536">
        <f t="shared" ref="M62" si="70">SUM(M63)</f>
        <v>0</v>
      </c>
      <c r="N62" s="536">
        <f t="shared" ref="N62" si="71">SUM(N63)</f>
        <v>0</v>
      </c>
      <c r="O62" s="536">
        <f t="shared" ref="O62" si="72">SUM(O63)</f>
        <v>0</v>
      </c>
      <c r="P62" s="420"/>
      <c r="Q62" s="421"/>
      <c r="R62" s="188"/>
      <c r="S62" s="188"/>
      <c r="T62" s="188"/>
      <c r="U62" s="188"/>
      <c r="V62" s="188"/>
    </row>
    <row r="63" spans="1:22" ht="63" customHeight="1" thickTop="1" thickBot="1" x14ac:dyDescent="0.25">
      <c r="A63" s="192"/>
      <c r="B63" s="329" t="s">
        <v>371</v>
      </c>
      <c r="C63" s="329" t="s">
        <v>371</v>
      </c>
      <c r="D63" s="329" t="s">
        <v>371</v>
      </c>
      <c r="E63" s="329" t="s">
        <v>1355</v>
      </c>
      <c r="F63" s="329" t="s">
        <v>1742</v>
      </c>
      <c r="G63" s="490" t="s">
        <v>1527</v>
      </c>
      <c r="H63" s="329" t="s">
        <v>371</v>
      </c>
      <c r="I63" s="329" t="s">
        <v>371</v>
      </c>
      <c r="J63" s="492">
        <f>SUM(K63:O63)</f>
        <v>200000</v>
      </c>
      <c r="K63" s="493">
        <v>200000</v>
      </c>
      <c r="L63" s="189"/>
      <c r="M63" s="189"/>
      <c r="N63" s="189"/>
      <c r="O63" s="527"/>
      <c r="P63" s="420"/>
      <c r="Q63" s="421"/>
      <c r="R63" s="188"/>
      <c r="S63" s="188"/>
      <c r="T63" s="188"/>
      <c r="U63" s="188"/>
      <c r="V63" s="188"/>
    </row>
    <row r="64" spans="1:22" ht="63" customHeight="1" thickTop="1" thickBot="1" x14ac:dyDescent="0.25">
      <c r="A64" s="192"/>
      <c r="B64" s="534" t="s">
        <v>1607</v>
      </c>
      <c r="C64" s="534" t="s">
        <v>1627</v>
      </c>
      <c r="D64" s="535" t="s">
        <v>1661</v>
      </c>
      <c r="E64" s="534" t="s">
        <v>371</v>
      </c>
      <c r="F64" s="534" t="s">
        <v>371</v>
      </c>
      <c r="G64" s="535" t="s">
        <v>1527</v>
      </c>
      <c r="H64" s="534" t="s">
        <v>1558</v>
      </c>
      <c r="I64" s="536">
        <v>26210000</v>
      </c>
      <c r="J64" s="536">
        <f>SUM(J65)</f>
        <v>427391.2</v>
      </c>
      <c r="K64" s="536">
        <f t="shared" ref="K64" si="73">SUM(K65)</f>
        <v>427391.2</v>
      </c>
      <c r="L64" s="536">
        <f t="shared" ref="L64" si="74">SUM(L65)</f>
        <v>0</v>
      </c>
      <c r="M64" s="536">
        <f t="shared" ref="M64" si="75">SUM(M65)</f>
        <v>0</v>
      </c>
      <c r="N64" s="536">
        <f t="shared" ref="N64" si="76">SUM(N65)</f>
        <v>0</v>
      </c>
      <c r="O64" s="536">
        <f t="shared" ref="O64:O70" si="77">SUM(O65)</f>
        <v>0</v>
      </c>
      <c r="P64" s="420"/>
      <c r="Q64" s="421"/>
      <c r="R64" s="188"/>
      <c r="S64" s="188"/>
      <c r="T64" s="188"/>
      <c r="U64" s="188"/>
      <c r="V64" s="188"/>
    </row>
    <row r="65" spans="1:22" ht="63" customHeight="1" thickTop="1" thickBot="1" x14ac:dyDescent="0.25">
      <c r="A65" s="192"/>
      <c r="B65" s="329" t="s">
        <v>371</v>
      </c>
      <c r="C65" s="490" t="s">
        <v>371</v>
      </c>
      <c r="D65" s="490" t="s">
        <v>371</v>
      </c>
      <c r="E65" s="329" t="s">
        <v>1355</v>
      </c>
      <c r="F65" s="329" t="s">
        <v>1742</v>
      </c>
      <c r="G65" s="490" t="s">
        <v>1527</v>
      </c>
      <c r="H65" s="490" t="s">
        <v>371</v>
      </c>
      <c r="I65" s="490" t="s">
        <v>371</v>
      </c>
      <c r="J65" s="492">
        <f>SUM(K65:O65)</f>
        <v>427391.2</v>
      </c>
      <c r="K65" s="493">
        <v>427391.2</v>
      </c>
      <c r="L65" s="493"/>
      <c r="M65" s="493"/>
      <c r="N65" s="493"/>
      <c r="O65" s="529"/>
      <c r="P65" s="420"/>
      <c r="Q65" s="421"/>
      <c r="R65" s="188"/>
      <c r="S65" s="188"/>
      <c r="T65" s="188"/>
      <c r="U65" s="188"/>
      <c r="V65" s="188"/>
    </row>
    <row r="66" spans="1:22" ht="98.25" customHeight="1" thickTop="1" thickBot="1" x14ac:dyDescent="0.25">
      <c r="A66" s="192"/>
      <c r="B66" s="534" t="s">
        <v>1680</v>
      </c>
      <c r="C66" s="534" t="s">
        <v>1647</v>
      </c>
      <c r="D66" s="535" t="s">
        <v>1673</v>
      </c>
      <c r="E66" s="534" t="s">
        <v>371</v>
      </c>
      <c r="F66" s="535" t="s">
        <v>371</v>
      </c>
      <c r="G66" s="534" t="s">
        <v>1528</v>
      </c>
      <c r="H66" s="536" t="s">
        <v>1511</v>
      </c>
      <c r="I66" s="536">
        <v>2000000</v>
      </c>
      <c r="J66" s="536">
        <f>SUM(J67)</f>
        <v>1140000</v>
      </c>
      <c r="K66" s="536">
        <f t="shared" ref="K66:K70" si="78">SUM(K67)</f>
        <v>1140000</v>
      </c>
      <c r="L66" s="536">
        <f t="shared" ref="L66:L70" si="79">SUM(L67)</f>
        <v>0</v>
      </c>
      <c r="M66" s="536">
        <f t="shared" ref="M66:M70" si="80">SUM(M67)</f>
        <v>0</v>
      </c>
      <c r="N66" s="536">
        <f t="shared" ref="N66:N70" si="81">SUM(N67)</f>
        <v>0</v>
      </c>
      <c r="O66" s="536">
        <f t="shared" si="77"/>
        <v>0</v>
      </c>
      <c r="P66" s="420"/>
      <c r="Q66" s="421"/>
      <c r="R66" s="188"/>
      <c r="S66" s="188"/>
      <c r="T66" s="188"/>
      <c r="U66" s="188"/>
      <c r="V66" s="188"/>
    </row>
    <row r="67" spans="1:22" ht="58.5" customHeight="1" thickTop="1" thickBot="1" x14ac:dyDescent="0.25">
      <c r="A67" s="192"/>
      <c r="B67" s="329" t="s">
        <v>371</v>
      </c>
      <c r="C67" s="329" t="s">
        <v>371</v>
      </c>
      <c r="D67" s="329" t="s">
        <v>371</v>
      </c>
      <c r="E67" s="329" t="s">
        <v>1524</v>
      </c>
      <c r="F67" s="329" t="s">
        <v>1525</v>
      </c>
      <c r="G67" s="329" t="s">
        <v>1528</v>
      </c>
      <c r="H67" s="329" t="s">
        <v>371</v>
      </c>
      <c r="I67" s="329" t="s">
        <v>371</v>
      </c>
      <c r="J67" s="540">
        <f>SUM(K67:O67)</f>
        <v>1140000</v>
      </c>
      <c r="K67" s="523">
        <f>(500000)+640000</f>
        <v>1140000</v>
      </c>
      <c r="L67" s="523"/>
      <c r="M67" s="523"/>
      <c r="N67" s="523"/>
      <c r="O67" s="541"/>
      <c r="P67" s="420"/>
      <c r="Q67" s="421"/>
      <c r="R67" s="188"/>
      <c r="S67" s="188"/>
      <c r="T67" s="188"/>
      <c r="U67" s="188"/>
      <c r="V67" s="188"/>
    </row>
    <row r="68" spans="1:22" ht="58.5" customHeight="1" thickTop="1" thickBot="1" x14ac:dyDescent="0.25">
      <c r="A68" s="192"/>
      <c r="B68" s="534" t="s">
        <v>1743</v>
      </c>
      <c r="C68" s="534" t="s">
        <v>1744</v>
      </c>
      <c r="D68" s="535" t="s">
        <v>1745</v>
      </c>
      <c r="E68" s="534" t="s">
        <v>371</v>
      </c>
      <c r="F68" s="535" t="s">
        <v>371</v>
      </c>
      <c r="G68" s="535" t="s">
        <v>1527</v>
      </c>
      <c r="H68" s="534" t="s">
        <v>1535</v>
      </c>
      <c r="I68" s="536">
        <v>159000000</v>
      </c>
      <c r="J68" s="536">
        <f>SUM(J69)</f>
        <v>16631948.17</v>
      </c>
      <c r="K68" s="536">
        <f t="shared" si="78"/>
        <v>16631948.17</v>
      </c>
      <c r="L68" s="536">
        <f t="shared" si="79"/>
        <v>0</v>
      </c>
      <c r="M68" s="536">
        <f t="shared" si="80"/>
        <v>0</v>
      </c>
      <c r="N68" s="536">
        <f t="shared" si="81"/>
        <v>0</v>
      </c>
      <c r="O68" s="536">
        <f t="shared" si="77"/>
        <v>0</v>
      </c>
      <c r="P68" s="420"/>
      <c r="Q68" s="421"/>
      <c r="R68" s="188"/>
      <c r="S68" s="188"/>
      <c r="T68" s="188"/>
      <c r="U68" s="188"/>
      <c r="V68" s="188"/>
    </row>
    <row r="69" spans="1:22" ht="58.5" customHeight="1" thickTop="1" thickBot="1" x14ac:dyDescent="0.25">
      <c r="A69" s="192"/>
      <c r="B69" s="329" t="s">
        <v>371</v>
      </c>
      <c r="C69" s="329" t="s">
        <v>371</v>
      </c>
      <c r="D69" s="329" t="s">
        <v>371</v>
      </c>
      <c r="E69" s="329" t="s">
        <v>1355</v>
      </c>
      <c r="F69" s="329" t="s">
        <v>1742</v>
      </c>
      <c r="G69" s="490" t="s">
        <v>1527</v>
      </c>
      <c r="H69" s="329" t="s">
        <v>371</v>
      </c>
      <c r="I69" s="329" t="s">
        <v>371</v>
      </c>
      <c r="J69" s="540">
        <f>SUM(K69:O69)</f>
        <v>16631948.17</v>
      </c>
      <c r="K69" s="523">
        <v>16631948.17</v>
      </c>
      <c r="L69" s="189"/>
      <c r="M69" s="189"/>
      <c r="N69" s="189"/>
      <c r="O69" s="190"/>
      <c r="P69" s="420"/>
      <c r="Q69" s="421"/>
      <c r="R69" s="188"/>
      <c r="S69" s="188"/>
      <c r="T69" s="188"/>
      <c r="U69" s="188"/>
      <c r="V69" s="188"/>
    </row>
    <row r="70" spans="1:22" ht="76.5" customHeight="1" thickTop="1" thickBot="1" x14ac:dyDescent="0.25">
      <c r="A70" s="192"/>
      <c r="B70" s="534" t="s">
        <v>1746</v>
      </c>
      <c r="C70" s="534" t="s">
        <v>1748</v>
      </c>
      <c r="D70" s="535" t="s">
        <v>1747</v>
      </c>
      <c r="E70" s="534" t="s">
        <v>371</v>
      </c>
      <c r="F70" s="535" t="s">
        <v>371</v>
      </c>
      <c r="G70" s="535" t="s">
        <v>1527</v>
      </c>
      <c r="H70" s="534" t="s">
        <v>1511</v>
      </c>
      <c r="I70" s="536">
        <v>4611050</v>
      </c>
      <c r="J70" s="536">
        <f>SUM(J71)</f>
        <v>1000000</v>
      </c>
      <c r="K70" s="536">
        <f t="shared" si="78"/>
        <v>1000000</v>
      </c>
      <c r="L70" s="536">
        <f t="shared" si="79"/>
        <v>0</v>
      </c>
      <c r="M70" s="536">
        <f t="shared" si="80"/>
        <v>0</v>
      </c>
      <c r="N70" s="536">
        <f t="shared" si="81"/>
        <v>0</v>
      </c>
      <c r="O70" s="536">
        <f t="shared" si="77"/>
        <v>0</v>
      </c>
      <c r="P70" s="420"/>
      <c r="Q70" s="421"/>
      <c r="R70" s="188"/>
      <c r="S70" s="188"/>
      <c r="T70" s="188"/>
      <c r="U70" s="188"/>
      <c r="V70" s="188"/>
    </row>
    <row r="71" spans="1:22" ht="58.5" customHeight="1" thickTop="1" thickBot="1" x14ac:dyDescent="0.25">
      <c r="A71" s="192"/>
      <c r="B71" s="329" t="s">
        <v>371</v>
      </c>
      <c r="C71" s="329" t="s">
        <v>371</v>
      </c>
      <c r="D71" s="329" t="s">
        <v>371</v>
      </c>
      <c r="E71" s="329" t="s">
        <v>1355</v>
      </c>
      <c r="F71" s="329" t="s">
        <v>1742</v>
      </c>
      <c r="G71" s="329" t="s">
        <v>1527</v>
      </c>
      <c r="H71" s="329" t="s">
        <v>371</v>
      </c>
      <c r="I71" s="329" t="s">
        <v>371</v>
      </c>
      <c r="J71" s="540">
        <f>SUM(K71:O71)</f>
        <v>1000000</v>
      </c>
      <c r="K71" s="523">
        <v>1000000</v>
      </c>
      <c r="L71" s="189"/>
      <c r="M71" s="189"/>
      <c r="N71" s="189"/>
      <c r="O71" s="190"/>
      <c r="P71" s="420"/>
      <c r="Q71" s="421"/>
      <c r="R71" s="188"/>
      <c r="S71" s="188"/>
      <c r="T71" s="188"/>
      <c r="U71" s="188"/>
      <c r="V71" s="188"/>
    </row>
    <row r="72" spans="1:22" ht="48.75" customHeight="1" thickTop="1" thickBot="1" x14ac:dyDescent="0.25">
      <c r="A72" s="192"/>
      <c r="B72" s="532" t="s">
        <v>384</v>
      </c>
      <c r="C72" s="532" t="s">
        <v>1530</v>
      </c>
      <c r="D72" s="532" t="s">
        <v>371</v>
      </c>
      <c r="E72" s="532" t="s">
        <v>371</v>
      </c>
      <c r="F72" s="532" t="s">
        <v>371</v>
      </c>
      <c r="G72" s="532" t="s">
        <v>1531</v>
      </c>
      <c r="H72" s="532" t="s">
        <v>371</v>
      </c>
      <c r="I72" s="532" t="s">
        <v>371</v>
      </c>
      <c r="J72" s="533">
        <f>J73+J75+J81+J77+J79</f>
        <v>8515638</v>
      </c>
      <c r="K72" s="533">
        <f t="shared" ref="K72:O72" si="82">K73+K75+K81+K77+K79</f>
        <v>8515638</v>
      </c>
      <c r="L72" s="533">
        <f t="shared" si="82"/>
        <v>0</v>
      </c>
      <c r="M72" s="533">
        <f t="shared" si="82"/>
        <v>0</v>
      </c>
      <c r="N72" s="533">
        <f t="shared" si="82"/>
        <v>0</v>
      </c>
      <c r="O72" s="533">
        <f t="shared" si="82"/>
        <v>0</v>
      </c>
      <c r="P72" s="420"/>
      <c r="Q72" s="421"/>
      <c r="R72" s="188"/>
      <c r="S72" s="188"/>
      <c r="T72" s="188"/>
      <c r="U72" s="188"/>
      <c r="V72" s="188"/>
    </row>
    <row r="73" spans="1:22" ht="78.75" customHeight="1" thickTop="1" thickBot="1" x14ac:dyDescent="0.25">
      <c r="A73" s="192"/>
      <c r="B73" s="534" t="s">
        <v>1608</v>
      </c>
      <c r="C73" s="534" t="s">
        <v>1626</v>
      </c>
      <c r="D73" s="535" t="s">
        <v>1660</v>
      </c>
      <c r="E73" s="534" t="s">
        <v>371</v>
      </c>
      <c r="F73" s="534" t="s">
        <v>371</v>
      </c>
      <c r="G73" s="535" t="s">
        <v>1527</v>
      </c>
      <c r="H73" s="534" t="s">
        <v>1558</v>
      </c>
      <c r="I73" s="536">
        <v>40000000</v>
      </c>
      <c r="J73" s="536">
        <f>SUM(J74)</f>
        <v>200000</v>
      </c>
      <c r="K73" s="536">
        <f t="shared" ref="K73" si="83">SUM(K74)</f>
        <v>200000</v>
      </c>
      <c r="L73" s="536">
        <f t="shared" ref="L73" si="84">SUM(L74)</f>
        <v>0</v>
      </c>
      <c r="M73" s="536">
        <f t="shared" ref="M73" si="85">SUM(M74)</f>
        <v>0</v>
      </c>
      <c r="N73" s="536">
        <f t="shared" ref="N73" si="86">SUM(N74)</f>
        <v>0</v>
      </c>
      <c r="O73" s="536">
        <f t="shared" ref="O73" si="87">SUM(O74)</f>
        <v>0</v>
      </c>
      <c r="P73" s="420"/>
      <c r="Q73" s="421"/>
      <c r="R73" s="188"/>
      <c r="S73" s="188"/>
      <c r="T73" s="188"/>
      <c r="U73" s="188"/>
      <c r="V73" s="188"/>
    </row>
    <row r="74" spans="1:22" ht="78.75" customHeight="1" thickTop="1" thickBot="1" x14ac:dyDescent="0.25">
      <c r="A74" s="192"/>
      <c r="B74" s="329" t="s">
        <v>371</v>
      </c>
      <c r="C74" s="490" t="s">
        <v>371</v>
      </c>
      <c r="D74" s="490" t="s">
        <v>371</v>
      </c>
      <c r="E74" s="490" t="s">
        <v>1355</v>
      </c>
      <c r="F74" s="490" t="s">
        <v>1742</v>
      </c>
      <c r="G74" s="490" t="s">
        <v>1527</v>
      </c>
      <c r="H74" s="490" t="s">
        <v>371</v>
      </c>
      <c r="I74" s="490" t="s">
        <v>371</v>
      </c>
      <c r="J74" s="492">
        <f>SUM(K74:O74)</f>
        <v>200000</v>
      </c>
      <c r="K74" s="493">
        <v>200000</v>
      </c>
      <c r="L74" s="493"/>
      <c r="M74" s="493"/>
      <c r="N74" s="493"/>
      <c r="O74" s="529"/>
      <c r="P74" s="420"/>
      <c r="Q74" s="421"/>
      <c r="R74" s="188"/>
      <c r="S74" s="188"/>
      <c r="T74" s="188"/>
      <c r="U74" s="188"/>
      <c r="V74" s="188"/>
    </row>
    <row r="75" spans="1:22" ht="78.75" customHeight="1" thickTop="1" thickBot="1" x14ac:dyDescent="0.25">
      <c r="A75" s="192"/>
      <c r="B75" s="534" t="s">
        <v>1609</v>
      </c>
      <c r="C75" s="534" t="s">
        <v>1637</v>
      </c>
      <c r="D75" s="534" t="s">
        <v>1662</v>
      </c>
      <c r="E75" s="534" t="s">
        <v>371</v>
      </c>
      <c r="F75" s="534" t="s">
        <v>371</v>
      </c>
      <c r="G75" s="535" t="s">
        <v>1536</v>
      </c>
      <c r="H75" s="534" t="s">
        <v>1558</v>
      </c>
      <c r="I75" s="536">
        <v>84479280</v>
      </c>
      <c r="J75" s="536">
        <f>SUM(J76)</f>
        <v>348938</v>
      </c>
      <c r="K75" s="536">
        <f t="shared" ref="K75:K81" si="88">SUM(K76)</f>
        <v>348938</v>
      </c>
      <c r="L75" s="536">
        <f t="shared" ref="L75:L81" si="89">SUM(L76)</f>
        <v>0</v>
      </c>
      <c r="M75" s="536">
        <f t="shared" ref="M75:M81" si="90">SUM(M76)</f>
        <v>0</v>
      </c>
      <c r="N75" s="536">
        <f t="shared" ref="N75:N81" si="91">SUM(N76)</f>
        <v>0</v>
      </c>
      <c r="O75" s="536">
        <f t="shared" ref="O75:O81" si="92">SUM(O76)</f>
        <v>0</v>
      </c>
      <c r="P75" s="420"/>
      <c r="Q75" s="421"/>
      <c r="R75" s="188"/>
      <c r="S75" s="188"/>
      <c r="T75" s="188"/>
      <c r="U75" s="188"/>
      <c r="V75" s="188"/>
    </row>
    <row r="76" spans="1:22" ht="78.75" customHeight="1" thickTop="1" thickBot="1" x14ac:dyDescent="0.25">
      <c r="A76" s="192"/>
      <c r="B76" s="329" t="s">
        <v>371</v>
      </c>
      <c r="C76" s="329" t="s">
        <v>371</v>
      </c>
      <c r="D76" s="329" t="s">
        <v>371</v>
      </c>
      <c r="E76" s="329" t="s">
        <v>307</v>
      </c>
      <c r="F76" s="329" t="s">
        <v>1525</v>
      </c>
      <c r="G76" s="329" t="s">
        <v>1536</v>
      </c>
      <c r="H76" s="329" t="s">
        <v>371</v>
      </c>
      <c r="I76" s="329" t="s">
        <v>371</v>
      </c>
      <c r="J76" s="540">
        <f>SUM(K76:O76)</f>
        <v>348938</v>
      </c>
      <c r="K76" s="523">
        <f>(300000)+48938</f>
        <v>348938</v>
      </c>
      <c r="L76" s="189"/>
      <c r="M76" s="189"/>
      <c r="N76" s="189"/>
      <c r="O76" s="528"/>
      <c r="P76" s="420"/>
      <c r="Q76" s="421"/>
      <c r="R76" s="188"/>
      <c r="S76" s="188"/>
      <c r="T76" s="188"/>
      <c r="U76" s="188"/>
      <c r="V76" s="188"/>
    </row>
    <row r="77" spans="1:22" ht="78.75" customHeight="1" thickTop="1" thickBot="1" x14ac:dyDescent="0.25">
      <c r="A77" s="192"/>
      <c r="B77" s="534" t="s">
        <v>1610</v>
      </c>
      <c r="C77" s="534" t="s">
        <v>1790</v>
      </c>
      <c r="D77" s="534" t="s">
        <v>1791</v>
      </c>
      <c r="E77" s="534" t="s">
        <v>371</v>
      </c>
      <c r="F77" s="534" t="s">
        <v>371</v>
      </c>
      <c r="G77" s="535" t="s">
        <v>1536</v>
      </c>
      <c r="H77" s="534" t="s">
        <v>1558</v>
      </c>
      <c r="I77" s="536">
        <v>34270350</v>
      </c>
      <c r="J77" s="536">
        <f>SUM(J78)</f>
        <v>624668</v>
      </c>
      <c r="K77" s="536">
        <f t="shared" si="88"/>
        <v>624668</v>
      </c>
      <c r="L77" s="536">
        <f t="shared" si="89"/>
        <v>0</v>
      </c>
      <c r="M77" s="536">
        <f t="shared" si="90"/>
        <v>0</v>
      </c>
      <c r="N77" s="536">
        <f t="shared" si="91"/>
        <v>0</v>
      </c>
      <c r="O77" s="536">
        <f t="shared" si="92"/>
        <v>0</v>
      </c>
      <c r="P77" s="420"/>
      <c r="Q77" s="421"/>
      <c r="R77" s="188"/>
      <c r="S77" s="188"/>
      <c r="T77" s="188"/>
      <c r="U77" s="188"/>
      <c r="V77" s="188"/>
    </row>
    <row r="78" spans="1:22" ht="78.75" customHeight="1" thickTop="1" thickBot="1" x14ac:dyDescent="0.25">
      <c r="A78" s="192"/>
      <c r="B78" s="329" t="s">
        <v>371</v>
      </c>
      <c r="C78" s="329" t="s">
        <v>371</v>
      </c>
      <c r="D78" s="329" t="s">
        <v>371</v>
      </c>
      <c r="E78" s="329" t="s">
        <v>1789</v>
      </c>
      <c r="F78" s="329" t="s">
        <v>1532</v>
      </c>
      <c r="G78" s="329" t="s">
        <v>1536</v>
      </c>
      <c r="H78" s="329" t="s">
        <v>371</v>
      </c>
      <c r="I78" s="329" t="s">
        <v>371</v>
      </c>
      <c r="J78" s="540">
        <f>SUM(K78:O78)</f>
        <v>624668</v>
      </c>
      <c r="K78" s="523">
        <v>624668</v>
      </c>
      <c r="L78" s="523"/>
      <c r="M78" s="523"/>
      <c r="N78" s="523"/>
      <c r="O78" s="527"/>
      <c r="P78" s="420"/>
      <c r="Q78" s="421"/>
      <c r="R78" s="188"/>
      <c r="S78" s="188"/>
      <c r="T78" s="188"/>
      <c r="U78" s="188"/>
      <c r="V78" s="188"/>
    </row>
    <row r="79" spans="1:22" ht="78.75" customHeight="1" thickTop="1" thickBot="1" x14ac:dyDescent="0.25">
      <c r="A79" s="192"/>
      <c r="B79" s="534" t="s">
        <v>1792</v>
      </c>
      <c r="C79" s="534" t="s">
        <v>1794</v>
      </c>
      <c r="D79" s="534" t="s">
        <v>1795</v>
      </c>
      <c r="E79" s="534" t="s">
        <v>371</v>
      </c>
      <c r="F79" s="534" t="s">
        <v>371</v>
      </c>
      <c r="G79" s="535" t="s">
        <v>1536</v>
      </c>
      <c r="H79" s="534" t="s">
        <v>1535</v>
      </c>
      <c r="I79" s="536">
        <v>12362910</v>
      </c>
      <c r="J79" s="536">
        <f>SUM(J80)</f>
        <v>342032</v>
      </c>
      <c r="K79" s="536">
        <f t="shared" si="88"/>
        <v>342032</v>
      </c>
      <c r="L79" s="536">
        <f t="shared" si="89"/>
        <v>0</v>
      </c>
      <c r="M79" s="536">
        <f t="shared" si="90"/>
        <v>0</v>
      </c>
      <c r="N79" s="536">
        <f t="shared" si="91"/>
        <v>0</v>
      </c>
      <c r="O79" s="536">
        <f t="shared" si="92"/>
        <v>0</v>
      </c>
      <c r="P79" s="420"/>
      <c r="Q79" s="421"/>
      <c r="R79" s="188"/>
      <c r="S79" s="188"/>
      <c r="T79" s="188"/>
      <c r="U79" s="188"/>
      <c r="V79" s="188"/>
    </row>
    <row r="80" spans="1:22" ht="78.75" customHeight="1" thickTop="1" thickBot="1" x14ac:dyDescent="0.25">
      <c r="A80" s="192"/>
      <c r="B80" s="329" t="s">
        <v>371</v>
      </c>
      <c r="C80" s="329" t="s">
        <v>371</v>
      </c>
      <c r="D80" s="329" t="s">
        <v>371</v>
      </c>
      <c r="E80" s="329" t="s">
        <v>1789</v>
      </c>
      <c r="F80" s="329" t="s">
        <v>1532</v>
      </c>
      <c r="G80" s="329" t="s">
        <v>1536</v>
      </c>
      <c r="H80" s="329" t="s">
        <v>371</v>
      </c>
      <c r="I80" s="329" t="s">
        <v>371</v>
      </c>
      <c r="J80" s="540">
        <f>SUM(K80:O80)</f>
        <v>342032</v>
      </c>
      <c r="K80" s="523">
        <v>342032</v>
      </c>
      <c r="L80" s="523"/>
      <c r="M80" s="523"/>
      <c r="N80" s="523"/>
      <c r="O80" s="527"/>
      <c r="P80" s="420"/>
      <c r="Q80" s="421"/>
      <c r="R80" s="188"/>
      <c r="S80" s="188"/>
      <c r="T80" s="188"/>
      <c r="U80" s="188"/>
      <c r="V80" s="188"/>
    </row>
    <row r="81" spans="1:22" ht="109.5" customHeight="1" thickTop="1" thickBot="1" x14ac:dyDescent="0.25">
      <c r="A81" s="192"/>
      <c r="B81" s="534" t="s">
        <v>1793</v>
      </c>
      <c r="C81" s="534" t="s">
        <v>1628</v>
      </c>
      <c r="D81" s="535" t="s">
        <v>1663</v>
      </c>
      <c r="E81" s="534" t="s">
        <v>371</v>
      </c>
      <c r="F81" s="534" t="s">
        <v>371</v>
      </c>
      <c r="G81" s="535" t="s">
        <v>1531</v>
      </c>
      <c r="H81" s="534" t="s">
        <v>1564</v>
      </c>
      <c r="I81" s="536">
        <v>91420733</v>
      </c>
      <c r="J81" s="536">
        <f>SUM(J82)</f>
        <v>7000000</v>
      </c>
      <c r="K81" s="536">
        <f t="shared" si="88"/>
        <v>7000000</v>
      </c>
      <c r="L81" s="536">
        <f t="shared" si="89"/>
        <v>0</v>
      </c>
      <c r="M81" s="536">
        <f t="shared" si="90"/>
        <v>0</v>
      </c>
      <c r="N81" s="536">
        <f t="shared" si="91"/>
        <v>0</v>
      </c>
      <c r="O81" s="536">
        <f t="shared" si="92"/>
        <v>0</v>
      </c>
      <c r="P81" s="420"/>
      <c r="Q81" s="421"/>
      <c r="R81" s="188"/>
      <c r="S81" s="188"/>
      <c r="T81" s="188"/>
      <c r="U81" s="188"/>
      <c r="V81" s="188"/>
    </row>
    <row r="82" spans="1:22" ht="78.75" customHeight="1" thickTop="1" thickBot="1" x14ac:dyDescent="0.25">
      <c r="A82" s="192"/>
      <c r="B82" s="329" t="s">
        <v>371</v>
      </c>
      <c r="C82" s="329" t="s">
        <v>371</v>
      </c>
      <c r="D82" s="329" t="s">
        <v>371</v>
      </c>
      <c r="E82" s="329" t="s">
        <v>1734</v>
      </c>
      <c r="F82" s="329" t="s">
        <v>1736</v>
      </c>
      <c r="G82" s="490" t="s">
        <v>1531</v>
      </c>
      <c r="H82" s="329" t="s">
        <v>371</v>
      </c>
      <c r="I82" s="329" t="s">
        <v>371</v>
      </c>
      <c r="J82" s="540">
        <f>SUM(K82:O82)</f>
        <v>7000000</v>
      </c>
      <c r="K82" s="523">
        <f>(3000000)+4000000</f>
        <v>7000000</v>
      </c>
      <c r="L82" s="189"/>
      <c r="M82" s="189"/>
      <c r="N82" s="189"/>
      <c r="O82" s="528"/>
      <c r="P82" s="420"/>
      <c r="Q82" s="421"/>
      <c r="R82" s="188"/>
      <c r="S82" s="188"/>
      <c r="T82" s="188"/>
      <c r="U82" s="188"/>
      <c r="V82" s="188"/>
    </row>
    <row r="83" spans="1:22" ht="78.75" customHeight="1" thickTop="1" thickBot="1" x14ac:dyDescent="0.25">
      <c r="A83" s="192"/>
      <c r="B83" s="532" t="s">
        <v>385</v>
      </c>
      <c r="C83" s="532" t="s">
        <v>757</v>
      </c>
      <c r="D83" s="532" t="s">
        <v>371</v>
      </c>
      <c r="E83" s="532" t="s">
        <v>371</v>
      </c>
      <c r="F83" s="532" t="s">
        <v>371</v>
      </c>
      <c r="G83" s="532" t="s">
        <v>1536</v>
      </c>
      <c r="H83" s="532" t="s">
        <v>371</v>
      </c>
      <c r="I83" s="532" t="s">
        <v>371</v>
      </c>
      <c r="J83" s="533">
        <f t="shared" ref="J83:O83" si="93">J84+J86+J88+J90</f>
        <v>32919809</v>
      </c>
      <c r="K83" s="533">
        <f t="shared" si="93"/>
        <v>32919809</v>
      </c>
      <c r="L83" s="533">
        <f t="shared" si="93"/>
        <v>0</v>
      </c>
      <c r="M83" s="533">
        <f t="shared" si="93"/>
        <v>0</v>
      </c>
      <c r="N83" s="533">
        <f t="shared" si="93"/>
        <v>0</v>
      </c>
      <c r="O83" s="533">
        <f t="shared" si="93"/>
        <v>0</v>
      </c>
      <c r="P83" s="420"/>
      <c r="Q83" s="421"/>
      <c r="R83" s="188"/>
      <c r="S83" s="188"/>
      <c r="T83" s="188"/>
      <c r="U83" s="188"/>
      <c r="V83" s="188"/>
    </row>
    <row r="84" spans="1:22" ht="78.75" customHeight="1" thickTop="1" thickBot="1" x14ac:dyDescent="0.25">
      <c r="A84" s="192"/>
      <c r="B84" s="534" t="s">
        <v>1611</v>
      </c>
      <c r="C84" s="534" t="s">
        <v>1537</v>
      </c>
      <c r="D84" s="534" t="s">
        <v>1664</v>
      </c>
      <c r="E84" s="534" t="s">
        <v>371</v>
      </c>
      <c r="F84" s="534" t="s">
        <v>371</v>
      </c>
      <c r="G84" s="535" t="s">
        <v>1527</v>
      </c>
      <c r="H84" s="534" t="s">
        <v>1535</v>
      </c>
      <c r="I84" s="536">
        <v>127379406</v>
      </c>
      <c r="J84" s="536">
        <f>SUM(J85)</f>
        <v>10000000</v>
      </c>
      <c r="K84" s="536">
        <f t="shared" ref="K84" si="94">SUM(K85)</f>
        <v>10000000</v>
      </c>
      <c r="L84" s="536">
        <f t="shared" ref="L84" si="95">SUM(L85)</f>
        <v>0</v>
      </c>
      <c r="M84" s="536">
        <f t="shared" ref="M84" si="96">SUM(M85)</f>
        <v>0</v>
      </c>
      <c r="N84" s="536">
        <f t="shared" ref="N84" si="97">SUM(N85)</f>
        <v>0</v>
      </c>
      <c r="O84" s="536">
        <f t="shared" ref="O84" si="98">SUM(O85)</f>
        <v>0</v>
      </c>
      <c r="P84" s="420"/>
      <c r="Q84" s="421"/>
      <c r="R84" s="188"/>
      <c r="S84" s="188"/>
      <c r="T84" s="188"/>
      <c r="U84" s="188"/>
      <c r="V84" s="188"/>
    </row>
    <row r="85" spans="1:22" ht="78.75" customHeight="1" thickTop="1" thickBot="1" x14ac:dyDescent="0.25">
      <c r="A85" s="192"/>
      <c r="B85" s="329" t="s">
        <v>371</v>
      </c>
      <c r="C85" s="490" t="s">
        <v>371</v>
      </c>
      <c r="D85" s="490" t="s">
        <v>371</v>
      </c>
      <c r="E85" s="490" t="s">
        <v>1533</v>
      </c>
      <c r="F85" s="490" t="s">
        <v>1532</v>
      </c>
      <c r="G85" s="490" t="s">
        <v>1527</v>
      </c>
      <c r="H85" s="490" t="s">
        <v>371</v>
      </c>
      <c r="I85" s="490" t="s">
        <v>371</v>
      </c>
      <c r="J85" s="492">
        <f>SUM(K85:O85)</f>
        <v>10000000</v>
      </c>
      <c r="K85" s="493">
        <v>10000000</v>
      </c>
      <c r="L85" s="493"/>
      <c r="M85" s="493"/>
      <c r="N85" s="493"/>
      <c r="O85" s="529"/>
      <c r="P85" s="420"/>
      <c r="Q85" s="421"/>
      <c r="R85" s="188"/>
      <c r="S85" s="188"/>
      <c r="T85" s="188"/>
      <c r="U85" s="188"/>
      <c r="V85" s="188"/>
    </row>
    <row r="86" spans="1:22" ht="78.75" customHeight="1" thickTop="1" thickBot="1" x14ac:dyDescent="0.25">
      <c r="A86" s="192"/>
      <c r="B86" s="534" t="s">
        <v>1612</v>
      </c>
      <c r="C86" s="534" t="s">
        <v>1638</v>
      </c>
      <c r="D86" s="534" t="s">
        <v>1665</v>
      </c>
      <c r="E86" s="534" t="s">
        <v>371</v>
      </c>
      <c r="F86" s="534" t="s">
        <v>371</v>
      </c>
      <c r="G86" s="535" t="s">
        <v>1536</v>
      </c>
      <c r="H86" s="534" t="s">
        <v>1556</v>
      </c>
      <c r="I86" s="536">
        <v>174899368</v>
      </c>
      <c r="J86" s="536">
        <f>SUM(J87)</f>
        <v>20000000</v>
      </c>
      <c r="K86" s="536">
        <f t="shared" ref="K86" si="99">SUM(K87)</f>
        <v>20000000</v>
      </c>
      <c r="L86" s="536">
        <f t="shared" ref="L86" si="100">SUM(L87)</f>
        <v>0</v>
      </c>
      <c r="M86" s="536">
        <f t="shared" ref="M86" si="101">SUM(M87)</f>
        <v>0</v>
      </c>
      <c r="N86" s="536">
        <f t="shared" ref="N86" si="102">SUM(N87)</f>
        <v>0</v>
      </c>
      <c r="O86" s="536">
        <f t="shared" ref="O86" si="103">SUM(O87)</f>
        <v>0</v>
      </c>
      <c r="P86" s="420"/>
      <c r="Q86" s="421"/>
      <c r="R86" s="188"/>
      <c r="S86" s="188"/>
      <c r="T86" s="188"/>
      <c r="U86" s="188"/>
      <c r="V86" s="188"/>
    </row>
    <row r="87" spans="1:22" ht="78.75" customHeight="1" thickTop="1" thickBot="1" x14ac:dyDescent="0.25">
      <c r="A87" s="192"/>
      <c r="B87" s="329" t="s">
        <v>371</v>
      </c>
      <c r="C87" s="329" t="s">
        <v>371</v>
      </c>
      <c r="D87" s="329" t="s">
        <v>371</v>
      </c>
      <c r="E87" s="329" t="s">
        <v>307</v>
      </c>
      <c r="F87" s="490" t="s">
        <v>1525</v>
      </c>
      <c r="G87" s="490" t="s">
        <v>1536</v>
      </c>
      <c r="H87" s="329" t="s">
        <v>371</v>
      </c>
      <c r="I87" s="329" t="s">
        <v>371</v>
      </c>
      <c r="J87" s="540">
        <f>SUM(K87:O87)</f>
        <v>20000000</v>
      </c>
      <c r="K87" s="523">
        <f>(10000000)+10000000</f>
        <v>20000000</v>
      </c>
      <c r="L87" s="523"/>
      <c r="M87" s="523"/>
      <c r="N87" s="523"/>
      <c r="O87" s="527"/>
      <c r="P87" s="420"/>
      <c r="Q87" s="421"/>
      <c r="R87" s="188"/>
      <c r="S87" s="188"/>
      <c r="T87" s="188"/>
      <c r="U87" s="188"/>
      <c r="V87" s="188"/>
    </row>
    <row r="88" spans="1:22" ht="78.75" customHeight="1" thickTop="1" thickBot="1" x14ac:dyDescent="0.25">
      <c r="A88" s="192"/>
      <c r="B88" s="534" t="s">
        <v>1613</v>
      </c>
      <c r="C88" s="534" t="s">
        <v>1639</v>
      </c>
      <c r="D88" s="534" t="s">
        <v>1666</v>
      </c>
      <c r="E88" s="534" t="s">
        <v>371</v>
      </c>
      <c r="F88" s="534" t="s">
        <v>371</v>
      </c>
      <c r="G88" s="535" t="s">
        <v>1536</v>
      </c>
      <c r="H88" s="534" t="s">
        <v>1557</v>
      </c>
      <c r="I88" s="536">
        <v>192098922</v>
      </c>
      <c r="J88" s="536">
        <f>SUM(J89)</f>
        <v>919809</v>
      </c>
      <c r="K88" s="536">
        <f t="shared" ref="K88:K90" si="104">SUM(K89)</f>
        <v>919809</v>
      </c>
      <c r="L88" s="536">
        <f t="shared" ref="L88:L90" si="105">SUM(L89)</f>
        <v>0</v>
      </c>
      <c r="M88" s="536">
        <f t="shared" ref="M88:M90" si="106">SUM(M89)</f>
        <v>0</v>
      </c>
      <c r="N88" s="536">
        <f t="shared" ref="N88:N90" si="107">SUM(N89)</f>
        <v>0</v>
      </c>
      <c r="O88" s="536">
        <f t="shared" ref="O88:O90" si="108">SUM(O89)</f>
        <v>0</v>
      </c>
      <c r="P88" s="420"/>
      <c r="Q88" s="421"/>
      <c r="R88" s="188"/>
      <c r="S88" s="188"/>
      <c r="T88" s="188"/>
      <c r="U88" s="188"/>
      <c r="V88" s="188"/>
    </row>
    <row r="89" spans="1:22" ht="78.75" customHeight="1" thickTop="1" thickBot="1" x14ac:dyDescent="0.25">
      <c r="A89" s="192"/>
      <c r="B89" s="329" t="s">
        <v>371</v>
      </c>
      <c r="C89" s="329" t="s">
        <v>371</v>
      </c>
      <c r="D89" s="329" t="s">
        <v>371</v>
      </c>
      <c r="E89" s="329" t="s">
        <v>307</v>
      </c>
      <c r="F89" s="329" t="s">
        <v>1525</v>
      </c>
      <c r="G89" s="329" t="s">
        <v>1536</v>
      </c>
      <c r="H89" s="329" t="s">
        <v>371</v>
      </c>
      <c r="I89" s="329" t="s">
        <v>371</v>
      </c>
      <c r="J89" s="540">
        <f>SUM(K89:O89)</f>
        <v>919809</v>
      </c>
      <c r="K89" s="523">
        <f>((600000)+25000)+294809</f>
        <v>919809</v>
      </c>
      <c r="L89" s="189"/>
      <c r="M89" s="189"/>
      <c r="N89" s="189"/>
      <c r="O89" s="528"/>
      <c r="P89" s="420"/>
      <c r="Q89" s="421"/>
      <c r="R89" s="188"/>
      <c r="S89" s="188"/>
      <c r="T89" s="188"/>
      <c r="U89" s="188"/>
      <c r="V89" s="188"/>
    </row>
    <row r="90" spans="1:22" ht="78.75" customHeight="1" thickTop="1" thickBot="1" x14ac:dyDescent="0.25">
      <c r="A90" s="192"/>
      <c r="B90" s="539" t="s">
        <v>1738</v>
      </c>
      <c r="C90" s="539" t="s">
        <v>1739</v>
      </c>
      <c r="D90" s="539" t="s">
        <v>1740</v>
      </c>
      <c r="E90" s="539" t="s">
        <v>371</v>
      </c>
      <c r="F90" s="539" t="s">
        <v>371</v>
      </c>
      <c r="G90" s="694" t="s">
        <v>1536</v>
      </c>
      <c r="H90" s="539" t="s">
        <v>1741</v>
      </c>
      <c r="I90" s="695">
        <v>351500002</v>
      </c>
      <c r="J90" s="695">
        <f>SUM(J91)</f>
        <v>2000000</v>
      </c>
      <c r="K90" s="695">
        <f t="shared" si="104"/>
        <v>2000000</v>
      </c>
      <c r="L90" s="695">
        <f t="shared" si="105"/>
        <v>0</v>
      </c>
      <c r="M90" s="695">
        <f t="shared" si="106"/>
        <v>0</v>
      </c>
      <c r="N90" s="695">
        <f t="shared" si="107"/>
        <v>0</v>
      </c>
      <c r="O90" s="695">
        <f t="shared" si="108"/>
        <v>0</v>
      </c>
      <c r="P90" s="420"/>
      <c r="Q90" s="421"/>
      <c r="R90" s="188"/>
      <c r="S90" s="188"/>
      <c r="T90" s="188"/>
      <c r="U90" s="188"/>
      <c r="V90" s="188"/>
    </row>
    <row r="91" spans="1:22" ht="78.75" customHeight="1" thickTop="1" thickBot="1" x14ac:dyDescent="0.25">
      <c r="A91" s="192"/>
      <c r="B91" s="490" t="s">
        <v>371</v>
      </c>
      <c r="C91" s="490" t="s">
        <v>371</v>
      </c>
      <c r="D91" s="490" t="s">
        <v>371</v>
      </c>
      <c r="E91" s="490" t="s">
        <v>307</v>
      </c>
      <c r="F91" s="490" t="s">
        <v>1525</v>
      </c>
      <c r="G91" s="490" t="s">
        <v>1536</v>
      </c>
      <c r="H91" s="490" t="s">
        <v>371</v>
      </c>
      <c r="I91" s="490" t="s">
        <v>371</v>
      </c>
      <c r="J91" s="492">
        <f>SUM(K91:O91)</f>
        <v>2000000</v>
      </c>
      <c r="K91" s="493">
        <v>2000000</v>
      </c>
      <c r="L91" s="189"/>
      <c r="M91" s="189"/>
      <c r="N91" s="189"/>
      <c r="O91" s="528"/>
      <c r="P91" s="420"/>
      <c r="Q91" s="421"/>
      <c r="R91" s="188"/>
      <c r="S91" s="188"/>
      <c r="T91" s="188"/>
      <c r="U91" s="188"/>
      <c r="V91" s="188"/>
    </row>
    <row r="92" spans="1:22" ht="78.75" customHeight="1" thickTop="1" thickBot="1" x14ac:dyDescent="0.25">
      <c r="A92" s="192"/>
      <c r="B92" s="532" t="s">
        <v>386</v>
      </c>
      <c r="C92" s="532" t="s">
        <v>1542</v>
      </c>
      <c r="D92" s="532" t="s">
        <v>371</v>
      </c>
      <c r="E92" s="532" t="s">
        <v>371</v>
      </c>
      <c r="F92" s="532" t="s">
        <v>371</v>
      </c>
      <c r="G92" s="532" t="s">
        <v>1510</v>
      </c>
      <c r="H92" s="532" t="s">
        <v>371</v>
      </c>
      <c r="I92" s="532" t="s">
        <v>371</v>
      </c>
      <c r="J92" s="533">
        <f t="shared" ref="J92:O92" si="109">J95+J93</f>
        <v>22000000</v>
      </c>
      <c r="K92" s="533">
        <f t="shared" si="109"/>
        <v>22000000</v>
      </c>
      <c r="L92" s="533">
        <f t="shared" si="109"/>
        <v>0</v>
      </c>
      <c r="M92" s="533">
        <f t="shared" si="109"/>
        <v>0</v>
      </c>
      <c r="N92" s="533">
        <f t="shared" si="109"/>
        <v>0</v>
      </c>
      <c r="O92" s="533">
        <f t="shared" si="109"/>
        <v>0</v>
      </c>
      <c r="P92" s="420"/>
      <c r="Q92" s="421"/>
      <c r="R92" s="188"/>
      <c r="S92" s="188"/>
      <c r="T92" s="188"/>
      <c r="U92" s="188"/>
      <c r="V92" s="188"/>
    </row>
    <row r="93" spans="1:22" ht="78.75" customHeight="1" thickTop="1" thickBot="1" x14ac:dyDescent="0.25">
      <c r="A93" s="192"/>
      <c r="B93" s="534" t="s">
        <v>1614</v>
      </c>
      <c r="C93" s="534" t="s">
        <v>1618</v>
      </c>
      <c r="D93" s="535" t="s">
        <v>1667</v>
      </c>
      <c r="E93" s="534" t="s">
        <v>371</v>
      </c>
      <c r="F93" s="534" t="s">
        <v>371</v>
      </c>
      <c r="G93" s="535" t="s">
        <v>1540</v>
      </c>
      <c r="H93" s="534" t="s">
        <v>1581</v>
      </c>
      <c r="I93" s="536">
        <v>34029512</v>
      </c>
      <c r="J93" s="536">
        <f>SUM(J94)</f>
        <v>12000000</v>
      </c>
      <c r="K93" s="536">
        <f t="shared" ref="K93:K95" si="110">SUM(K94)</f>
        <v>12000000</v>
      </c>
      <c r="L93" s="536">
        <f t="shared" ref="L93:L95" si="111">SUM(L94)</f>
        <v>0</v>
      </c>
      <c r="M93" s="536">
        <f t="shared" ref="M93:M95" si="112">SUM(M94)</f>
        <v>0</v>
      </c>
      <c r="N93" s="536">
        <f t="shared" ref="N93:N95" si="113">SUM(N94)</f>
        <v>0</v>
      </c>
      <c r="O93" s="536">
        <f t="shared" ref="O93:O95" si="114">SUM(O94)</f>
        <v>0</v>
      </c>
      <c r="P93" s="420"/>
      <c r="Q93" s="421"/>
      <c r="R93" s="188"/>
      <c r="S93" s="188"/>
      <c r="T93" s="188"/>
      <c r="U93" s="188"/>
      <c r="V93" s="188"/>
    </row>
    <row r="94" spans="1:22" ht="78.75" customHeight="1" thickTop="1" thickBot="1" x14ac:dyDescent="0.25">
      <c r="A94" s="192"/>
      <c r="B94" s="329" t="s">
        <v>371</v>
      </c>
      <c r="C94" s="490" t="s">
        <v>371</v>
      </c>
      <c r="D94" s="490" t="s">
        <v>371</v>
      </c>
      <c r="E94" s="490" t="s">
        <v>1372</v>
      </c>
      <c r="F94" s="329" t="s">
        <v>1538</v>
      </c>
      <c r="G94" s="490" t="s">
        <v>1540</v>
      </c>
      <c r="H94" s="490" t="s">
        <v>371</v>
      </c>
      <c r="I94" s="490" t="s">
        <v>371</v>
      </c>
      <c r="J94" s="492">
        <f>SUM(K94:O94)</f>
        <v>12000000</v>
      </c>
      <c r="K94" s="493">
        <f>(7000000)+5000000</f>
        <v>12000000</v>
      </c>
      <c r="L94" s="493"/>
      <c r="M94" s="493"/>
      <c r="N94" s="493"/>
      <c r="O94" s="529"/>
      <c r="P94" s="420"/>
      <c r="Q94" s="421"/>
      <c r="R94" s="188"/>
      <c r="S94" s="188"/>
      <c r="T94" s="188"/>
      <c r="U94" s="188"/>
      <c r="V94" s="188"/>
    </row>
    <row r="95" spans="1:22" ht="78.75" customHeight="1" thickTop="1" thickBot="1" x14ac:dyDescent="0.25">
      <c r="A95" s="192"/>
      <c r="B95" s="534" t="s">
        <v>1615</v>
      </c>
      <c r="C95" s="534" t="s">
        <v>1640</v>
      </c>
      <c r="D95" s="534" t="s">
        <v>1668</v>
      </c>
      <c r="E95" s="534" t="s">
        <v>371</v>
      </c>
      <c r="F95" s="534" t="s">
        <v>371</v>
      </c>
      <c r="G95" s="535" t="s">
        <v>1536</v>
      </c>
      <c r="H95" s="534" t="s">
        <v>1541</v>
      </c>
      <c r="I95" s="536">
        <v>67943906</v>
      </c>
      <c r="J95" s="536">
        <f>SUM(J96)</f>
        <v>10000000</v>
      </c>
      <c r="K95" s="536">
        <f t="shared" si="110"/>
        <v>10000000</v>
      </c>
      <c r="L95" s="536">
        <f t="shared" si="111"/>
        <v>0</v>
      </c>
      <c r="M95" s="536">
        <f t="shared" si="112"/>
        <v>0</v>
      </c>
      <c r="N95" s="536">
        <f t="shared" si="113"/>
        <v>0</v>
      </c>
      <c r="O95" s="536">
        <f t="shared" si="114"/>
        <v>0</v>
      </c>
      <c r="P95" s="420"/>
      <c r="Q95" s="421"/>
      <c r="R95" s="188"/>
      <c r="S95" s="188"/>
      <c r="T95" s="188"/>
      <c r="U95" s="188"/>
      <c r="V95" s="188"/>
    </row>
    <row r="96" spans="1:22" ht="78.75" customHeight="1" thickTop="1" thickBot="1" x14ac:dyDescent="0.25">
      <c r="A96" s="192"/>
      <c r="B96" s="329" t="s">
        <v>371</v>
      </c>
      <c r="C96" s="490" t="s">
        <v>371</v>
      </c>
      <c r="D96" s="490" t="s">
        <v>371</v>
      </c>
      <c r="E96" s="490" t="s">
        <v>1358</v>
      </c>
      <c r="F96" s="329" t="s">
        <v>1538</v>
      </c>
      <c r="G96" s="490" t="s">
        <v>1536</v>
      </c>
      <c r="H96" s="490" t="s">
        <v>371</v>
      </c>
      <c r="I96" s="490" t="s">
        <v>371</v>
      </c>
      <c r="J96" s="492">
        <f>SUM(K96:O96)</f>
        <v>10000000</v>
      </c>
      <c r="K96" s="493">
        <v>10000000</v>
      </c>
      <c r="L96" s="493"/>
      <c r="M96" s="493"/>
      <c r="N96" s="493"/>
      <c r="O96" s="529"/>
      <c r="P96" s="420"/>
      <c r="Q96" s="421"/>
      <c r="R96" s="188"/>
      <c r="S96" s="188"/>
      <c r="T96" s="188"/>
      <c r="U96" s="188"/>
      <c r="V96" s="188"/>
    </row>
    <row r="97" spans="1:22" ht="48.75" customHeight="1" thickTop="1" thickBot="1" x14ac:dyDescent="0.25">
      <c r="A97" s="192"/>
      <c r="B97" s="332" t="s">
        <v>371</v>
      </c>
      <c r="C97" s="332" t="s">
        <v>371</v>
      </c>
      <c r="D97" s="332" t="s">
        <v>371</v>
      </c>
      <c r="E97" s="332" t="s">
        <v>371</v>
      </c>
      <c r="F97" s="332" t="s">
        <v>371</v>
      </c>
      <c r="G97" s="332" t="s">
        <v>371</v>
      </c>
      <c r="H97" s="332" t="s">
        <v>371</v>
      </c>
      <c r="I97" s="332" t="s">
        <v>381</v>
      </c>
      <c r="J97" s="332">
        <f>J83+J72+J53+J35+J92+J12+J50+J32+J21</f>
        <v>185906631.52000001</v>
      </c>
      <c r="K97" s="332">
        <f>K83+K72+K53+K35+K92+K12+K50+K32+K21</f>
        <v>185906631.52000001</v>
      </c>
      <c r="L97" s="332">
        <f t="shared" ref="L97:O97" si="115">L83+L72+L53+L35+L92+L12+L50+L32+L21</f>
        <v>0</v>
      </c>
      <c r="M97" s="332">
        <f t="shared" si="115"/>
        <v>0</v>
      </c>
      <c r="N97" s="332">
        <f t="shared" si="115"/>
        <v>0</v>
      </c>
      <c r="O97" s="332">
        <f t="shared" si="115"/>
        <v>0</v>
      </c>
      <c r="P97" s="307" t="b">
        <f>K97='d3'!P280+'d3'!P202+'d3'!P203+'d3'!P385+'d3'!P318+'d3'!P323+'d3'!P346+'d3'!P353+'d3'!P359+'d3'!P349+'d3'!P366+'d3'!P395+'d3'!P95+'d3'!P137+'d3'!P401+'d3'!M89+'d3'!P89+'d3'!P371</f>
        <v>1</v>
      </c>
      <c r="Q97" s="307" t="b">
        <f>K97='d7'!G248+'d7'!J192+'d7'!J193+'d7'!J194+'d7'!G354+'d7'!G296+'d7'!G301+'d7'!G329+'d7'!G330+'d7'!G333+'d7'!G336+'d7'!G332+'d7'!G342+'d7'!G343+'d7'!G362+'d7'!G110+'d7'!G109+'d7'!G142+'d7'!G366+'d7'!G297+'d7'!G104+'d7'!G345</f>
        <v>1</v>
      </c>
      <c r="R97" s="307"/>
      <c r="S97" s="188"/>
      <c r="T97" s="188"/>
      <c r="U97" s="188"/>
      <c r="V97" s="188"/>
    </row>
    <row r="98" spans="1:22" ht="30.75" customHeight="1" thickTop="1" thickBot="1" x14ac:dyDescent="0.25">
      <c r="B98" s="882" t="s">
        <v>1580</v>
      </c>
      <c r="C98" s="882"/>
      <c r="D98" s="882"/>
      <c r="E98" s="882"/>
      <c r="F98" s="882"/>
      <c r="G98" s="882"/>
      <c r="H98" s="882"/>
      <c r="I98" s="882"/>
      <c r="J98" s="882"/>
      <c r="K98" s="882"/>
      <c r="L98" s="882"/>
      <c r="M98" s="882"/>
      <c r="N98" s="882"/>
      <c r="O98" s="882"/>
      <c r="P98" s="307" t="b">
        <f>K97=K96+K94+K89+K87+K85+K82+K76+K65+K74+K67+K63+K61+K59+K57+K55+K52+K49+K47+K43+K41+K39+K37+K34+K31+K29+K27+K25+K23+K18+K16+K14+K91+K71+K69+K45+K20+K80+K78</f>
        <v>1</v>
      </c>
      <c r="Q98"/>
      <c r="R98" s="334"/>
      <c r="S98" s="334"/>
      <c r="T98" s="334"/>
      <c r="U98" s="334"/>
      <c r="V98" s="334"/>
    </row>
    <row r="99" spans="1:22" ht="21.75" thickTop="1" thickBot="1" x14ac:dyDescent="0.25">
      <c r="E99" s="885"/>
      <c r="F99" s="885"/>
      <c r="G99" s="885"/>
      <c r="H99" s="885"/>
      <c r="I99" s="885"/>
      <c r="J99" s="885"/>
      <c r="K99" s="885"/>
      <c r="L99" s="885"/>
      <c r="M99" s="885"/>
      <c r="N99" s="885"/>
      <c r="O99" s="885"/>
      <c r="P99" s="307"/>
      <c r="Q99" s="244"/>
      <c r="R99" s="244"/>
      <c r="S99" s="244"/>
      <c r="T99" s="244"/>
      <c r="U99" s="244"/>
      <c r="V99" s="244"/>
    </row>
    <row r="100" spans="1:22" ht="21" customHeight="1" thickTop="1" x14ac:dyDescent="0.25">
      <c r="D100" s="881" t="s">
        <v>1417</v>
      </c>
      <c r="E100" s="881"/>
      <c r="F100" s="241"/>
      <c r="G100" s="346"/>
      <c r="H100" s="253" t="s">
        <v>1418</v>
      </c>
      <c r="I100" s="248"/>
      <c r="J100" s="247"/>
      <c r="K100" s="247"/>
      <c r="L100" s="247"/>
      <c r="M100" s="247"/>
      <c r="N100" s="247"/>
      <c r="O100" s="245"/>
      <c r="P100" s="244"/>
      <c r="Q100" s="244"/>
      <c r="R100" s="244"/>
      <c r="S100" s="244"/>
      <c r="T100" s="244"/>
      <c r="U100" s="244"/>
      <c r="V100" s="244"/>
    </row>
    <row r="101" spans="1:22" ht="15" hidden="1" x14ac:dyDescent="0.25">
      <c r="D101" s="245" t="s">
        <v>1245</v>
      </c>
      <c r="E101" s="246"/>
      <c r="F101" s="423"/>
      <c r="G101" s="246"/>
      <c r="H101" s="245" t="s">
        <v>1246</v>
      </c>
      <c r="I101" s="248"/>
      <c r="J101" s="247"/>
      <c r="K101" s="247"/>
      <c r="L101" s="247"/>
      <c r="M101" s="247"/>
      <c r="N101" s="247"/>
      <c r="O101" s="245"/>
      <c r="P101" s="244"/>
      <c r="Q101" s="244"/>
      <c r="R101" s="244"/>
      <c r="S101" s="244"/>
      <c r="T101" s="244"/>
      <c r="U101" s="244"/>
      <c r="V101" s="244"/>
    </row>
    <row r="102" spans="1:22" ht="15" hidden="1" x14ac:dyDescent="0.25">
      <c r="D102" s="875" t="s">
        <v>1472</v>
      </c>
      <c r="E102" s="876"/>
      <c r="F102" s="423"/>
      <c r="G102" s="344"/>
      <c r="H102" s="342" t="s">
        <v>1471</v>
      </c>
      <c r="I102" s="248"/>
      <c r="J102" s="247"/>
      <c r="K102" s="247"/>
      <c r="L102" s="247"/>
      <c r="M102" s="247"/>
      <c r="N102" s="247"/>
      <c r="O102" s="245"/>
      <c r="P102" s="244"/>
      <c r="Q102" s="244"/>
      <c r="R102" s="244"/>
      <c r="S102" s="244"/>
      <c r="T102" s="244"/>
      <c r="U102" s="244"/>
      <c r="V102" s="244"/>
    </row>
    <row r="103" spans="1:22" ht="48" customHeight="1" x14ac:dyDescent="0.25">
      <c r="D103" s="248" t="s">
        <v>501</v>
      </c>
      <c r="E103" s="246"/>
      <c r="F103" s="423"/>
      <c r="G103" s="345"/>
      <c r="H103" s="245" t="s">
        <v>1168</v>
      </c>
      <c r="I103" s="245"/>
      <c r="J103" s="247"/>
      <c r="K103" s="247"/>
      <c r="L103" s="247"/>
      <c r="M103" s="247"/>
      <c r="N103" s="247"/>
      <c r="O103" s="245"/>
      <c r="P103" s="244"/>
      <c r="Q103" s="244"/>
      <c r="R103" s="244"/>
      <c r="S103" s="244"/>
      <c r="T103" s="244"/>
      <c r="U103" s="244"/>
      <c r="V103" s="244"/>
    </row>
    <row r="104" spans="1:22" ht="15" x14ac:dyDescent="0.2">
      <c r="D104" s="731"/>
      <c r="E104" s="732"/>
      <c r="F104" s="424"/>
      <c r="G104" s="424"/>
      <c r="H104" s="425"/>
    </row>
    <row r="113" spans="16:16" ht="90" x14ac:dyDescent="1.1499999999999999">
      <c r="P113" s="174"/>
    </row>
  </sheetData>
  <mergeCells count="25">
    <mergeCell ref="P23:P34"/>
    <mergeCell ref="Q23:Q34"/>
    <mergeCell ref="E99:O99"/>
    <mergeCell ref="B9:B10"/>
    <mergeCell ref="C9:C10"/>
    <mergeCell ref="D9:D10"/>
    <mergeCell ref="E9:E10"/>
    <mergeCell ref="F9:F10"/>
    <mergeCell ref="I9:I10"/>
    <mergeCell ref="J9:J10"/>
    <mergeCell ref="K9:O9"/>
    <mergeCell ref="D102:E102"/>
    <mergeCell ref="D104:E104"/>
    <mergeCell ref="G9:G10"/>
    <mergeCell ref="H9:H10"/>
    <mergeCell ref="D100:E100"/>
    <mergeCell ref="B98:O98"/>
    <mergeCell ref="G7:K7"/>
    <mergeCell ref="B8:C8"/>
    <mergeCell ref="E1:O1"/>
    <mergeCell ref="B4:O4"/>
    <mergeCell ref="B5:O5"/>
    <mergeCell ref="B6:O6"/>
    <mergeCell ref="B7:C7"/>
    <mergeCell ref="N2:O3"/>
  </mergeCells>
  <printOptions horizontalCentered="1"/>
  <pageMargins left="0.82677165354330717" right="0" top="0.31496062992125984" bottom="0.31496062992125984" header="0.23622047244094491" footer="0.19685039370078741"/>
  <pageSetup paperSize="9" scale="39" orientation="landscape" verticalDpi="300"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63"/>
  <sheetViews>
    <sheetView view="pageBreakPreview" zoomScale="10" zoomScaleNormal="25" zoomScaleSheetLayoutView="10" zoomScalePageLayoutView="10" workbookViewId="0">
      <pane ySplit="14" topLeftCell="A388" activePane="bottomLeft" state="frozen"/>
      <selection activeCell="H66" sqref="H63:H66"/>
      <selection pane="bottomLeft" activeCell="L303" sqref="L303:L314"/>
    </sheetView>
  </sheetViews>
  <sheetFormatPr defaultColWidth="9.140625" defaultRowHeight="12.75" x14ac:dyDescent="0.2"/>
  <cols>
    <col min="1" max="1" width="48" style="175" customWidth="1"/>
    <col min="2" max="2" width="52.5703125" style="175" customWidth="1"/>
    <col min="3" max="3" width="65.7109375" style="175" customWidth="1"/>
    <col min="4" max="4" width="180" style="175" customWidth="1"/>
    <col min="5" max="5" width="190.42578125" style="223" customWidth="1"/>
    <col min="6" max="6" width="114" style="175" customWidth="1"/>
    <col min="7" max="7" width="55.42578125" style="175" customWidth="1"/>
    <col min="8" max="8" width="63.5703125" style="175" customWidth="1"/>
    <col min="9" max="9" width="62.140625" style="175" customWidth="1"/>
    <col min="10" max="10" width="70.28515625" style="223" customWidth="1"/>
    <col min="11" max="11" width="91.7109375" style="114" customWidth="1"/>
    <col min="12" max="12" width="87" style="114" customWidth="1"/>
    <col min="13" max="13" width="71.5703125" style="114"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3"/>
      <c r="B1" s="73"/>
      <c r="C1" s="73"/>
      <c r="D1" s="74"/>
      <c r="E1" s="75"/>
      <c r="F1" s="76"/>
      <c r="G1" s="75"/>
      <c r="H1" s="75"/>
      <c r="I1" s="781" t="s">
        <v>565</v>
      </c>
      <c r="J1" s="781"/>
    </row>
    <row r="2" spans="1:13" ht="45.75" x14ac:dyDescent="0.2">
      <c r="A2" s="74"/>
      <c r="B2" s="74"/>
      <c r="C2" s="74"/>
      <c r="D2" s="74"/>
      <c r="E2" s="75"/>
      <c r="F2" s="76"/>
      <c r="G2" s="75"/>
      <c r="H2" s="75"/>
      <c r="I2" s="781" t="s">
        <v>1717</v>
      </c>
      <c r="J2" s="784"/>
    </row>
    <row r="3" spans="1:13" ht="40.700000000000003" customHeight="1" x14ac:dyDescent="0.2">
      <c r="A3" s="74"/>
      <c r="B3" s="74"/>
      <c r="C3" s="74"/>
      <c r="D3" s="74"/>
      <c r="E3" s="75"/>
      <c r="F3" s="76"/>
      <c r="G3" s="75"/>
      <c r="H3" s="75"/>
      <c r="I3" s="781"/>
      <c r="J3" s="784"/>
    </row>
    <row r="4" spans="1:13" ht="45.75" hidden="1" x14ac:dyDescent="0.2">
      <c r="A4" s="74"/>
      <c r="B4" s="74"/>
      <c r="C4" s="74"/>
      <c r="D4" s="74"/>
      <c r="E4" s="75"/>
      <c r="F4" s="76"/>
      <c r="G4" s="75"/>
      <c r="H4" s="75"/>
      <c r="I4" s="74"/>
      <c r="J4" s="76"/>
    </row>
    <row r="5" spans="1:13" ht="45" x14ac:dyDescent="0.2">
      <c r="A5" s="785" t="s">
        <v>541</v>
      </c>
      <c r="B5" s="785"/>
      <c r="C5" s="785"/>
      <c r="D5" s="785"/>
      <c r="E5" s="785"/>
      <c r="F5" s="785"/>
      <c r="G5" s="785"/>
      <c r="H5" s="785"/>
      <c r="I5" s="785"/>
      <c r="J5" s="785"/>
    </row>
    <row r="6" spans="1:13" ht="45" x14ac:dyDescent="0.2">
      <c r="A6" s="785" t="s">
        <v>1026</v>
      </c>
      <c r="B6" s="785"/>
      <c r="C6" s="785"/>
      <c r="D6" s="785"/>
      <c r="E6" s="785"/>
      <c r="F6" s="785"/>
      <c r="G6" s="785"/>
      <c r="H6" s="785"/>
      <c r="I6" s="785"/>
      <c r="J6" s="785"/>
    </row>
    <row r="7" spans="1:13" ht="45" x14ac:dyDescent="0.2">
      <c r="A7" s="785" t="s">
        <v>1499</v>
      </c>
      <c r="B7" s="785"/>
      <c r="C7" s="785"/>
      <c r="D7" s="785"/>
      <c r="E7" s="785"/>
      <c r="F7" s="785"/>
      <c r="G7" s="785"/>
      <c r="H7" s="785"/>
      <c r="I7" s="785"/>
      <c r="J7" s="785"/>
    </row>
    <row r="8" spans="1:13" ht="45" x14ac:dyDescent="0.2">
      <c r="A8" s="785"/>
      <c r="B8" s="785"/>
      <c r="C8" s="785"/>
      <c r="D8" s="785"/>
      <c r="E8" s="785"/>
      <c r="F8" s="785"/>
      <c r="G8" s="785"/>
      <c r="H8" s="785"/>
      <c r="I8" s="785"/>
      <c r="J8" s="785"/>
    </row>
    <row r="9" spans="1:13" ht="45.75" x14ac:dyDescent="0.65">
      <c r="A9" s="786">
        <v>2256400000</v>
      </c>
      <c r="B9" s="787"/>
      <c r="C9" s="729"/>
      <c r="D9" s="729"/>
      <c r="E9" s="729"/>
      <c r="F9" s="729"/>
      <c r="G9" s="729"/>
      <c r="H9" s="729"/>
      <c r="I9" s="729"/>
      <c r="J9" s="729"/>
      <c r="K9" s="130"/>
      <c r="L9" s="130"/>
      <c r="M9" s="130"/>
    </row>
    <row r="10" spans="1:13" ht="45.75" x14ac:dyDescent="0.2">
      <c r="A10" s="791" t="s">
        <v>474</v>
      </c>
      <c r="B10" s="792"/>
      <c r="C10" s="729"/>
      <c r="D10" s="729"/>
      <c r="E10" s="729"/>
      <c r="F10" s="729"/>
      <c r="G10" s="729"/>
      <c r="H10" s="729"/>
      <c r="I10" s="729"/>
      <c r="J10" s="729"/>
      <c r="K10" s="130"/>
      <c r="L10" s="130"/>
      <c r="M10" s="130"/>
    </row>
    <row r="11" spans="1:13" ht="53.45" customHeight="1" thickBot="1" x14ac:dyDescent="0.25">
      <c r="A11" s="75"/>
      <c r="B11" s="75"/>
      <c r="C11" s="75"/>
      <c r="D11" s="75"/>
      <c r="E11" s="75"/>
      <c r="F11" s="76"/>
      <c r="G11" s="75"/>
      <c r="H11" s="75"/>
      <c r="I11" s="75"/>
      <c r="J11" s="388" t="s">
        <v>394</v>
      </c>
      <c r="K11" s="130"/>
      <c r="L11" s="130"/>
      <c r="M11" s="130"/>
    </row>
    <row r="12" spans="1:13" ht="104.25" customHeight="1" thickTop="1" thickBot="1" x14ac:dyDescent="0.25">
      <c r="A12" s="897" t="s">
        <v>475</v>
      </c>
      <c r="B12" s="897" t="s">
        <v>476</v>
      </c>
      <c r="C12" s="897" t="s">
        <v>380</v>
      </c>
      <c r="D12" s="897" t="s">
        <v>542</v>
      </c>
      <c r="E12" s="897" t="s">
        <v>479</v>
      </c>
      <c r="F12" s="897" t="s">
        <v>480</v>
      </c>
      <c r="G12" s="897" t="s">
        <v>373</v>
      </c>
      <c r="H12" s="897" t="s">
        <v>12</v>
      </c>
      <c r="I12" s="898" t="s">
        <v>50</v>
      </c>
      <c r="J12" s="789"/>
      <c r="K12" s="130"/>
      <c r="L12" s="130"/>
      <c r="M12" s="130"/>
    </row>
    <row r="13" spans="1:13" ht="238.5" customHeight="1" thickTop="1" thickBot="1" x14ac:dyDescent="0.25">
      <c r="A13" s="898"/>
      <c r="B13" s="789"/>
      <c r="C13" s="789"/>
      <c r="D13" s="898"/>
      <c r="E13" s="898"/>
      <c r="F13" s="898"/>
      <c r="G13" s="898"/>
      <c r="H13" s="898"/>
      <c r="I13" s="426" t="s">
        <v>374</v>
      </c>
      <c r="J13" s="426" t="s">
        <v>375</v>
      </c>
      <c r="K13" s="130"/>
      <c r="L13" s="130"/>
      <c r="M13" s="130"/>
    </row>
    <row r="14" spans="1:13" s="4" customFormat="1" ht="47.25" thickTop="1" thickBot="1" x14ac:dyDescent="0.25">
      <c r="A14" s="94" t="s">
        <v>2</v>
      </c>
      <c r="B14" s="94" t="s">
        <v>3</v>
      </c>
      <c r="C14" s="94" t="s">
        <v>14</v>
      </c>
      <c r="D14" s="94" t="s">
        <v>5</v>
      </c>
      <c r="E14" s="94" t="s">
        <v>382</v>
      </c>
      <c r="F14" s="94" t="s">
        <v>383</v>
      </c>
      <c r="G14" s="94" t="s">
        <v>384</v>
      </c>
      <c r="H14" s="94" t="s">
        <v>385</v>
      </c>
      <c r="I14" s="94" t="s">
        <v>386</v>
      </c>
      <c r="J14" s="94" t="s">
        <v>387</v>
      </c>
      <c r="K14" s="124"/>
      <c r="L14" s="124"/>
      <c r="M14" s="124"/>
    </row>
    <row r="15" spans="1:13" s="4" customFormat="1" ht="170.45" customHeight="1" thickTop="1" thickBot="1" x14ac:dyDescent="0.25">
      <c r="A15" s="514" t="s">
        <v>143</v>
      </c>
      <c r="B15" s="514"/>
      <c r="C15" s="514"/>
      <c r="D15" s="515" t="s">
        <v>145</v>
      </c>
      <c r="E15" s="515"/>
      <c r="F15" s="515"/>
      <c r="G15" s="516">
        <f>G16</f>
        <v>431449879.48000002</v>
      </c>
      <c r="H15" s="516">
        <f t="shared" ref="H15:J15" si="0">H16</f>
        <v>424973176.28000003</v>
      </c>
      <c r="I15" s="516">
        <f>I16</f>
        <v>6476703.2000000002</v>
      </c>
      <c r="J15" s="516">
        <f t="shared" si="0"/>
        <v>0</v>
      </c>
      <c r="K15" s="537" t="b">
        <f>H16='d3'!E16-'d3'!E18+'d7'!H17+'d7'!H20+'d7'!H23+H21+H22</f>
        <v>1</v>
      </c>
      <c r="L15" s="537" t="b">
        <f>I16='d3'!J16-'d3'!J18+I17+I20+I23+I21+I22</f>
        <v>1</v>
      </c>
      <c r="M15" s="537" t="b">
        <f>J16='d3'!K16-'d3'!K18+J17+J20+J23+J21+J22</f>
        <v>1</v>
      </c>
    </row>
    <row r="16" spans="1:13" s="4" customFormat="1" ht="170.45" customHeight="1" thickTop="1" thickBot="1" x14ac:dyDescent="0.25">
      <c r="A16" s="511" t="s">
        <v>144</v>
      </c>
      <c r="B16" s="511"/>
      <c r="C16" s="511"/>
      <c r="D16" s="512" t="s">
        <v>146</v>
      </c>
      <c r="E16" s="512"/>
      <c r="F16" s="512"/>
      <c r="G16" s="513">
        <f>SUM(G17:G62)</f>
        <v>431449879.48000002</v>
      </c>
      <c r="H16" s="513">
        <f>SUM(H17:H62)</f>
        <v>424973176.28000003</v>
      </c>
      <c r="I16" s="513">
        <f>SUM(I17:I62)</f>
        <v>6476703.2000000002</v>
      </c>
      <c r="J16" s="513">
        <f>SUM(J17:J62)</f>
        <v>0</v>
      </c>
      <c r="K16" s="124"/>
      <c r="L16" s="124"/>
      <c r="M16" s="124"/>
    </row>
    <row r="17" spans="1:13" ht="250.5" customHeight="1" thickTop="1" thickBot="1" x14ac:dyDescent="0.25">
      <c r="A17" s="469" t="s">
        <v>227</v>
      </c>
      <c r="B17" s="469" t="s">
        <v>228</v>
      </c>
      <c r="C17" s="469" t="s">
        <v>229</v>
      </c>
      <c r="D17" s="469" t="s">
        <v>226</v>
      </c>
      <c r="E17" s="477" t="s">
        <v>1565</v>
      </c>
      <c r="F17" s="682" t="s">
        <v>817</v>
      </c>
      <c r="G17" s="478">
        <f t="shared" ref="G17:G39" si="1">H17+I17</f>
        <v>2290000</v>
      </c>
      <c r="H17" s="473">
        <f>((1000000)+885000)+405000</f>
        <v>2290000</v>
      </c>
      <c r="I17" s="478">
        <v>0</v>
      </c>
      <c r="J17" s="478">
        <v>0</v>
      </c>
      <c r="K17" s="194"/>
      <c r="L17" s="194"/>
      <c r="M17" s="194"/>
    </row>
    <row r="18" spans="1:13" ht="321.75" hidden="1" thickTop="1" thickBot="1" x14ac:dyDescent="0.25">
      <c r="A18" s="119" t="s">
        <v>227</v>
      </c>
      <c r="B18" s="119" t="s">
        <v>228</v>
      </c>
      <c r="C18" s="119" t="s">
        <v>229</v>
      </c>
      <c r="D18" s="119" t="s">
        <v>226</v>
      </c>
      <c r="E18" s="179" t="s">
        <v>1091</v>
      </c>
      <c r="F18" s="678" t="s">
        <v>819</v>
      </c>
      <c r="G18" s="179">
        <f t="shared" si="1"/>
        <v>0</v>
      </c>
      <c r="H18" s="196">
        <v>0</v>
      </c>
      <c r="I18" s="179">
        <v>0</v>
      </c>
      <c r="J18" s="179">
        <v>0</v>
      </c>
      <c r="K18" s="197"/>
      <c r="L18" s="197"/>
      <c r="M18" s="197"/>
    </row>
    <row r="19" spans="1:13" ht="230.25" hidden="1" thickTop="1" thickBot="1" x14ac:dyDescent="0.25">
      <c r="A19" s="39" t="s">
        <v>227</v>
      </c>
      <c r="B19" s="39" t="s">
        <v>228</v>
      </c>
      <c r="C19" s="39" t="s">
        <v>229</v>
      </c>
      <c r="D19" s="39" t="s">
        <v>226</v>
      </c>
      <c r="E19" s="198" t="s">
        <v>831</v>
      </c>
      <c r="F19" s="678" t="s">
        <v>832</v>
      </c>
      <c r="G19" s="71">
        <f t="shared" si="1"/>
        <v>0</v>
      </c>
      <c r="H19" s="199"/>
      <c r="I19" s="71"/>
      <c r="J19" s="71"/>
      <c r="K19" s="200"/>
      <c r="L19" s="141"/>
      <c r="M19" s="130"/>
    </row>
    <row r="20" spans="1:13" ht="230.25" hidden="1" thickTop="1" thickBot="1" x14ac:dyDescent="0.25">
      <c r="A20" s="119" t="s">
        <v>227</v>
      </c>
      <c r="B20" s="119" t="s">
        <v>228</v>
      </c>
      <c r="C20" s="119" t="s">
        <v>229</v>
      </c>
      <c r="D20" s="119" t="s">
        <v>226</v>
      </c>
      <c r="E20" s="195" t="s">
        <v>1041</v>
      </c>
      <c r="F20" s="678" t="s">
        <v>1040</v>
      </c>
      <c r="G20" s="179">
        <f t="shared" si="1"/>
        <v>0</v>
      </c>
      <c r="H20" s="196">
        <v>0</v>
      </c>
      <c r="I20" s="179">
        <v>0</v>
      </c>
      <c r="J20" s="179">
        <v>0</v>
      </c>
      <c r="K20" s="200"/>
      <c r="L20" s="141"/>
      <c r="M20" s="130"/>
    </row>
    <row r="21" spans="1:13" ht="230.25" hidden="1" thickTop="1" thickBot="1" x14ac:dyDescent="0.25">
      <c r="A21" s="119" t="s">
        <v>227</v>
      </c>
      <c r="B21" s="119" t="s">
        <v>228</v>
      </c>
      <c r="C21" s="119" t="s">
        <v>229</v>
      </c>
      <c r="D21" s="119" t="s">
        <v>226</v>
      </c>
      <c r="E21" s="195" t="s">
        <v>1243</v>
      </c>
      <c r="F21" s="678" t="s">
        <v>1244</v>
      </c>
      <c r="G21" s="179">
        <f t="shared" si="1"/>
        <v>0</v>
      </c>
      <c r="H21" s="196">
        <v>0</v>
      </c>
      <c r="I21" s="179">
        <v>0</v>
      </c>
      <c r="J21" s="179">
        <v>0</v>
      </c>
      <c r="K21" s="200"/>
      <c r="L21" s="141"/>
      <c r="M21" s="130"/>
    </row>
    <row r="22" spans="1:13" ht="230.25" thickTop="1" thickBot="1" x14ac:dyDescent="0.25">
      <c r="A22" s="469" t="s">
        <v>227</v>
      </c>
      <c r="B22" s="469" t="s">
        <v>228</v>
      </c>
      <c r="C22" s="469" t="s">
        <v>229</v>
      </c>
      <c r="D22" s="469" t="s">
        <v>226</v>
      </c>
      <c r="E22" s="505" t="s">
        <v>1773</v>
      </c>
      <c r="F22" s="179"/>
      <c r="G22" s="411">
        <f t="shared" si="1"/>
        <v>550000</v>
      </c>
      <c r="H22" s="503">
        <v>550000</v>
      </c>
      <c r="I22" s="411">
        <v>0</v>
      </c>
      <c r="J22" s="411">
        <v>0</v>
      </c>
      <c r="K22" s="200"/>
      <c r="L22" s="141"/>
      <c r="M22" s="130"/>
    </row>
    <row r="23" spans="1:13" ht="230.25" thickTop="1" thickBot="1" x14ac:dyDescent="0.25">
      <c r="A23" s="94" t="s">
        <v>227</v>
      </c>
      <c r="B23" s="94" t="s">
        <v>228</v>
      </c>
      <c r="C23" s="94" t="s">
        <v>229</v>
      </c>
      <c r="D23" s="94" t="s">
        <v>226</v>
      </c>
      <c r="E23" s="505" t="s">
        <v>1507</v>
      </c>
      <c r="F23" s="683" t="s">
        <v>1687</v>
      </c>
      <c r="G23" s="411">
        <f t="shared" si="1"/>
        <v>55000</v>
      </c>
      <c r="H23" s="503">
        <v>55000</v>
      </c>
      <c r="I23" s="411">
        <v>0</v>
      </c>
      <c r="J23" s="411">
        <v>0</v>
      </c>
      <c r="K23" s="200"/>
      <c r="L23" s="141"/>
      <c r="M23" s="130"/>
    </row>
    <row r="24" spans="1:13" ht="276" thickTop="1" thickBot="1" x14ac:dyDescent="0.25">
      <c r="A24" s="94" t="s">
        <v>597</v>
      </c>
      <c r="B24" s="94" t="s">
        <v>352</v>
      </c>
      <c r="C24" s="94" t="s">
        <v>598</v>
      </c>
      <c r="D24" s="94" t="s">
        <v>599</v>
      </c>
      <c r="E24" s="505" t="s">
        <v>1774</v>
      </c>
      <c r="F24" s="683" t="s">
        <v>1775</v>
      </c>
      <c r="G24" s="411">
        <f t="shared" si="1"/>
        <v>85000</v>
      </c>
      <c r="H24" s="503">
        <f>'d3'!E20</f>
        <v>85000</v>
      </c>
      <c r="I24" s="411">
        <v>0</v>
      </c>
      <c r="J24" s="411">
        <v>0</v>
      </c>
      <c r="K24" s="200"/>
      <c r="L24" s="141"/>
      <c r="M24" s="130"/>
    </row>
    <row r="25" spans="1:13" ht="269.25" customHeight="1" thickTop="1" thickBot="1" x14ac:dyDescent="0.25">
      <c r="A25" s="94" t="s">
        <v>241</v>
      </c>
      <c r="B25" s="94" t="s">
        <v>42</v>
      </c>
      <c r="C25" s="94" t="s">
        <v>41</v>
      </c>
      <c r="D25" s="94" t="s">
        <v>242</v>
      </c>
      <c r="E25" s="505" t="s">
        <v>1698</v>
      </c>
      <c r="F25" s="682" t="s">
        <v>1691</v>
      </c>
      <c r="G25" s="411">
        <f t="shared" si="1"/>
        <v>42787246.800000004</v>
      </c>
      <c r="H25" s="503">
        <f>((1910000+40203400)-2973396.91)+3647243.71</f>
        <v>42787246.800000004</v>
      </c>
      <c r="I25" s="411">
        <v>0</v>
      </c>
      <c r="J25" s="411">
        <v>0</v>
      </c>
      <c r="K25" s="893" t="b">
        <f>H25+H28+H27+H30+H29+H26='d3'!E21</f>
        <v>1</v>
      </c>
      <c r="L25" s="893" t="b">
        <f>I25+I28+I27+I30+I29+I26='d3'!J21</f>
        <v>1</v>
      </c>
      <c r="M25" s="893" t="b">
        <f>J25+J28+J27+J30+J29+J26='d3'!K21</f>
        <v>1</v>
      </c>
    </row>
    <row r="26" spans="1:13" ht="183.75" customHeight="1" thickTop="1" thickBot="1" x14ac:dyDescent="0.25">
      <c r="A26" s="94" t="s">
        <v>241</v>
      </c>
      <c r="B26" s="94" t="s">
        <v>42</v>
      </c>
      <c r="C26" s="94" t="s">
        <v>41</v>
      </c>
      <c r="D26" s="94" t="s">
        <v>242</v>
      </c>
      <c r="E26" s="505" t="s">
        <v>1440</v>
      </c>
      <c r="F26" s="683" t="s">
        <v>1470</v>
      </c>
      <c r="G26" s="411">
        <f t="shared" ref="G26" si="2">H26+I26</f>
        <v>220000</v>
      </c>
      <c r="H26" s="503">
        <v>220000</v>
      </c>
      <c r="I26" s="411">
        <v>0</v>
      </c>
      <c r="J26" s="411">
        <v>0</v>
      </c>
      <c r="K26" s="893"/>
      <c r="L26" s="893"/>
      <c r="M26" s="893"/>
    </row>
    <row r="27" spans="1:13" ht="141" hidden="1" customHeight="1" thickTop="1" thickBot="1" x14ac:dyDescent="0.25">
      <c r="A27" s="94" t="s">
        <v>241</v>
      </c>
      <c r="B27" s="94" t="s">
        <v>42</v>
      </c>
      <c r="C27" s="94" t="s">
        <v>41</v>
      </c>
      <c r="D27" s="94" t="s">
        <v>242</v>
      </c>
      <c r="E27" s="505" t="s">
        <v>1773</v>
      </c>
      <c r="F27" s="179"/>
      <c r="G27" s="411">
        <f t="shared" ref="G27" si="3">H27+I27</f>
        <v>0</v>
      </c>
      <c r="H27" s="503"/>
      <c r="I27" s="411"/>
      <c r="J27" s="411"/>
      <c r="K27" s="893"/>
      <c r="L27" s="893"/>
      <c r="M27" s="893"/>
    </row>
    <row r="28" spans="1:13" ht="184.7" customHeight="1" thickTop="1" thickBot="1" x14ac:dyDescent="0.25">
      <c r="A28" s="94" t="s">
        <v>241</v>
      </c>
      <c r="B28" s="94" t="s">
        <v>42</v>
      </c>
      <c r="C28" s="94" t="s">
        <v>41</v>
      </c>
      <c r="D28" s="94" t="s">
        <v>242</v>
      </c>
      <c r="E28" s="505" t="s">
        <v>1507</v>
      </c>
      <c r="F28" s="682" t="s">
        <v>1687</v>
      </c>
      <c r="G28" s="411">
        <f t="shared" si="1"/>
        <v>2230856</v>
      </c>
      <c r="H28" s="503">
        <f>200000+2030856</f>
        <v>2230856</v>
      </c>
      <c r="I28" s="411">
        <v>0</v>
      </c>
      <c r="J28" s="411">
        <v>0</v>
      </c>
      <c r="K28" s="896"/>
      <c r="L28" s="896"/>
      <c r="M28" s="896"/>
    </row>
    <row r="29" spans="1:13" ht="184.7" hidden="1" customHeight="1" thickTop="1" thickBot="1" x14ac:dyDescent="0.25">
      <c r="A29" s="119" t="s">
        <v>241</v>
      </c>
      <c r="B29" s="119" t="s">
        <v>42</v>
      </c>
      <c r="C29" s="119" t="s">
        <v>41</v>
      </c>
      <c r="D29" s="119" t="s">
        <v>242</v>
      </c>
      <c r="E29" s="195" t="s">
        <v>1132</v>
      </c>
      <c r="F29" s="678" t="s">
        <v>884</v>
      </c>
      <c r="G29" s="179">
        <f t="shared" si="1"/>
        <v>0</v>
      </c>
      <c r="H29" s="196">
        <v>0</v>
      </c>
      <c r="I29" s="179">
        <v>0</v>
      </c>
      <c r="J29" s="179">
        <v>0</v>
      </c>
      <c r="K29" s="130"/>
      <c r="L29" s="130"/>
      <c r="M29" s="130"/>
    </row>
    <row r="30" spans="1:13" ht="230.25" hidden="1" thickTop="1" thickBot="1" x14ac:dyDescent="0.25">
      <c r="A30" s="119" t="s">
        <v>241</v>
      </c>
      <c r="B30" s="119" t="s">
        <v>42</v>
      </c>
      <c r="C30" s="119" t="s">
        <v>41</v>
      </c>
      <c r="D30" s="119" t="s">
        <v>242</v>
      </c>
      <c r="E30" s="179" t="s">
        <v>1286</v>
      </c>
      <c r="F30" s="679" t="s">
        <v>1071</v>
      </c>
      <c r="G30" s="179">
        <f>H30+I30</f>
        <v>0</v>
      </c>
      <c r="H30" s="179">
        <f>((((90000000-10000000+32000000-67690000+1000000-2000000+30000000)-23310000)-30000000)-7182000)-12818000</f>
        <v>0</v>
      </c>
      <c r="I30" s="179">
        <v>0</v>
      </c>
      <c r="J30" s="179">
        <v>0</v>
      </c>
      <c r="K30" s="130"/>
      <c r="L30" s="130"/>
      <c r="M30" s="130"/>
    </row>
    <row r="31" spans="1:13" ht="230.25" thickTop="1" thickBot="1" x14ac:dyDescent="0.25">
      <c r="A31" s="94" t="s">
        <v>1411</v>
      </c>
      <c r="B31" s="94" t="s">
        <v>1412</v>
      </c>
      <c r="C31" s="94" t="s">
        <v>200</v>
      </c>
      <c r="D31" s="507" t="s">
        <v>1413</v>
      </c>
      <c r="E31" s="505" t="s">
        <v>1692</v>
      </c>
      <c r="F31" s="682" t="s">
        <v>1693</v>
      </c>
      <c r="G31" s="411">
        <f>H31+I31</f>
        <v>6580512</v>
      </c>
      <c r="H31" s="411">
        <f>'d3'!E24</f>
        <v>6580512</v>
      </c>
      <c r="I31" s="411">
        <f>'d3'!J24</f>
        <v>0</v>
      </c>
      <c r="J31" s="411">
        <f>'d3'!K24</f>
        <v>0</v>
      </c>
      <c r="K31" s="130"/>
      <c r="L31" s="130"/>
      <c r="M31" s="130"/>
    </row>
    <row r="32" spans="1:13" ht="198.75" customHeight="1" thickTop="1" thickBot="1" x14ac:dyDescent="0.25">
      <c r="A32" s="94" t="s">
        <v>1329</v>
      </c>
      <c r="B32" s="94" t="s">
        <v>322</v>
      </c>
      <c r="C32" s="94" t="s">
        <v>186</v>
      </c>
      <c r="D32" s="507" t="s">
        <v>1392</v>
      </c>
      <c r="E32" s="505" t="s">
        <v>1692</v>
      </c>
      <c r="F32" s="682" t="s">
        <v>1693</v>
      </c>
      <c r="G32" s="411">
        <f>H32+I32</f>
        <v>5326246</v>
      </c>
      <c r="H32" s="411">
        <f>'d3'!E26-H33</f>
        <v>5326246</v>
      </c>
      <c r="I32" s="411">
        <f>'d3'!J26-I33</f>
        <v>0</v>
      </c>
      <c r="J32" s="411">
        <f>'d3'!K26-J33</f>
        <v>0</v>
      </c>
      <c r="K32" s="130"/>
      <c r="L32" s="130"/>
      <c r="M32" s="130"/>
    </row>
    <row r="33" spans="1:13" ht="177.75" customHeight="1" thickTop="1" thickBot="1" x14ac:dyDescent="0.25">
      <c r="A33" s="94" t="s">
        <v>1329</v>
      </c>
      <c r="B33" s="94" t="s">
        <v>322</v>
      </c>
      <c r="C33" s="94" t="s">
        <v>186</v>
      </c>
      <c r="D33" s="507" t="s">
        <v>1392</v>
      </c>
      <c r="E33" s="505" t="s">
        <v>1324</v>
      </c>
      <c r="F33" s="683" t="s">
        <v>1325</v>
      </c>
      <c r="G33" s="411">
        <f>H33+I33</f>
        <v>239600</v>
      </c>
      <c r="H33" s="411">
        <f>79600+160000</f>
        <v>239600</v>
      </c>
      <c r="I33" s="411">
        <v>0</v>
      </c>
      <c r="J33" s="411">
        <v>0</v>
      </c>
      <c r="K33" s="130"/>
      <c r="L33" s="130"/>
      <c r="M33" s="130"/>
    </row>
    <row r="34" spans="1:13" ht="138.75" thickTop="1" thickBot="1" x14ac:dyDescent="0.25">
      <c r="A34" s="94" t="s">
        <v>233</v>
      </c>
      <c r="B34" s="94" t="s">
        <v>234</v>
      </c>
      <c r="C34" s="94" t="s">
        <v>235</v>
      </c>
      <c r="D34" s="94" t="s">
        <v>232</v>
      </c>
      <c r="E34" s="505" t="s">
        <v>1565</v>
      </c>
      <c r="F34" s="683" t="s">
        <v>817</v>
      </c>
      <c r="G34" s="411">
        <f t="shared" si="1"/>
        <v>13460060</v>
      </c>
      <c r="H34" s="411">
        <f>'d3'!E29</f>
        <v>13460060</v>
      </c>
      <c r="I34" s="411">
        <f>'d3'!J29</f>
        <v>0</v>
      </c>
      <c r="J34" s="411">
        <f>'d3'!K29</f>
        <v>0</v>
      </c>
      <c r="K34" s="472" t="b">
        <f>H34='d3'!E29</f>
        <v>1</v>
      </c>
      <c r="L34" s="506" t="b">
        <f>I34='d3'!J29</f>
        <v>1</v>
      </c>
      <c r="M34" s="580" t="b">
        <f>J34='d3'!K29</f>
        <v>1</v>
      </c>
    </row>
    <row r="35" spans="1:13" ht="138.75" hidden="1" thickTop="1" thickBot="1" x14ac:dyDescent="0.25">
      <c r="A35" s="39" t="s">
        <v>915</v>
      </c>
      <c r="B35" s="39" t="s">
        <v>916</v>
      </c>
      <c r="C35" s="39" t="s">
        <v>235</v>
      </c>
      <c r="D35" s="39" t="s">
        <v>917</v>
      </c>
      <c r="E35" s="198" t="s">
        <v>961</v>
      </c>
      <c r="F35" s="678" t="s">
        <v>817</v>
      </c>
      <c r="G35" s="179">
        <f t="shared" si="1"/>
        <v>0</v>
      </c>
      <c r="H35" s="179">
        <f>'d3'!E30</f>
        <v>0</v>
      </c>
      <c r="I35" s="179">
        <f>'d3'!J30</f>
        <v>0</v>
      </c>
      <c r="J35" s="179">
        <f>'d3'!K30</f>
        <v>0</v>
      </c>
      <c r="K35" s="194" t="b">
        <f>H35='d3'!E30</f>
        <v>1</v>
      </c>
      <c r="L35" s="201" t="b">
        <f>I35='d3'!J30</f>
        <v>1</v>
      </c>
      <c r="M35" s="202" t="b">
        <f>J35='d3'!K30</f>
        <v>1</v>
      </c>
    </row>
    <row r="36" spans="1:13" ht="168.75" customHeight="1" thickTop="1" thickBot="1" x14ac:dyDescent="0.25">
      <c r="A36" s="94" t="s">
        <v>1461</v>
      </c>
      <c r="B36" s="94" t="s">
        <v>248</v>
      </c>
      <c r="C36" s="94" t="s">
        <v>208</v>
      </c>
      <c r="D36" s="94" t="s">
        <v>247</v>
      </c>
      <c r="E36" s="411" t="s">
        <v>1576</v>
      </c>
      <c r="F36" s="682" t="s">
        <v>1684</v>
      </c>
      <c r="G36" s="411">
        <f t="shared" si="1"/>
        <v>1087440</v>
      </c>
      <c r="H36" s="411">
        <f>'d3'!E32</f>
        <v>1087440</v>
      </c>
      <c r="I36" s="411">
        <f>'d3'!J32</f>
        <v>0</v>
      </c>
      <c r="J36" s="411">
        <f>'d3'!K32</f>
        <v>0</v>
      </c>
      <c r="K36" s="194"/>
      <c r="L36" s="201"/>
      <c r="M36" s="202"/>
    </row>
    <row r="37" spans="1:13" ht="184.5" hidden="1" thickTop="1" thickBot="1" x14ac:dyDescent="0.25">
      <c r="A37" s="119" t="s">
        <v>1215</v>
      </c>
      <c r="B37" s="119" t="s">
        <v>207</v>
      </c>
      <c r="C37" s="119" t="s">
        <v>208</v>
      </c>
      <c r="D37" s="119" t="s">
        <v>40</v>
      </c>
      <c r="E37" s="195" t="s">
        <v>1243</v>
      </c>
      <c r="F37" s="678" t="s">
        <v>1244</v>
      </c>
      <c r="G37" s="179">
        <f t="shared" si="1"/>
        <v>0</v>
      </c>
      <c r="H37" s="179">
        <v>0</v>
      </c>
      <c r="I37" s="179">
        <v>0</v>
      </c>
      <c r="J37" s="179">
        <v>0</v>
      </c>
      <c r="K37" s="194" t="b">
        <f>'d3'!E33='d7'!H37</f>
        <v>1</v>
      </c>
      <c r="L37" s="201" t="b">
        <f>I37='d3'!J33</f>
        <v>1</v>
      </c>
      <c r="M37" s="202" t="b">
        <f>J37='d3'!K33</f>
        <v>1</v>
      </c>
    </row>
    <row r="38" spans="1:13" ht="168.75" customHeight="1" thickTop="1" thickBot="1" x14ac:dyDescent="0.25">
      <c r="A38" s="94" t="s">
        <v>293</v>
      </c>
      <c r="B38" s="94" t="s">
        <v>294</v>
      </c>
      <c r="C38" s="94" t="s">
        <v>165</v>
      </c>
      <c r="D38" s="94" t="s">
        <v>431</v>
      </c>
      <c r="E38" s="505" t="s">
        <v>1507</v>
      </c>
      <c r="F38" s="682" t="s">
        <v>1687</v>
      </c>
      <c r="G38" s="411">
        <f t="shared" si="1"/>
        <v>532970</v>
      </c>
      <c r="H38" s="411">
        <f>'d3'!E34</f>
        <v>532970</v>
      </c>
      <c r="I38" s="411">
        <f>'d3'!J34</f>
        <v>0</v>
      </c>
      <c r="J38" s="411">
        <f>'d3'!K34</f>
        <v>0</v>
      </c>
      <c r="K38" s="472" t="b">
        <f>H38='d3'!E34</f>
        <v>1</v>
      </c>
      <c r="L38" s="506" t="b">
        <f>I38='d3'!J34</f>
        <v>1</v>
      </c>
      <c r="M38" s="580" t="b">
        <f>J38='d3'!K34</f>
        <v>1</v>
      </c>
    </row>
    <row r="39" spans="1:13" ht="340.5" customHeight="1" thickTop="1" thickBot="1" x14ac:dyDescent="0.25">
      <c r="A39" s="94" t="s">
        <v>330</v>
      </c>
      <c r="B39" s="94" t="s">
        <v>329</v>
      </c>
      <c r="C39" s="94" t="s">
        <v>165</v>
      </c>
      <c r="D39" s="581" t="s">
        <v>1456</v>
      </c>
      <c r="E39" s="586" t="s">
        <v>1507</v>
      </c>
      <c r="F39" s="682" t="s">
        <v>1687</v>
      </c>
      <c r="G39" s="525">
        <f t="shared" si="1"/>
        <v>6476703.2000000002</v>
      </c>
      <c r="H39" s="525">
        <f>'d3'!E36</f>
        <v>0</v>
      </c>
      <c r="I39" s="525">
        <f>'d3'!J36</f>
        <v>6476703.2000000002</v>
      </c>
      <c r="J39" s="525">
        <f>'d3'!K36</f>
        <v>0</v>
      </c>
      <c r="K39" s="472" t="b">
        <f>H39='d3'!E36</f>
        <v>1</v>
      </c>
      <c r="L39" s="506" t="b">
        <f>I39='d3'!J36</f>
        <v>1</v>
      </c>
      <c r="M39" s="580" t="b">
        <f>J39='d3'!K36</f>
        <v>1</v>
      </c>
    </row>
    <row r="40" spans="1:13" ht="180.75" customHeight="1" thickTop="1" thickBot="1" x14ac:dyDescent="0.25">
      <c r="A40" s="94" t="s">
        <v>870</v>
      </c>
      <c r="B40" s="94" t="s">
        <v>251</v>
      </c>
      <c r="C40" s="94" t="s">
        <v>165</v>
      </c>
      <c r="D40" s="94" t="s">
        <v>249</v>
      </c>
      <c r="E40" s="411" t="s">
        <v>1575</v>
      </c>
      <c r="F40" s="682" t="s">
        <v>1690</v>
      </c>
      <c r="G40" s="411">
        <f t="shared" ref="G40:G49" si="4">H40+I40</f>
        <v>3553100</v>
      </c>
      <c r="H40" s="411">
        <f>'d3'!E37</f>
        <v>3553100</v>
      </c>
      <c r="I40" s="411">
        <f>'d3'!J37</f>
        <v>0</v>
      </c>
      <c r="J40" s="411">
        <f>'d3'!K37</f>
        <v>0</v>
      </c>
      <c r="K40" s="130"/>
      <c r="L40" s="130"/>
      <c r="M40" s="130"/>
    </row>
    <row r="41" spans="1:13" ht="138.75" thickTop="1" thickBot="1" x14ac:dyDescent="0.25">
      <c r="A41" s="94" t="s">
        <v>1092</v>
      </c>
      <c r="B41" s="94" t="s">
        <v>1093</v>
      </c>
      <c r="C41" s="94" t="s">
        <v>1068</v>
      </c>
      <c r="D41" s="94" t="s">
        <v>1094</v>
      </c>
      <c r="E41" s="411" t="s">
        <v>1514</v>
      </c>
      <c r="F41" s="682" t="s">
        <v>1681</v>
      </c>
      <c r="G41" s="411">
        <f t="shared" si="4"/>
        <v>84650000</v>
      </c>
      <c r="H41" s="411">
        <f>((47000000)+2000000+50000+20000000+5000000+600000)+10000000</f>
        <v>84650000</v>
      </c>
      <c r="I41" s="411">
        <v>0</v>
      </c>
      <c r="J41" s="411">
        <v>0</v>
      </c>
      <c r="K41" s="472" t="b">
        <f>H41+H43+H42='d3'!E40</f>
        <v>1</v>
      </c>
      <c r="L41" s="506" t="b">
        <f>I41+I43+I42='d3'!J40</f>
        <v>1</v>
      </c>
      <c r="M41" s="506" t="b">
        <f>J41+J43+J42='d3'!K40</f>
        <v>1</v>
      </c>
    </row>
    <row r="42" spans="1:13" ht="138.75" hidden="1" thickTop="1" thickBot="1" x14ac:dyDescent="0.25">
      <c r="A42" s="119" t="s">
        <v>1092</v>
      </c>
      <c r="B42" s="119" t="s">
        <v>1093</v>
      </c>
      <c r="C42" s="119" t="s">
        <v>1068</v>
      </c>
      <c r="D42" s="119" t="s">
        <v>1094</v>
      </c>
      <c r="E42" s="119" t="s">
        <v>1283</v>
      </c>
      <c r="F42" s="678" t="s">
        <v>1294</v>
      </c>
      <c r="G42" s="179">
        <f t="shared" ref="G42" si="5">H42+I42</f>
        <v>0</v>
      </c>
      <c r="H42" s="179">
        <v>0</v>
      </c>
      <c r="I42" s="179">
        <v>0</v>
      </c>
      <c r="J42" s="179">
        <v>0</v>
      </c>
      <c r="K42" s="197"/>
      <c r="L42" s="197"/>
      <c r="M42" s="197"/>
    </row>
    <row r="43" spans="1:13" ht="321.75" thickTop="1" thickBot="1" x14ac:dyDescent="0.25">
      <c r="A43" s="94" t="s">
        <v>1092</v>
      </c>
      <c r="B43" s="94" t="s">
        <v>1093</v>
      </c>
      <c r="C43" s="94" t="s">
        <v>1068</v>
      </c>
      <c r="D43" s="94" t="s">
        <v>1094</v>
      </c>
      <c r="E43" s="411" t="s">
        <v>1798</v>
      </c>
      <c r="F43" s="683" t="s">
        <v>1683</v>
      </c>
      <c r="G43" s="411">
        <f t="shared" si="4"/>
        <v>480000</v>
      </c>
      <c r="H43" s="411">
        <v>480000</v>
      </c>
      <c r="I43" s="411">
        <v>0</v>
      </c>
      <c r="J43" s="411">
        <v>0</v>
      </c>
      <c r="K43" s="130"/>
      <c r="L43" s="130"/>
      <c r="M43" s="130"/>
    </row>
    <row r="44" spans="1:13" ht="138.75" thickTop="1" thickBot="1" x14ac:dyDescent="0.25">
      <c r="A44" s="94" t="s">
        <v>1069</v>
      </c>
      <c r="B44" s="94" t="s">
        <v>1070</v>
      </c>
      <c r="C44" s="94" t="s">
        <v>1068</v>
      </c>
      <c r="D44" s="94" t="s">
        <v>1067</v>
      </c>
      <c r="E44" s="94" t="s">
        <v>1561</v>
      </c>
      <c r="F44" s="682" t="s">
        <v>1682</v>
      </c>
      <c r="G44" s="411">
        <f t="shared" si="4"/>
        <v>615000</v>
      </c>
      <c r="H44" s="411">
        <f>((100000+200000)+200000)+115000</f>
        <v>615000</v>
      </c>
      <c r="I44" s="411">
        <v>0</v>
      </c>
      <c r="J44" s="411">
        <v>0</v>
      </c>
    </row>
    <row r="45" spans="1:13" ht="195.75" customHeight="1" thickTop="1" thickBot="1" x14ac:dyDescent="0.25">
      <c r="A45" s="94" t="s">
        <v>1069</v>
      </c>
      <c r="B45" s="94" t="s">
        <v>1070</v>
      </c>
      <c r="C45" s="94" t="s">
        <v>1068</v>
      </c>
      <c r="D45" s="94" t="s">
        <v>1067</v>
      </c>
      <c r="E45" s="411" t="s">
        <v>1755</v>
      </c>
      <c r="F45" s="682" t="s">
        <v>1754</v>
      </c>
      <c r="G45" s="411">
        <f>H45+I45</f>
        <v>7667123</v>
      </c>
      <c r="H45" s="411">
        <f>(7477363)+189760</f>
        <v>7667123</v>
      </c>
      <c r="I45" s="411">
        <v>0</v>
      </c>
      <c r="J45" s="411">
        <v>0</v>
      </c>
      <c r="K45" s="472" t="b">
        <f>H44+H45+H46='d3'!E41</f>
        <v>1</v>
      </c>
      <c r="L45" s="506" t="b">
        <f>I44+I45+I46='d3'!J41</f>
        <v>1</v>
      </c>
      <c r="M45" s="506" t="b">
        <f>J44+J45+J46='d3'!K41</f>
        <v>1</v>
      </c>
    </row>
    <row r="46" spans="1:13" ht="282.75" customHeight="1" thickTop="1" thickBot="1" x14ac:dyDescent="0.25">
      <c r="A46" s="94" t="s">
        <v>1069</v>
      </c>
      <c r="B46" s="94" t="s">
        <v>1070</v>
      </c>
      <c r="C46" s="94" t="s">
        <v>1068</v>
      </c>
      <c r="D46" s="94" t="s">
        <v>1067</v>
      </c>
      <c r="E46" s="411" t="s">
        <v>1798</v>
      </c>
      <c r="F46" s="682" t="s">
        <v>1683</v>
      </c>
      <c r="G46" s="411">
        <f>H46+I46</f>
        <v>120000</v>
      </c>
      <c r="H46" s="411">
        <v>120000</v>
      </c>
      <c r="I46" s="411">
        <v>0</v>
      </c>
      <c r="J46" s="411">
        <v>0</v>
      </c>
      <c r="K46" s="194"/>
      <c r="L46" s="201"/>
      <c r="M46" s="197"/>
    </row>
    <row r="47" spans="1:13" ht="201.75" customHeight="1" thickTop="1" thickBot="1" x14ac:dyDescent="0.25">
      <c r="A47" s="469" t="s">
        <v>236</v>
      </c>
      <c r="B47" s="469" t="s">
        <v>237</v>
      </c>
      <c r="C47" s="469" t="s">
        <v>238</v>
      </c>
      <c r="D47" s="469" t="s">
        <v>1365</v>
      </c>
      <c r="E47" s="478" t="s">
        <v>1378</v>
      </c>
      <c r="F47" s="682" t="s">
        <v>1295</v>
      </c>
      <c r="G47" s="478">
        <f t="shared" si="4"/>
        <v>12268778</v>
      </c>
      <c r="H47" s="478">
        <f>'d3'!E43</f>
        <v>12268778</v>
      </c>
      <c r="I47" s="478">
        <f>'d3'!J43</f>
        <v>0</v>
      </c>
      <c r="J47" s="478">
        <f>'d3'!K43</f>
        <v>0</v>
      </c>
      <c r="K47" s="472" t="b">
        <f>H47='d3'!E43</f>
        <v>1</v>
      </c>
      <c r="L47" s="506" t="b">
        <f>I47='d3'!J43</f>
        <v>1</v>
      </c>
      <c r="M47" s="580" t="b">
        <f>J47='d3'!K43</f>
        <v>1</v>
      </c>
    </row>
    <row r="48" spans="1:13" ht="192.75" customHeight="1" thickTop="1" thickBot="1" x14ac:dyDescent="0.25">
      <c r="A48" s="94" t="s">
        <v>239</v>
      </c>
      <c r="B48" s="94" t="s">
        <v>240</v>
      </c>
      <c r="C48" s="94" t="s">
        <v>42</v>
      </c>
      <c r="D48" s="94" t="s">
        <v>432</v>
      </c>
      <c r="E48" s="505" t="s">
        <v>1507</v>
      </c>
      <c r="F48" s="682" t="s">
        <v>1687</v>
      </c>
      <c r="G48" s="411">
        <f t="shared" si="4"/>
        <v>1159800</v>
      </c>
      <c r="H48" s="503">
        <f>'d3'!E46</f>
        <v>1159800</v>
      </c>
      <c r="I48" s="411">
        <f>'d3'!J46</f>
        <v>0</v>
      </c>
      <c r="J48" s="411">
        <f>'d3'!K46</f>
        <v>0</v>
      </c>
      <c r="K48" s="472" t="b">
        <f>H48='d3'!E46</f>
        <v>1</v>
      </c>
      <c r="L48" s="506" t="b">
        <f>I48='d3'!J46</f>
        <v>1</v>
      </c>
      <c r="M48" s="506" t="b">
        <f>J48='d3'!K46</f>
        <v>1</v>
      </c>
    </row>
    <row r="49" spans="1:13" ht="138.75" thickTop="1" thickBot="1" x14ac:dyDescent="0.25">
      <c r="A49" s="94" t="s">
        <v>551</v>
      </c>
      <c r="B49" s="94" t="s">
        <v>353</v>
      </c>
      <c r="C49" s="94" t="s">
        <v>42</v>
      </c>
      <c r="D49" s="94" t="s">
        <v>354</v>
      </c>
      <c r="E49" s="505" t="s">
        <v>1507</v>
      </c>
      <c r="F49" s="478" t="s">
        <v>1687</v>
      </c>
      <c r="G49" s="411">
        <f t="shared" si="4"/>
        <v>7000000</v>
      </c>
      <c r="H49" s="503">
        <f>'d3'!E47</f>
        <v>7000000</v>
      </c>
      <c r="I49" s="411">
        <f>'d3'!J47</f>
        <v>0</v>
      </c>
      <c r="J49" s="411">
        <f>'d3'!K47</f>
        <v>0</v>
      </c>
      <c r="K49" s="472" t="b">
        <f>H49='d3'!E47</f>
        <v>1</v>
      </c>
      <c r="L49" s="506" t="b">
        <f>I49='d3'!J47</f>
        <v>1</v>
      </c>
      <c r="M49" s="506" t="b">
        <f>J49='d3'!K47</f>
        <v>1</v>
      </c>
    </row>
    <row r="50" spans="1:13" ht="138.75" thickTop="1" thickBot="1" x14ac:dyDescent="0.25">
      <c r="A50" s="94" t="s">
        <v>496</v>
      </c>
      <c r="B50" s="94" t="s">
        <v>497</v>
      </c>
      <c r="C50" s="94" t="s">
        <v>42</v>
      </c>
      <c r="D50" s="94" t="s">
        <v>498</v>
      </c>
      <c r="E50" s="411" t="s">
        <v>1514</v>
      </c>
      <c r="F50" s="682" t="s">
        <v>1681</v>
      </c>
      <c r="G50" s="411">
        <f t="shared" ref="G50:G62" si="6">H50+I50</f>
        <v>192874944.48000002</v>
      </c>
      <c r="H50" s="504">
        <f>((47447078.28+67110421.72-4000000-1500000)-21447078.28+122522.76+995153.4+1004846.6+1000000+2000000+3000000+1500000+2000000+4800000+200000+1000000+3000000+2200000+2000000+3000000+5000000+6000000+6400000+2600000+2000000+4000000+2000000+2000000+1000000+126000+1900000-600000)+1000000+200000+2100000+6000000+2000000+1450000+1250000+600000+3000000+2916000+500000+5500000+4500000+500000+1500000+500000+1200000+10300000</f>
        <v>192874944.48000002</v>
      </c>
      <c r="I50" s="411">
        <v>0</v>
      </c>
      <c r="J50" s="411">
        <v>0</v>
      </c>
      <c r="K50" s="472" t="b">
        <f>H50+H52+H53+H51+H54+H55+H61+H56+H58+H60+H57+H62+H59='d3'!E48</f>
        <v>1</v>
      </c>
      <c r="L50" s="506" t="b">
        <f>I50+I52+I53+I51+I54+I55+I61+I58+I60+I56+I57+I62+I59='d3'!J48</f>
        <v>1</v>
      </c>
      <c r="M50" s="506" t="b">
        <f>J50+J52+J53+J51+J54+J55+J61+J58+J60+J56+J57+J62+J59='d3'!K48</f>
        <v>1</v>
      </c>
    </row>
    <row r="51" spans="1:13" ht="216.75" customHeight="1" thickTop="1" thickBot="1" x14ac:dyDescent="0.25">
      <c r="A51" s="94" t="s">
        <v>496</v>
      </c>
      <c r="B51" s="94" t="s">
        <v>497</v>
      </c>
      <c r="C51" s="94" t="s">
        <v>42</v>
      </c>
      <c r="D51" s="94" t="s">
        <v>498</v>
      </c>
      <c r="E51" s="478" t="s">
        <v>1624</v>
      </c>
      <c r="F51" s="682" t="s">
        <v>1435</v>
      </c>
      <c r="G51" s="478">
        <f>H51+I51</f>
        <v>11000000</v>
      </c>
      <c r="H51" s="478">
        <f>((4000000)+700000+2950000+600000+450000)+2000000+300000</f>
        <v>11000000</v>
      </c>
      <c r="I51" s="478">
        <v>0</v>
      </c>
      <c r="J51" s="478">
        <v>0</v>
      </c>
      <c r="K51" s="194"/>
      <c r="L51" s="201"/>
      <c r="M51" s="197"/>
    </row>
    <row r="52" spans="1:13" ht="360.75" customHeight="1" thickTop="1" thickBot="1" x14ac:dyDescent="0.25">
      <c r="A52" s="94" t="s">
        <v>496</v>
      </c>
      <c r="B52" s="94" t="s">
        <v>497</v>
      </c>
      <c r="C52" s="94" t="s">
        <v>42</v>
      </c>
      <c r="D52" s="94" t="s">
        <v>498</v>
      </c>
      <c r="E52" s="411" t="s">
        <v>1798</v>
      </c>
      <c r="F52" s="682" t="s">
        <v>1683</v>
      </c>
      <c r="G52" s="411">
        <f t="shared" si="6"/>
        <v>3500000</v>
      </c>
      <c r="H52" s="411">
        <f>((1000000)+1000000)+1500000</f>
        <v>3500000</v>
      </c>
      <c r="I52" s="411">
        <v>0</v>
      </c>
      <c r="J52" s="411">
        <v>0</v>
      </c>
      <c r="K52" s="194"/>
      <c r="L52" s="201"/>
      <c r="M52" s="202"/>
    </row>
    <row r="53" spans="1:13" ht="263.25" customHeight="1" thickTop="1" thickBot="1" x14ac:dyDescent="0.25">
      <c r="A53" s="94" t="s">
        <v>496</v>
      </c>
      <c r="B53" s="94" t="s">
        <v>497</v>
      </c>
      <c r="C53" s="94" t="s">
        <v>42</v>
      </c>
      <c r="D53" s="94" t="s">
        <v>498</v>
      </c>
      <c r="E53" s="411" t="s">
        <v>1577</v>
      </c>
      <c r="F53" s="682" t="s">
        <v>1756</v>
      </c>
      <c r="G53" s="411">
        <f t="shared" si="6"/>
        <v>11617000</v>
      </c>
      <c r="H53" s="411">
        <f>((3500000)+3000000)+1117000+4000000</f>
        <v>11617000</v>
      </c>
      <c r="I53" s="411">
        <v>0</v>
      </c>
      <c r="J53" s="411">
        <v>0</v>
      </c>
      <c r="K53" s="194"/>
      <c r="L53" s="201"/>
      <c r="M53" s="202"/>
    </row>
    <row r="54" spans="1:13" ht="276" thickTop="1" thickBot="1" x14ac:dyDescent="0.25">
      <c r="A54" s="94" t="s">
        <v>496</v>
      </c>
      <c r="B54" s="94" t="s">
        <v>497</v>
      </c>
      <c r="C54" s="94" t="s">
        <v>42</v>
      </c>
      <c r="D54" s="94" t="s">
        <v>498</v>
      </c>
      <c r="E54" s="411" t="s">
        <v>1468</v>
      </c>
      <c r="F54" s="683" t="s">
        <v>1783</v>
      </c>
      <c r="G54" s="411">
        <f t="shared" si="6"/>
        <v>8000000</v>
      </c>
      <c r="H54" s="411">
        <f>(((0+2000000)+1500000)+2500000)+2000000</f>
        <v>8000000</v>
      </c>
      <c r="I54" s="411">
        <v>0</v>
      </c>
      <c r="J54" s="411">
        <v>0</v>
      </c>
      <c r="K54" s="194"/>
      <c r="L54" s="201"/>
      <c r="M54" s="202"/>
    </row>
    <row r="55" spans="1:13" ht="156.75" customHeight="1" thickTop="1" thickBot="1" x14ac:dyDescent="0.25">
      <c r="A55" s="94" t="s">
        <v>496</v>
      </c>
      <c r="B55" s="94" t="s">
        <v>497</v>
      </c>
      <c r="C55" s="94" t="s">
        <v>42</v>
      </c>
      <c r="D55" s="94" t="s">
        <v>498</v>
      </c>
      <c r="E55" s="411" t="s">
        <v>1469</v>
      </c>
      <c r="F55" s="683" t="s">
        <v>1784</v>
      </c>
      <c r="G55" s="411">
        <f>H55+I55</f>
        <v>3880000</v>
      </c>
      <c r="H55" s="411">
        <f>((1500000)+2000000)+380000</f>
        <v>3880000</v>
      </c>
      <c r="I55" s="411">
        <v>0</v>
      </c>
      <c r="J55" s="411">
        <v>0</v>
      </c>
      <c r="K55" s="194"/>
      <c r="L55" s="201"/>
      <c r="M55" s="202"/>
    </row>
    <row r="56" spans="1:13" ht="276" thickTop="1" thickBot="1" x14ac:dyDescent="0.25">
      <c r="A56" s="94" t="s">
        <v>496</v>
      </c>
      <c r="B56" s="94" t="s">
        <v>497</v>
      </c>
      <c r="C56" s="94" t="s">
        <v>42</v>
      </c>
      <c r="D56" s="94" t="s">
        <v>498</v>
      </c>
      <c r="E56" s="411" t="s">
        <v>1804</v>
      </c>
      <c r="F56" s="683"/>
      <c r="G56" s="411">
        <f t="shared" si="6"/>
        <v>700000</v>
      </c>
      <c r="H56" s="411">
        <f>150000+550000</f>
        <v>700000</v>
      </c>
      <c r="I56" s="411">
        <v>0</v>
      </c>
      <c r="J56" s="411">
        <v>0</v>
      </c>
      <c r="K56" s="194"/>
      <c r="L56" s="201"/>
      <c r="M56" s="202"/>
    </row>
    <row r="57" spans="1:13" ht="184.5" hidden="1" thickTop="1" thickBot="1" x14ac:dyDescent="0.25">
      <c r="A57" s="119" t="s">
        <v>496</v>
      </c>
      <c r="B57" s="119" t="s">
        <v>497</v>
      </c>
      <c r="C57" s="119" t="s">
        <v>42</v>
      </c>
      <c r="D57" s="119" t="s">
        <v>498</v>
      </c>
      <c r="E57" s="179" t="s">
        <v>1216</v>
      </c>
      <c r="F57" s="678" t="s">
        <v>1217</v>
      </c>
      <c r="G57" s="179">
        <f t="shared" si="6"/>
        <v>0</v>
      </c>
      <c r="H57" s="179"/>
      <c r="I57" s="179"/>
      <c r="J57" s="179"/>
      <c r="K57" s="194"/>
      <c r="L57" s="201"/>
      <c r="M57" s="202"/>
    </row>
    <row r="58" spans="1:13" ht="230.25" hidden="1" thickTop="1" thickBot="1" x14ac:dyDescent="0.25">
      <c r="A58" s="119" t="s">
        <v>496</v>
      </c>
      <c r="B58" s="119" t="s">
        <v>497</v>
      </c>
      <c r="C58" s="119" t="s">
        <v>42</v>
      </c>
      <c r="D58" s="119" t="s">
        <v>498</v>
      </c>
      <c r="E58" s="179" t="s">
        <v>1314</v>
      </c>
      <c r="F58" s="678"/>
      <c r="G58" s="179">
        <f t="shared" si="6"/>
        <v>0</v>
      </c>
      <c r="H58" s="179">
        <v>0</v>
      </c>
      <c r="I58" s="179">
        <f>800000-800000</f>
        <v>0</v>
      </c>
      <c r="J58" s="179">
        <f>800000-800000</f>
        <v>0</v>
      </c>
      <c r="K58" s="194"/>
      <c r="L58" s="201"/>
      <c r="M58" s="202"/>
    </row>
    <row r="59" spans="1:13" ht="230.25" hidden="1" thickTop="1" thickBot="1" x14ac:dyDescent="0.25">
      <c r="A59" s="119" t="s">
        <v>496</v>
      </c>
      <c r="B59" s="119" t="s">
        <v>497</v>
      </c>
      <c r="C59" s="119" t="s">
        <v>42</v>
      </c>
      <c r="D59" s="119" t="s">
        <v>498</v>
      </c>
      <c r="E59" s="179" t="s">
        <v>1335</v>
      </c>
      <c r="F59" s="678" t="s">
        <v>1331</v>
      </c>
      <c r="G59" s="179">
        <f t="shared" si="6"/>
        <v>0</v>
      </c>
      <c r="H59" s="179">
        <v>0</v>
      </c>
      <c r="I59" s="179">
        <v>0</v>
      </c>
      <c r="J59" s="179">
        <v>0</v>
      </c>
      <c r="K59" s="194"/>
      <c r="L59" s="201"/>
      <c r="M59" s="202"/>
    </row>
    <row r="60" spans="1:13" ht="409.6" hidden="1" thickTop="1" thickBot="1" x14ac:dyDescent="0.25">
      <c r="A60" s="119" t="s">
        <v>496</v>
      </c>
      <c r="B60" s="119" t="s">
        <v>497</v>
      </c>
      <c r="C60" s="119" t="s">
        <v>42</v>
      </c>
      <c r="D60" s="119" t="s">
        <v>498</v>
      </c>
      <c r="E60" s="179" t="s">
        <v>1466</v>
      </c>
      <c r="F60" s="678" t="s">
        <v>1467</v>
      </c>
      <c r="G60" s="179">
        <f t="shared" si="6"/>
        <v>0</v>
      </c>
      <c r="H60" s="179">
        <v>0</v>
      </c>
      <c r="I60" s="179">
        <v>0</v>
      </c>
      <c r="J60" s="179">
        <v>0</v>
      </c>
      <c r="K60" s="194"/>
      <c r="L60" s="201"/>
      <c r="M60" s="202"/>
    </row>
    <row r="61" spans="1:13" ht="184.5" thickTop="1" thickBot="1" x14ac:dyDescent="0.25">
      <c r="A61" s="94" t="s">
        <v>496</v>
      </c>
      <c r="B61" s="94" t="s">
        <v>497</v>
      </c>
      <c r="C61" s="94" t="s">
        <v>42</v>
      </c>
      <c r="D61" s="94" t="s">
        <v>498</v>
      </c>
      <c r="E61" s="411" t="s">
        <v>1782</v>
      </c>
      <c r="F61" s="683" t="s">
        <v>1785</v>
      </c>
      <c r="G61" s="411">
        <f t="shared" si="6"/>
        <v>442500</v>
      </c>
      <c r="H61" s="411">
        <v>442500</v>
      </c>
      <c r="I61" s="411">
        <v>0</v>
      </c>
      <c r="J61" s="411">
        <v>0</v>
      </c>
      <c r="K61" s="194"/>
      <c r="L61" s="201"/>
      <c r="M61" s="202"/>
    </row>
    <row r="62" spans="1:13" ht="230.25" hidden="1" thickTop="1" thickBot="1" x14ac:dyDescent="0.25">
      <c r="A62" s="119" t="s">
        <v>496</v>
      </c>
      <c r="B62" s="119" t="s">
        <v>497</v>
      </c>
      <c r="C62" s="119" t="s">
        <v>42</v>
      </c>
      <c r="D62" s="119" t="s">
        <v>498</v>
      </c>
      <c r="E62" s="179" t="s">
        <v>1247</v>
      </c>
      <c r="F62" s="678" t="s">
        <v>1248</v>
      </c>
      <c r="G62" s="179">
        <f t="shared" si="6"/>
        <v>0</v>
      </c>
      <c r="H62" s="179"/>
      <c r="I62" s="179"/>
      <c r="J62" s="179"/>
      <c r="K62" s="194"/>
      <c r="L62" s="201"/>
      <c r="M62" s="202"/>
    </row>
    <row r="63" spans="1:13" ht="166.5" customHeight="1" thickTop="1" thickBot="1" x14ac:dyDescent="0.25">
      <c r="A63" s="514" t="s">
        <v>147</v>
      </c>
      <c r="B63" s="514"/>
      <c r="C63" s="514"/>
      <c r="D63" s="515" t="s">
        <v>0</v>
      </c>
      <c r="E63" s="515"/>
      <c r="F63" s="515"/>
      <c r="G63" s="516">
        <f>G64</f>
        <v>2967618390.9399996</v>
      </c>
      <c r="H63" s="516">
        <f t="shared" ref="H63:J63" si="7">H64</f>
        <v>2686671420.7899995</v>
      </c>
      <c r="I63" s="516">
        <f t="shared" si="7"/>
        <v>280946970.14999998</v>
      </c>
      <c r="J63" s="516">
        <f t="shared" si="7"/>
        <v>22608879.149999999</v>
      </c>
      <c r="K63" s="537" t="b">
        <f>H63='d3'!E50</f>
        <v>1</v>
      </c>
      <c r="L63" s="538" t="b">
        <f>I63='d3'!J50</f>
        <v>1</v>
      </c>
      <c r="M63" s="596" t="b">
        <f>J63='d3'!K49</f>
        <v>1</v>
      </c>
    </row>
    <row r="64" spans="1:13" ht="194.25" customHeight="1" thickTop="1" thickBot="1" x14ac:dyDescent="0.25">
      <c r="A64" s="511" t="s">
        <v>148</v>
      </c>
      <c r="B64" s="511"/>
      <c r="C64" s="511"/>
      <c r="D64" s="512" t="s">
        <v>1</v>
      </c>
      <c r="E64" s="512"/>
      <c r="F64" s="512"/>
      <c r="G64" s="513">
        <f>SUM(G65:G121)</f>
        <v>2967618390.9399996</v>
      </c>
      <c r="H64" s="513">
        <f>SUM(H65:H121)</f>
        <v>2686671420.7899995</v>
      </c>
      <c r="I64" s="513">
        <f>SUM(I65:I121)</f>
        <v>280946970.14999998</v>
      </c>
      <c r="J64" s="513">
        <f>SUM(J65:J121)</f>
        <v>22608879.149999999</v>
      </c>
      <c r="K64" s="130"/>
      <c r="L64" s="130"/>
      <c r="M64" s="130"/>
    </row>
    <row r="65" spans="1:13" ht="138.75" thickTop="1" thickBot="1" x14ac:dyDescent="0.25">
      <c r="A65" s="94" t="s">
        <v>193</v>
      </c>
      <c r="B65" s="94" t="s">
        <v>194</v>
      </c>
      <c r="C65" s="94" t="s">
        <v>196</v>
      </c>
      <c r="D65" s="94" t="s">
        <v>197</v>
      </c>
      <c r="E65" s="505" t="s">
        <v>1210</v>
      </c>
      <c r="F65" s="683" t="s">
        <v>1054</v>
      </c>
      <c r="G65" s="411">
        <f t="shared" ref="G65:G84" si="8">H65+I65</f>
        <v>959146871.3499999</v>
      </c>
      <c r="H65" s="411">
        <f>'d3'!E52-H66-H67</f>
        <v>843255381.3499999</v>
      </c>
      <c r="I65" s="411">
        <f>'d3'!J52-I66-I67</f>
        <v>115891490</v>
      </c>
      <c r="J65" s="411">
        <f>'d3'!K52-J66-J67</f>
        <v>0</v>
      </c>
      <c r="K65" s="472" t="b">
        <f>H65+H66+H67='d3'!E52</f>
        <v>1</v>
      </c>
      <c r="L65" s="506" t="b">
        <f>I65+I66+I67='d3'!J52</f>
        <v>1</v>
      </c>
      <c r="M65" s="506" t="b">
        <f>J65+J66+J67='d3'!K52</f>
        <v>1</v>
      </c>
    </row>
    <row r="66" spans="1:13" ht="201.75" customHeight="1" thickTop="1" thickBot="1" x14ac:dyDescent="0.25">
      <c r="A66" s="94" t="s">
        <v>193</v>
      </c>
      <c r="B66" s="94" t="s">
        <v>194</v>
      </c>
      <c r="C66" s="94" t="s">
        <v>196</v>
      </c>
      <c r="D66" s="94" t="s">
        <v>197</v>
      </c>
      <c r="E66" s="505" t="s">
        <v>1324</v>
      </c>
      <c r="F66" s="683" t="s">
        <v>1325</v>
      </c>
      <c r="G66" s="411">
        <f>H66+I66</f>
        <v>1883541</v>
      </c>
      <c r="H66" s="411">
        <v>1883541</v>
      </c>
      <c r="I66" s="411">
        <v>0</v>
      </c>
      <c r="J66" s="411">
        <v>0</v>
      </c>
      <c r="K66" s="130"/>
      <c r="L66" s="130"/>
      <c r="M66" s="130"/>
    </row>
    <row r="67" spans="1:13" ht="321.75" hidden="1" thickTop="1" thickBot="1" x14ac:dyDescent="0.25">
      <c r="A67" s="119" t="s">
        <v>193</v>
      </c>
      <c r="B67" s="119" t="s">
        <v>194</v>
      </c>
      <c r="C67" s="119" t="s">
        <v>196</v>
      </c>
      <c r="D67" s="119" t="s">
        <v>197</v>
      </c>
      <c r="E67" s="179" t="s">
        <v>1202</v>
      </c>
      <c r="F67" s="681" t="s">
        <v>819</v>
      </c>
      <c r="G67" s="179">
        <f t="shared" si="8"/>
        <v>0</v>
      </c>
      <c r="H67" s="179"/>
      <c r="I67" s="179"/>
      <c r="J67" s="179"/>
      <c r="K67" s="130"/>
      <c r="L67" s="130"/>
      <c r="M67" s="130"/>
    </row>
    <row r="68" spans="1:13" ht="138.75" thickTop="1" thickBot="1" x14ac:dyDescent="0.25">
      <c r="A68" s="94" t="s">
        <v>613</v>
      </c>
      <c r="B68" s="94" t="s">
        <v>614</v>
      </c>
      <c r="C68" s="94" t="s">
        <v>199</v>
      </c>
      <c r="D68" s="94" t="s">
        <v>1137</v>
      </c>
      <c r="E68" s="505" t="s">
        <v>1210</v>
      </c>
      <c r="F68" s="683" t="s">
        <v>1054</v>
      </c>
      <c r="G68" s="411">
        <f t="shared" si="8"/>
        <v>693248372.36999989</v>
      </c>
      <c r="H68" s="411">
        <f>'d3'!E54-H69-H70-H71</f>
        <v>582736142.36999989</v>
      </c>
      <c r="I68" s="411">
        <f>'d3'!J54-I69-I70-I71</f>
        <v>110512230</v>
      </c>
      <c r="J68" s="411">
        <f>'d3'!K54-J69-J70-J71</f>
        <v>0</v>
      </c>
      <c r="K68" s="472" t="b">
        <f>H68+H69+H70+H71='d3'!E54</f>
        <v>1</v>
      </c>
      <c r="L68" s="506" t="b">
        <f>I68+I69+I70+I71='d3'!J54</f>
        <v>1</v>
      </c>
      <c r="M68" s="506" t="b">
        <f>J68+J69+J70='d3'!K54</f>
        <v>1</v>
      </c>
    </row>
    <row r="69" spans="1:13" ht="184.5" hidden="1" thickTop="1" thickBot="1" x14ac:dyDescent="0.25">
      <c r="A69" s="119" t="s">
        <v>613</v>
      </c>
      <c r="B69" s="119" t="s">
        <v>614</v>
      </c>
      <c r="C69" s="119" t="s">
        <v>199</v>
      </c>
      <c r="D69" s="94" t="s">
        <v>1137</v>
      </c>
      <c r="E69" s="195" t="s">
        <v>1324</v>
      </c>
      <c r="F69" s="678" t="s">
        <v>1325</v>
      </c>
      <c r="G69" s="179">
        <f t="shared" si="8"/>
        <v>0</v>
      </c>
      <c r="H69" s="179"/>
      <c r="I69" s="179"/>
      <c r="J69" s="179"/>
      <c r="K69" s="198"/>
      <c r="L69" s="130"/>
      <c r="M69" s="130"/>
    </row>
    <row r="70" spans="1:13" ht="186.75" customHeight="1" thickTop="1" thickBot="1" x14ac:dyDescent="0.25">
      <c r="A70" s="94" t="s">
        <v>613</v>
      </c>
      <c r="B70" s="94" t="s">
        <v>614</v>
      </c>
      <c r="C70" s="94" t="s">
        <v>199</v>
      </c>
      <c r="D70" s="94" t="s">
        <v>1137</v>
      </c>
      <c r="E70" s="505" t="s">
        <v>1324</v>
      </c>
      <c r="F70" s="683" t="s">
        <v>1325</v>
      </c>
      <c r="G70" s="411">
        <f>H70+I70</f>
        <v>727934</v>
      </c>
      <c r="H70" s="411">
        <v>727934</v>
      </c>
      <c r="I70" s="411">
        <v>0</v>
      </c>
      <c r="J70" s="411">
        <v>0</v>
      </c>
      <c r="K70" s="130"/>
      <c r="L70" s="130"/>
      <c r="M70" s="130"/>
    </row>
    <row r="71" spans="1:13" ht="321.75" hidden="1" thickTop="1" thickBot="1" x14ac:dyDescent="0.25">
      <c r="A71" s="119" t="s">
        <v>613</v>
      </c>
      <c r="B71" s="119" t="s">
        <v>614</v>
      </c>
      <c r="C71" s="119" t="s">
        <v>199</v>
      </c>
      <c r="D71" s="119" t="s">
        <v>1137</v>
      </c>
      <c r="E71" s="179" t="s">
        <v>1202</v>
      </c>
      <c r="F71" s="678" t="s">
        <v>819</v>
      </c>
      <c r="G71" s="179">
        <f t="shared" si="8"/>
        <v>0</v>
      </c>
      <c r="H71" s="179"/>
      <c r="I71" s="179"/>
      <c r="J71" s="179"/>
      <c r="K71" s="130"/>
      <c r="L71" s="130"/>
      <c r="M71" s="130"/>
    </row>
    <row r="72" spans="1:13" ht="315" customHeight="1" thickTop="1" thickBot="1" x14ac:dyDescent="0.25">
      <c r="A72" s="94" t="s">
        <v>621</v>
      </c>
      <c r="B72" s="94" t="s">
        <v>622</v>
      </c>
      <c r="C72" s="94" t="s">
        <v>202</v>
      </c>
      <c r="D72" s="94" t="s">
        <v>1369</v>
      </c>
      <c r="E72" s="505" t="s">
        <v>1210</v>
      </c>
      <c r="F72" s="683" t="s">
        <v>1054</v>
      </c>
      <c r="G72" s="411">
        <f t="shared" si="8"/>
        <v>40344673.359999999</v>
      </c>
      <c r="H72" s="411">
        <f>'d3'!E55-H73</f>
        <v>40171973.359999999</v>
      </c>
      <c r="I72" s="411">
        <f>'d3'!J55-I73</f>
        <v>172700</v>
      </c>
      <c r="J72" s="411">
        <f>'d3'!K55-J73</f>
        <v>0</v>
      </c>
      <c r="K72" s="472" t="b">
        <f>H72+H73='d3'!E55</f>
        <v>1</v>
      </c>
      <c r="L72" s="472" t="b">
        <f>I72+I73='d3'!J55</f>
        <v>1</v>
      </c>
      <c r="M72" s="472" t="b">
        <f>J72+J73='d3'!K55</f>
        <v>1</v>
      </c>
    </row>
    <row r="73" spans="1:13" ht="184.5" hidden="1" thickTop="1" thickBot="1" x14ac:dyDescent="0.25">
      <c r="A73" s="39" t="s">
        <v>621</v>
      </c>
      <c r="B73" s="39" t="s">
        <v>622</v>
      </c>
      <c r="C73" s="39" t="s">
        <v>202</v>
      </c>
      <c r="D73" s="39" t="s">
        <v>481</v>
      </c>
      <c r="E73" s="198" t="s">
        <v>559</v>
      </c>
      <c r="F73" s="681" t="s">
        <v>397</v>
      </c>
      <c r="G73" s="71">
        <f t="shared" si="8"/>
        <v>0</v>
      </c>
      <c r="H73" s="71">
        <v>0</v>
      </c>
      <c r="I73" s="71"/>
      <c r="J73" s="71"/>
      <c r="K73" s="198" t="s">
        <v>539</v>
      </c>
      <c r="L73" s="130"/>
      <c r="M73" s="130"/>
    </row>
    <row r="74" spans="1:13" ht="180.75" customHeight="1" thickTop="1" thickBot="1" x14ac:dyDescent="0.25">
      <c r="A74" s="94" t="s">
        <v>932</v>
      </c>
      <c r="B74" s="94" t="s">
        <v>933</v>
      </c>
      <c r="C74" s="94" t="s">
        <v>202</v>
      </c>
      <c r="D74" s="94" t="s">
        <v>1578</v>
      </c>
      <c r="E74" s="505" t="s">
        <v>1210</v>
      </c>
      <c r="F74" s="683" t="s">
        <v>1054</v>
      </c>
      <c r="G74" s="411">
        <f t="shared" si="8"/>
        <v>24340274.41</v>
      </c>
      <c r="H74" s="411">
        <f>'d3'!E56</f>
        <v>24340274.41</v>
      </c>
      <c r="I74" s="411">
        <f>'d3'!J56</f>
        <v>0</v>
      </c>
      <c r="J74" s="411">
        <f>'d3'!K56</f>
        <v>0</v>
      </c>
      <c r="K74" s="203"/>
      <c r="L74" s="130"/>
      <c r="M74" s="130"/>
    </row>
    <row r="75" spans="1:13" ht="192.75" customHeight="1" thickTop="1" thickBot="1" x14ac:dyDescent="0.25">
      <c r="A75" s="94" t="s">
        <v>628</v>
      </c>
      <c r="B75" s="94" t="s">
        <v>629</v>
      </c>
      <c r="C75" s="94" t="s">
        <v>199</v>
      </c>
      <c r="D75" s="94" t="s">
        <v>1138</v>
      </c>
      <c r="E75" s="505" t="s">
        <v>1210</v>
      </c>
      <c r="F75" s="683" t="s">
        <v>1054</v>
      </c>
      <c r="G75" s="411">
        <f t="shared" si="8"/>
        <v>707788184</v>
      </c>
      <c r="H75" s="411">
        <f>'d3'!E58</f>
        <v>707788184</v>
      </c>
      <c r="I75" s="411">
        <f>'d3'!J58</f>
        <v>0</v>
      </c>
      <c r="J75" s="411">
        <f>'d3'!K58</f>
        <v>0</v>
      </c>
      <c r="K75" s="203"/>
      <c r="L75" s="130"/>
      <c r="M75" s="130"/>
    </row>
    <row r="76" spans="1:13" ht="195.75" customHeight="1" thickTop="1" thickBot="1" x14ac:dyDescent="0.25">
      <c r="A76" s="94" t="s">
        <v>1031</v>
      </c>
      <c r="B76" s="94" t="s">
        <v>1032</v>
      </c>
      <c r="C76" s="94" t="s">
        <v>202</v>
      </c>
      <c r="D76" s="94" t="s">
        <v>1139</v>
      </c>
      <c r="E76" s="505" t="s">
        <v>1210</v>
      </c>
      <c r="F76" s="683" t="s">
        <v>1054</v>
      </c>
      <c r="G76" s="411">
        <f t="shared" ref="G76" si="9">H76+I76</f>
        <v>10276884</v>
      </c>
      <c r="H76" s="411">
        <f>'d3'!E59</f>
        <v>10276884</v>
      </c>
      <c r="I76" s="411">
        <f>'d3'!J59</f>
        <v>0</v>
      </c>
      <c r="J76" s="411">
        <f>'d3'!K59</f>
        <v>0</v>
      </c>
      <c r="K76" s="203"/>
      <c r="L76" s="130"/>
      <c r="M76" s="130"/>
    </row>
    <row r="77" spans="1:13" ht="321.75" hidden="1" thickTop="1" thickBot="1" x14ac:dyDescent="0.25">
      <c r="A77" s="119" t="s">
        <v>882</v>
      </c>
      <c r="B77" s="119" t="s">
        <v>883</v>
      </c>
      <c r="C77" s="119" t="s">
        <v>199</v>
      </c>
      <c r="D77" s="119" t="s">
        <v>1371</v>
      </c>
      <c r="E77" s="195" t="s">
        <v>1210</v>
      </c>
      <c r="F77" s="678" t="s">
        <v>1054</v>
      </c>
      <c r="G77" s="179">
        <f t="shared" si="8"/>
        <v>0</v>
      </c>
      <c r="H77" s="179">
        <f>'d3'!E61</f>
        <v>0</v>
      </c>
      <c r="I77" s="179">
        <f>'d3'!J61</f>
        <v>0</v>
      </c>
      <c r="J77" s="179">
        <f>'d3'!K61</f>
        <v>0</v>
      </c>
      <c r="K77" s="205"/>
      <c r="L77" s="130"/>
      <c r="M77" s="130"/>
    </row>
    <row r="78" spans="1:13" ht="204.75" customHeight="1" thickTop="1" thickBot="1" x14ac:dyDescent="0.25">
      <c r="A78" s="94" t="s">
        <v>630</v>
      </c>
      <c r="B78" s="94" t="s">
        <v>201</v>
      </c>
      <c r="C78" s="94" t="s">
        <v>176</v>
      </c>
      <c r="D78" s="94" t="s">
        <v>483</v>
      </c>
      <c r="E78" s="505" t="s">
        <v>1210</v>
      </c>
      <c r="F78" s="683" t="s">
        <v>1054</v>
      </c>
      <c r="G78" s="411">
        <f t="shared" si="8"/>
        <v>49294538.960000001</v>
      </c>
      <c r="H78" s="411">
        <f>'d3'!E62-H80-H79</f>
        <v>47585548.960000001</v>
      </c>
      <c r="I78" s="411">
        <f>'d3'!J62-I80-I79</f>
        <v>1708990</v>
      </c>
      <c r="J78" s="411">
        <f>'d3'!K62-J80-J79</f>
        <v>0</v>
      </c>
      <c r="K78" s="472" t="b">
        <f>H78+H80+H79='d3'!E62</f>
        <v>1</v>
      </c>
      <c r="L78" s="472" t="b">
        <f>I78+I80+I79='d3'!J62</f>
        <v>1</v>
      </c>
      <c r="M78" s="472" t="b">
        <f>J78+J80+J79='d3'!K62</f>
        <v>1</v>
      </c>
    </row>
    <row r="79" spans="1:13" ht="184.5" hidden="1" thickTop="1" thickBot="1" x14ac:dyDescent="0.25">
      <c r="A79" s="119" t="s">
        <v>630</v>
      </c>
      <c r="B79" s="119" t="s">
        <v>201</v>
      </c>
      <c r="C79" s="119" t="s">
        <v>176</v>
      </c>
      <c r="D79" s="119" t="s">
        <v>483</v>
      </c>
      <c r="E79" s="195" t="s">
        <v>1324</v>
      </c>
      <c r="F79" s="681" t="s">
        <v>1325</v>
      </c>
      <c r="G79" s="179">
        <f t="shared" si="8"/>
        <v>0</v>
      </c>
      <c r="H79" s="179"/>
      <c r="I79" s="179"/>
      <c r="J79" s="179"/>
      <c r="K79" s="197"/>
      <c r="L79" s="197"/>
      <c r="M79" s="197"/>
    </row>
    <row r="80" spans="1:13" ht="321.75" hidden="1" thickTop="1" thickBot="1" x14ac:dyDescent="0.25">
      <c r="A80" s="119" t="s">
        <v>630</v>
      </c>
      <c r="B80" s="119" t="s">
        <v>201</v>
      </c>
      <c r="C80" s="119" t="s">
        <v>176</v>
      </c>
      <c r="D80" s="119" t="s">
        <v>483</v>
      </c>
      <c r="E80" s="179" t="s">
        <v>1202</v>
      </c>
      <c r="F80" s="681" t="s">
        <v>819</v>
      </c>
      <c r="G80" s="179">
        <f t="shared" si="8"/>
        <v>0</v>
      </c>
      <c r="H80" s="179"/>
      <c r="I80" s="179"/>
      <c r="J80" s="179"/>
      <c r="K80" s="130"/>
      <c r="L80" s="130"/>
      <c r="M80" s="130"/>
    </row>
    <row r="81" spans="1:13" ht="189.75" customHeight="1" thickTop="1" thickBot="1" x14ac:dyDescent="0.25">
      <c r="A81" s="94" t="s">
        <v>631</v>
      </c>
      <c r="B81" s="94" t="s">
        <v>632</v>
      </c>
      <c r="C81" s="94" t="s">
        <v>204</v>
      </c>
      <c r="D81" s="94" t="s">
        <v>1700</v>
      </c>
      <c r="E81" s="505" t="s">
        <v>1210</v>
      </c>
      <c r="F81" s="683" t="s">
        <v>1054</v>
      </c>
      <c r="G81" s="411">
        <f t="shared" si="8"/>
        <v>232827198.16</v>
      </c>
      <c r="H81" s="411">
        <f>'d3'!E64-H83-H82</f>
        <v>203847868.16</v>
      </c>
      <c r="I81" s="411">
        <f>'d3'!J64-I83-I82</f>
        <v>28979330</v>
      </c>
      <c r="J81" s="411">
        <f>'d3'!K64-J83-J82</f>
        <v>0</v>
      </c>
      <c r="K81" s="472" t="b">
        <f>H81+H83+H82='d3'!E64</f>
        <v>1</v>
      </c>
      <c r="L81" s="472" t="b">
        <f>I81+I83+I82='d3'!J64</f>
        <v>1</v>
      </c>
      <c r="M81" s="472" t="b">
        <f>J81+J83+J82='d3'!K64</f>
        <v>1</v>
      </c>
    </row>
    <row r="82" spans="1:13" ht="184.5" hidden="1" thickTop="1" thickBot="1" x14ac:dyDescent="0.25">
      <c r="A82" s="119" t="s">
        <v>631</v>
      </c>
      <c r="B82" s="119" t="s">
        <v>632</v>
      </c>
      <c r="C82" s="119" t="s">
        <v>204</v>
      </c>
      <c r="D82" s="119" t="s">
        <v>633</v>
      </c>
      <c r="E82" s="195" t="s">
        <v>1324</v>
      </c>
      <c r="F82" s="681" t="s">
        <v>1325</v>
      </c>
      <c r="G82" s="179">
        <f t="shared" si="8"/>
        <v>0</v>
      </c>
      <c r="H82" s="179"/>
      <c r="I82" s="179"/>
      <c r="J82" s="179"/>
      <c r="K82" s="197"/>
      <c r="L82" s="197"/>
      <c r="M82" s="197"/>
    </row>
    <row r="83" spans="1:13" ht="321.75" hidden="1" thickTop="1" thickBot="1" x14ac:dyDescent="0.25">
      <c r="A83" s="119" t="s">
        <v>631</v>
      </c>
      <c r="B83" s="119" t="s">
        <v>632</v>
      </c>
      <c r="C83" s="119" t="s">
        <v>204</v>
      </c>
      <c r="D83" s="119" t="s">
        <v>633</v>
      </c>
      <c r="E83" s="179" t="s">
        <v>1202</v>
      </c>
      <c r="F83" s="681" t="s">
        <v>819</v>
      </c>
      <c r="G83" s="179">
        <f t="shared" si="8"/>
        <v>0</v>
      </c>
      <c r="H83" s="179"/>
      <c r="I83" s="179"/>
      <c r="J83" s="179"/>
      <c r="K83" s="130"/>
      <c r="L83" s="130"/>
      <c r="M83" s="130"/>
    </row>
    <row r="84" spans="1:13" ht="207.75" customHeight="1" thickTop="1" thickBot="1" x14ac:dyDescent="0.25">
      <c r="A84" s="94" t="s">
        <v>635</v>
      </c>
      <c r="B84" s="94" t="s">
        <v>634</v>
      </c>
      <c r="C84" s="94" t="s">
        <v>204</v>
      </c>
      <c r="D84" s="94" t="s">
        <v>1701</v>
      </c>
      <c r="E84" s="505" t="s">
        <v>1210</v>
      </c>
      <c r="F84" s="683" t="s">
        <v>1054</v>
      </c>
      <c r="G84" s="411">
        <f t="shared" si="8"/>
        <v>25858332</v>
      </c>
      <c r="H84" s="411">
        <f>'d3'!E65</f>
        <v>25858332</v>
      </c>
      <c r="I84" s="411">
        <f>'d3'!J65</f>
        <v>0</v>
      </c>
      <c r="J84" s="411">
        <f>'d3'!K65</f>
        <v>0</v>
      </c>
      <c r="K84" s="130"/>
      <c r="L84" s="130"/>
      <c r="M84" s="130"/>
    </row>
    <row r="85" spans="1:13" ht="138.75" thickTop="1" thickBot="1" x14ac:dyDescent="0.25">
      <c r="A85" s="94" t="s">
        <v>639</v>
      </c>
      <c r="B85" s="94" t="s">
        <v>640</v>
      </c>
      <c r="C85" s="94" t="s">
        <v>205</v>
      </c>
      <c r="D85" s="94" t="s">
        <v>484</v>
      </c>
      <c r="E85" s="505" t="s">
        <v>1210</v>
      </c>
      <c r="F85" s="683" t="s">
        <v>1054</v>
      </c>
      <c r="G85" s="411">
        <f t="shared" ref="G85:G86" si="10">H85+I85</f>
        <v>31848638.18</v>
      </c>
      <c r="H85" s="411">
        <f>'d3'!E67-H86</f>
        <v>31521158.18</v>
      </c>
      <c r="I85" s="411">
        <f>'d3'!J67-I86</f>
        <v>327480</v>
      </c>
      <c r="J85" s="411">
        <f>'d3'!K67-J86</f>
        <v>0</v>
      </c>
      <c r="K85" s="130"/>
      <c r="L85" s="130"/>
      <c r="M85" s="130"/>
    </row>
    <row r="86" spans="1:13" ht="144" customHeight="1" thickTop="1" thickBot="1" x14ac:dyDescent="0.25">
      <c r="A86" s="94" t="s">
        <v>639</v>
      </c>
      <c r="B86" s="94" t="s">
        <v>640</v>
      </c>
      <c r="C86" s="94" t="s">
        <v>205</v>
      </c>
      <c r="D86" s="94" t="s">
        <v>484</v>
      </c>
      <c r="E86" s="505" t="s">
        <v>1773</v>
      </c>
      <c r="F86" s="179"/>
      <c r="G86" s="411">
        <f t="shared" si="10"/>
        <v>70000</v>
      </c>
      <c r="H86" s="411">
        <v>70000</v>
      </c>
      <c r="I86" s="411">
        <v>0</v>
      </c>
      <c r="J86" s="411">
        <v>0</v>
      </c>
      <c r="K86" s="130"/>
      <c r="L86" s="130"/>
      <c r="M86" s="130"/>
    </row>
    <row r="87" spans="1:13" ht="138.75" thickTop="1" thickBot="1" x14ac:dyDescent="0.25">
      <c r="A87" s="94" t="s">
        <v>641</v>
      </c>
      <c r="B87" s="94" t="s">
        <v>642</v>
      </c>
      <c r="C87" s="94" t="s">
        <v>205</v>
      </c>
      <c r="D87" s="94" t="s">
        <v>328</v>
      </c>
      <c r="E87" s="505" t="s">
        <v>1210</v>
      </c>
      <c r="F87" s="683" t="s">
        <v>1054</v>
      </c>
      <c r="G87" s="411">
        <f>H87+I87</f>
        <v>3146410</v>
      </c>
      <c r="H87" s="411">
        <f>'d3'!E68-H88</f>
        <v>3146410</v>
      </c>
      <c r="I87" s="411">
        <f>'d3'!J68-I88</f>
        <v>0</v>
      </c>
      <c r="J87" s="411">
        <f>'d3'!K68-J88</f>
        <v>0</v>
      </c>
      <c r="K87" s="594" t="b">
        <f>H87+H88='d3'!E68</f>
        <v>1</v>
      </c>
      <c r="L87" s="595" t="b">
        <f>I87+I88='d3'!J68</f>
        <v>1</v>
      </c>
      <c r="M87" s="595" t="b">
        <f>J87+J88='d3'!K68</f>
        <v>1</v>
      </c>
    </row>
    <row r="88" spans="1:13" ht="230.25" hidden="1" customHeight="1" thickTop="1" thickBot="1" x14ac:dyDescent="0.25">
      <c r="A88" s="39" t="s">
        <v>641</v>
      </c>
      <c r="B88" s="39" t="s">
        <v>642</v>
      </c>
      <c r="C88" s="39" t="s">
        <v>205</v>
      </c>
      <c r="D88" s="39" t="s">
        <v>328</v>
      </c>
      <c r="E88" s="195" t="s">
        <v>1053</v>
      </c>
      <c r="F88" s="681" t="s">
        <v>1054</v>
      </c>
      <c r="G88" s="71">
        <f>H88+I88</f>
        <v>0</v>
      </c>
      <c r="H88" s="71"/>
      <c r="I88" s="71"/>
      <c r="J88" s="71"/>
      <c r="K88" s="198" t="s">
        <v>540</v>
      </c>
      <c r="L88" s="130"/>
      <c r="M88" s="130"/>
    </row>
    <row r="89" spans="1:13" ht="138.75" thickTop="1" thickBot="1" x14ac:dyDescent="0.25">
      <c r="A89" s="94" t="s">
        <v>645</v>
      </c>
      <c r="B89" s="94" t="s">
        <v>646</v>
      </c>
      <c r="C89" s="94" t="s">
        <v>205</v>
      </c>
      <c r="D89" s="94" t="s">
        <v>647</v>
      </c>
      <c r="E89" s="505" t="s">
        <v>1210</v>
      </c>
      <c r="F89" s="683" t="s">
        <v>1054</v>
      </c>
      <c r="G89" s="411">
        <f t="shared" ref="G89:G90" si="11">H89+I89</f>
        <v>2064210</v>
      </c>
      <c r="H89" s="411">
        <f>'d3'!E70</f>
        <v>2064210</v>
      </c>
      <c r="I89" s="411">
        <f>'d3'!J70</f>
        <v>0</v>
      </c>
      <c r="J89" s="411">
        <f>'d3'!K70</f>
        <v>0</v>
      </c>
      <c r="K89" s="130"/>
      <c r="L89" s="130"/>
      <c r="M89" s="130"/>
    </row>
    <row r="90" spans="1:13" ht="138.75" thickTop="1" thickBot="1" x14ac:dyDescent="0.25">
      <c r="A90" s="94" t="s">
        <v>648</v>
      </c>
      <c r="B90" s="94" t="s">
        <v>649</v>
      </c>
      <c r="C90" s="94" t="s">
        <v>205</v>
      </c>
      <c r="D90" s="94" t="s">
        <v>650</v>
      </c>
      <c r="E90" s="505" t="s">
        <v>1210</v>
      </c>
      <c r="F90" s="683" t="s">
        <v>1054</v>
      </c>
      <c r="G90" s="411">
        <f t="shared" si="11"/>
        <v>3564700</v>
      </c>
      <c r="H90" s="411">
        <f>'d3'!E71</f>
        <v>3564700</v>
      </c>
      <c r="I90" s="411">
        <f>'d3'!J71</f>
        <v>0</v>
      </c>
      <c r="J90" s="411">
        <f>'d3'!K71</f>
        <v>0</v>
      </c>
      <c r="K90" s="130"/>
      <c r="L90" s="130"/>
      <c r="M90" s="130"/>
    </row>
    <row r="91" spans="1:13" ht="189.75" customHeight="1" thickTop="1" thickBot="1" x14ac:dyDescent="0.25">
      <c r="A91" s="94" t="s">
        <v>618</v>
      </c>
      <c r="B91" s="94" t="s">
        <v>619</v>
      </c>
      <c r="C91" s="94" t="s">
        <v>205</v>
      </c>
      <c r="D91" s="94" t="s">
        <v>620</v>
      </c>
      <c r="E91" s="505" t="s">
        <v>1210</v>
      </c>
      <c r="F91" s="683" t="s">
        <v>1054</v>
      </c>
      <c r="G91" s="411">
        <f t="shared" ref="G91:G92" si="12">H91+I91</f>
        <v>4352120</v>
      </c>
      <c r="H91" s="411">
        <f>'d3'!E72</f>
        <v>4352120</v>
      </c>
      <c r="I91" s="411">
        <f>'d3'!J72</f>
        <v>0</v>
      </c>
      <c r="J91" s="411">
        <f>'d3'!K72</f>
        <v>0</v>
      </c>
      <c r="K91" s="130"/>
      <c r="L91" s="130"/>
      <c r="M91" s="130"/>
    </row>
    <row r="92" spans="1:13" ht="230.25" hidden="1" thickTop="1" thickBot="1" x14ac:dyDescent="0.25">
      <c r="A92" s="119" t="s">
        <v>625</v>
      </c>
      <c r="B92" s="119" t="s">
        <v>626</v>
      </c>
      <c r="C92" s="119" t="s">
        <v>205</v>
      </c>
      <c r="D92" s="119" t="s">
        <v>1338</v>
      </c>
      <c r="E92" s="195" t="s">
        <v>1210</v>
      </c>
      <c r="F92" s="681" t="s">
        <v>1054</v>
      </c>
      <c r="G92" s="179">
        <f t="shared" si="12"/>
        <v>0</v>
      </c>
      <c r="H92" s="179">
        <f>'d3'!E74</f>
        <v>0</v>
      </c>
      <c r="I92" s="179">
        <f>'d3'!J74</f>
        <v>0</v>
      </c>
      <c r="J92" s="179">
        <f>'d3'!K74</f>
        <v>0</v>
      </c>
      <c r="K92" s="130"/>
      <c r="L92" s="130"/>
      <c r="M92" s="130"/>
    </row>
    <row r="93" spans="1:13" ht="230.25" hidden="1" thickTop="1" thickBot="1" x14ac:dyDescent="0.25">
      <c r="A93" s="119" t="s">
        <v>918</v>
      </c>
      <c r="B93" s="119" t="s">
        <v>919</v>
      </c>
      <c r="C93" s="119" t="s">
        <v>205</v>
      </c>
      <c r="D93" s="119" t="s">
        <v>1339</v>
      </c>
      <c r="E93" s="195" t="s">
        <v>1210</v>
      </c>
      <c r="F93" s="681" t="s">
        <v>1054</v>
      </c>
      <c r="G93" s="179">
        <f t="shared" ref="G93" si="13">H93+I93</f>
        <v>0</v>
      </c>
      <c r="H93" s="179">
        <f>'d3'!E75</f>
        <v>0</v>
      </c>
      <c r="I93" s="179">
        <f>'d3'!J75</f>
        <v>0</v>
      </c>
      <c r="J93" s="179">
        <f>'d3'!K75</f>
        <v>0</v>
      </c>
      <c r="K93" s="130"/>
      <c r="L93" s="130"/>
      <c r="M93" s="130"/>
    </row>
    <row r="94" spans="1:13" ht="276" thickTop="1" thickBot="1" x14ac:dyDescent="0.25">
      <c r="A94" s="94" t="s">
        <v>1404</v>
      </c>
      <c r="B94" s="94" t="s">
        <v>1406</v>
      </c>
      <c r="C94" s="94" t="s">
        <v>205</v>
      </c>
      <c r="D94" s="94" t="s">
        <v>1408</v>
      </c>
      <c r="E94" s="505" t="s">
        <v>1210</v>
      </c>
      <c r="F94" s="683" t="s">
        <v>1054</v>
      </c>
      <c r="G94" s="411">
        <f t="shared" ref="G94:G121" si="14">H94+I94</f>
        <v>2590672</v>
      </c>
      <c r="H94" s="411">
        <f>'d3'!E76</f>
        <v>319659</v>
      </c>
      <c r="I94" s="411">
        <f>'d3'!J76</f>
        <v>2271013</v>
      </c>
      <c r="J94" s="411">
        <f>'d3'!K76</f>
        <v>2271013</v>
      </c>
      <c r="K94" s="130"/>
      <c r="L94" s="130"/>
      <c r="M94" s="130"/>
    </row>
    <row r="95" spans="1:13" ht="284.25" customHeight="1" thickTop="1" thickBot="1" x14ac:dyDescent="0.25">
      <c r="A95" s="94" t="s">
        <v>1405</v>
      </c>
      <c r="B95" s="94" t="s">
        <v>1407</v>
      </c>
      <c r="C95" s="94" t="s">
        <v>205</v>
      </c>
      <c r="D95" s="94" t="s">
        <v>1409</v>
      </c>
      <c r="E95" s="505" t="s">
        <v>1210</v>
      </c>
      <c r="F95" s="683" t="s">
        <v>1054</v>
      </c>
      <c r="G95" s="411">
        <f t="shared" si="14"/>
        <v>6044900</v>
      </c>
      <c r="H95" s="411">
        <f>'d3'!E77</f>
        <v>0</v>
      </c>
      <c r="I95" s="411">
        <f>'d3'!J77</f>
        <v>6044900</v>
      </c>
      <c r="J95" s="411">
        <f>'d3'!K77</f>
        <v>5299029</v>
      </c>
      <c r="K95" s="130"/>
      <c r="L95" s="130"/>
      <c r="M95" s="130"/>
    </row>
    <row r="96" spans="1:13" ht="276" thickTop="1" thickBot="1" x14ac:dyDescent="0.25">
      <c r="A96" s="94" t="s">
        <v>616</v>
      </c>
      <c r="B96" s="94" t="s">
        <v>617</v>
      </c>
      <c r="C96" s="94" t="s">
        <v>205</v>
      </c>
      <c r="D96" s="94" t="s">
        <v>1400</v>
      </c>
      <c r="E96" s="505" t="s">
        <v>1210</v>
      </c>
      <c r="F96" s="683" t="s">
        <v>1054</v>
      </c>
      <c r="G96" s="411">
        <f t="shared" si="14"/>
        <v>5194600</v>
      </c>
      <c r="H96" s="411">
        <f>'d3'!E78</f>
        <v>5194600</v>
      </c>
      <c r="I96" s="411">
        <f>'d3'!J78</f>
        <v>0</v>
      </c>
      <c r="J96" s="411">
        <f>'d3'!K78</f>
        <v>0</v>
      </c>
      <c r="K96" s="130"/>
      <c r="L96" s="130"/>
      <c r="M96" s="130"/>
    </row>
    <row r="97" spans="1:13" ht="230.25" hidden="1" thickTop="1" thickBot="1" x14ac:dyDescent="0.25">
      <c r="A97" s="119" t="s">
        <v>885</v>
      </c>
      <c r="B97" s="119" t="s">
        <v>886</v>
      </c>
      <c r="C97" s="119" t="s">
        <v>205</v>
      </c>
      <c r="D97" s="119" t="s">
        <v>1249</v>
      </c>
      <c r="E97" s="195" t="s">
        <v>1210</v>
      </c>
      <c r="F97" s="681" t="s">
        <v>1054</v>
      </c>
      <c r="G97" s="179">
        <f t="shared" si="14"/>
        <v>0</v>
      </c>
      <c r="H97" s="179">
        <f>'d3'!E79</f>
        <v>0</v>
      </c>
      <c r="I97" s="179">
        <f>'d3'!J79</f>
        <v>0</v>
      </c>
      <c r="J97" s="179">
        <f>'d3'!K79</f>
        <v>0</v>
      </c>
      <c r="K97" s="130"/>
      <c r="L97" s="130"/>
      <c r="M97" s="130"/>
    </row>
    <row r="98" spans="1:13" ht="230.25" hidden="1" thickTop="1" thickBot="1" x14ac:dyDescent="0.25">
      <c r="A98" s="119" t="s">
        <v>935</v>
      </c>
      <c r="B98" s="119" t="s">
        <v>937</v>
      </c>
      <c r="C98" s="119" t="s">
        <v>205</v>
      </c>
      <c r="D98" s="119" t="s">
        <v>1124</v>
      </c>
      <c r="E98" s="195" t="s">
        <v>1210</v>
      </c>
      <c r="F98" s="681" t="s">
        <v>1054</v>
      </c>
      <c r="G98" s="179">
        <f t="shared" si="14"/>
        <v>0</v>
      </c>
      <c r="H98" s="179">
        <f>'d3'!E81</f>
        <v>0</v>
      </c>
      <c r="I98" s="179">
        <f>'d3'!J81</f>
        <v>0</v>
      </c>
      <c r="J98" s="179">
        <f>'d3'!K81</f>
        <v>0</v>
      </c>
      <c r="K98" s="130"/>
      <c r="L98" s="130"/>
      <c r="M98" s="130"/>
    </row>
    <row r="99" spans="1:13" ht="230.25" hidden="1" thickTop="1" thickBot="1" x14ac:dyDescent="0.25">
      <c r="A99" s="119" t="s">
        <v>971</v>
      </c>
      <c r="B99" s="119" t="s">
        <v>972</v>
      </c>
      <c r="C99" s="119" t="s">
        <v>205</v>
      </c>
      <c r="D99" s="119" t="s">
        <v>1315</v>
      </c>
      <c r="E99" s="195" t="s">
        <v>1210</v>
      </c>
      <c r="F99" s="681" t="s">
        <v>1054</v>
      </c>
      <c r="G99" s="179">
        <f t="shared" si="14"/>
        <v>0</v>
      </c>
      <c r="H99" s="179">
        <f>'d3'!E82</f>
        <v>0</v>
      </c>
      <c r="I99" s="179">
        <f>'d3'!J82</f>
        <v>0</v>
      </c>
      <c r="J99" s="179">
        <f>'d3'!K82</f>
        <v>0</v>
      </c>
      <c r="K99" s="130"/>
      <c r="L99" s="130"/>
      <c r="M99" s="130"/>
    </row>
    <row r="100" spans="1:13" ht="409.6" hidden="1" thickTop="1" thickBot="1" x14ac:dyDescent="0.25">
      <c r="A100" s="119" t="s">
        <v>1205</v>
      </c>
      <c r="B100" s="119" t="s">
        <v>1206</v>
      </c>
      <c r="C100" s="119" t="s">
        <v>205</v>
      </c>
      <c r="D100" s="119" t="s">
        <v>1387</v>
      </c>
      <c r="E100" s="179" t="s">
        <v>1202</v>
      </c>
      <c r="F100" s="681" t="s">
        <v>819</v>
      </c>
      <c r="G100" s="179">
        <f t="shared" si="14"/>
        <v>0</v>
      </c>
      <c r="H100" s="179">
        <f>'d3'!E84</f>
        <v>0</v>
      </c>
      <c r="I100" s="179">
        <f>'d3'!J84</f>
        <v>0</v>
      </c>
      <c r="J100" s="179">
        <f>'d3'!K84</f>
        <v>0</v>
      </c>
      <c r="K100" s="130"/>
      <c r="L100" s="130"/>
      <c r="M100" s="130"/>
    </row>
    <row r="101" spans="1:13" ht="321.75" hidden="1" thickTop="1" thickBot="1" x14ac:dyDescent="0.25">
      <c r="A101" s="119" t="s">
        <v>1207</v>
      </c>
      <c r="B101" s="119" t="s">
        <v>1208</v>
      </c>
      <c r="C101" s="119" t="s">
        <v>205</v>
      </c>
      <c r="D101" s="119" t="s">
        <v>1209</v>
      </c>
      <c r="E101" s="179" t="s">
        <v>1202</v>
      </c>
      <c r="F101" s="681" t="s">
        <v>819</v>
      </c>
      <c r="G101" s="179">
        <f t="shared" si="14"/>
        <v>0</v>
      </c>
      <c r="H101" s="179">
        <f>'d3'!E85</f>
        <v>0</v>
      </c>
      <c r="I101" s="179">
        <f>'d3'!J85</f>
        <v>0</v>
      </c>
      <c r="J101" s="179">
        <f>'d3'!K85</f>
        <v>0</v>
      </c>
      <c r="K101" s="130"/>
      <c r="L101" s="130"/>
      <c r="M101" s="130"/>
    </row>
    <row r="102" spans="1:13" ht="184.5" hidden="1" thickTop="1" thickBot="1" x14ac:dyDescent="0.25">
      <c r="A102" s="119" t="s">
        <v>1258</v>
      </c>
      <c r="B102" s="119" t="s">
        <v>1259</v>
      </c>
      <c r="C102" s="119" t="s">
        <v>205</v>
      </c>
      <c r="D102" s="119" t="s">
        <v>1263</v>
      </c>
      <c r="E102" s="195" t="s">
        <v>1210</v>
      </c>
      <c r="F102" s="681" t="s">
        <v>1054</v>
      </c>
      <c r="G102" s="179">
        <f t="shared" si="14"/>
        <v>0</v>
      </c>
      <c r="H102" s="179">
        <f>'d3'!E87</f>
        <v>0</v>
      </c>
      <c r="I102" s="179">
        <f>'d3'!J87</f>
        <v>0</v>
      </c>
      <c r="J102" s="179">
        <f>'d3'!K87</f>
        <v>0</v>
      </c>
      <c r="K102" s="130"/>
      <c r="L102" s="130"/>
      <c r="M102" s="130"/>
    </row>
    <row r="103" spans="1:13" ht="184.5" hidden="1" thickTop="1" thickBot="1" x14ac:dyDescent="0.25">
      <c r="A103" s="119" t="s">
        <v>1260</v>
      </c>
      <c r="B103" s="119" t="s">
        <v>1261</v>
      </c>
      <c r="C103" s="119" t="s">
        <v>205</v>
      </c>
      <c r="D103" s="119" t="s">
        <v>1262</v>
      </c>
      <c r="E103" s="195" t="s">
        <v>1210</v>
      </c>
      <c r="F103" s="681" t="s">
        <v>1054</v>
      </c>
      <c r="G103" s="179">
        <f t="shared" si="14"/>
        <v>0</v>
      </c>
      <c r="H103" s="179">
        <f>'d3'!E88</f>
        <v>0</v>
      </c>
      <c r="I103" s="179">
        <f>'d3'!J88</f>
        <v>0</v>
      </c>
      <c r="J103" s="179">
        <f>'d3'!K88</f>
        <v>0</v>
      </c>
      <c r="K103" s="130"/>
      <c r="L103" s="130"/>
      <c r="M103" s="130"/>
    </row>
    <row r="104" spans="1:13" ht="390.75" customHeight="1" thickTop="1" thickBot="1" x14ac:dyDescent="0.25">
      <c r="A104" s="94" t="s">
        <v>1762</v>
      </c>
      <c r="B104" s="94" t="s">
        <v>1763</v>
      </c>
      <c r="C104" s="94" t="s">
        <v>205</v>
      </c>
      <c r="D104" s="94" t="s">
        <v>1801</v>
      </c>
      <c r="E104" s="505" t="s">
        <v>1210</v>
      </c>
      <c r="F104" s="683" t="s">
        <v>1054</v>
      </c>
      <c r="G104" s="411">
        <f t="shared" si="14"/>
        <v>321527.14999999991</v>
      </c>
      <c r="H104" s="411">
        <f>'d3'!E89</f>
        <v>0</v>
      </c>
      <c r="I104" s="411">
        <f>'d3'!J89</f>
        <v>321527.14999999991</v>
      </c>
      <c r="J104" s="411">
        <f>'d3'!K89</f>
        <v>321527.14999999991</v>
      </c>
      <c r="K104" s="130"/>
      <c r="L104" s="130"/>
      <c r="M104" s="130"/>
    </row>
    <row r="105" spans="1:13" ht="305.25" customHeight="1" thickTop="1" thickBot="1" x14ac:dyDescent="0.25">
      <c r="A105" s="94" t="s">
        <v>1447</v>
      </c>
      <c r="B105" s="94" t="s">
        <v>1442</v>
      </c>
      <c r="C105" s="94" t="s">
        <v>205</v>
      </c>
      <c r="D105" s="94" t="s">
        <v>1800</v>
      </c>
      <c r="E105" s="505" t="s">
        <v>1210</v>
      </c>
      <c r="F105" s="683" t="s">
        <v>1054</v>
      </c>
      <c r="G105" s="411">
        <f t="shared" si="14"/>
        <v>458350</v>
      </c>
      <c r="H105" s="411">
        <f>'d3'!E90</f>
        <v>120800</v>
      </c>
      <c r="I105" s="411">
        <f>'d3'!J90</f>
        <v>337550</v>
      </c>
      <c r="J105" s="411">
        <f>'d3'!K90</f>
        <v>337550</v>
      </c>
      <c r="K105" s="130"/>
      <c r="L105" s="130"/>
      <c r="M105" s="130"/>
    </row>
    <row r="106" spans="1:13" ht="184.5" hidden="1" thickTop="1" thickBot="1" x14ac:dyDescent="0.25">
      <c r="A106" s="119" t="s">
        <v>1448</v>
      </c>
      <c r="B106" s="119" t="s">
        <v>1444</v>
      </c>
      <c r="C106" s="119" t="s">
        <v>205</v>
      </c>
      <c r="D106" s="119" t="s">
        <v>1443</v>
      </c>
      <c r="E106" s="195" t="s">
        <v>1210</v>
      </c>
      <c r="F106" s="681" t="s">
        <v>1054</v>
      </c>
      <c r="G106" s="179">
        <f t="shared" si="14"/>
        <v>0</v>
      </c>
      <c r="H106" s="179">
        <f>'d3'!E91</f>
        <v>0</v>
      </c>
      <c r="I106" s="179">
        <f>'d3'!J91</f>
        <v>0</v>
      </c>
      <c r="J106" s="179">
        <f>'d3'!K91</f>
        <v>0</v>
      </c>
      <c r="K106" s="130"/>
      <c r="L106" s="130"/>
      <c r="M106" s="130"/>
    </row>
    <row r="107" spans="1:13" ht="321.75" hidden="1" thickTop="1" thickBot="1" x14ac:dyDescent="0.25">
      <c r="A107" s="119" t="s">
        <v>1305</v>
      </c>
      <c r="B107" s="119" t="s">
        <v>1303</v>
      </c>
      <c r="C107" s="119" t="s">
        <v>205</v>
      </c>
      <c r="D107" s="119" t="s">
        <v>1306</v>
      </c>
      <c r="E107" s="195" t="s">
        <v>1210</v>
      </c>
      <c r="F107" s="681" t="s">
        <v>1054</v>
      </c>
      <c r="G107" s="179">
        <f t="shared" si="14"/>
        <v>0</v>
      </c>
      <c r="H107" s="179">
        <f>'d3'!E93</f>
        <v>0</v>
      </c>
      <c r="I107" s="179">
        <f>'d3'!J93</f>
        <v>0</v>
      </c>
      <c r="J107" s="179">
        <f>'d3'!K93</f>
        <v>0</v>
      </c>
      <c r="K107" s="130"/>
      <c r="L107" s="130"/>
      <c r="M107" s="130"/>
    </row>
    <row r="108" spans="1:13" ht="321.75" hidden="1" thickTop="1" thickBot="1" x14ac:dyDescent="0.25">
      <c r="A108" s="119" t="s">
        <v>1307</v>
      </c>
      <c r="B108" s="119" t="s">
        <v>1308</v>
      </c>
      <c r="C108" s="119" t="s">
        <v>205</v>
      </c>
      <c r="D108" s="119" t="s">
        <v>1309</v>
      </c>
      <c r="E108" s="195" t="s">
        <v>1210</v>
      </c>
      <c r="F108" s="681" t="s">
        <v>1054</v>
      </c>
      <c r="G108" s="179">
        <f>H108+I108</f>
        <v>0</v>
      </c>
      <c r="H108" s="179">
        <f>'d3'!E94</f>
        <v>0</v>
      </c>
      <c r="I108" s="179">
        <f>'d3'!J94</f>
        <v>0</v>
      </c>
      <c r="J108" s="179">
        <f>'d3'!K94</f>
        <v>0</v>
      </c>
      <c r="K108" s="130"/>
      <c r="L108" s="130"/>
      <c r="M108" s="130"/>
    </row>
    <row r="109" spans="1:13" ht="184.5" thickTop="1" thickBot="1" x14ac:dyDescent="0.25">
      <c r="A109" s="94" t="s">
        <v>1372</v>
      </c>
      <c r="B109" s="94" t="s">
        <v>1359</v>
      </c>
      <c r="C109" s="94" t="s">
        <v>205</v>
      </c>
      <c r="D109" s="94" t="s">
        <v>1538</v>
      </c>
      <c r="E109" s="505" t="s">
        <v>1210</v>
      </c>
      <c r="F109" s="683" t="s">
        <v>1054</v>
      </c>
      <c r="G109" s="411">
        <f t="shared" si="14"/>
        <v>2379760</v>
      </c>
      <c r="H109" s="411">
        <v>0</v>
      </c>
      <c r="I109" s="411">
        <f>2252760+127000</f>
        <v>2379760</v>
      </c>
      <c r="J109" s="411">
        <f>2252760+127000</f>
        <v>2379760</v>
      </c>
      <c r="K109" s="891" t="b">
        <f>H109+H110='d3'!E95</f>
        <v>1</v>
      </c>
      <c r="L109" s="895" t="b">
        <f>I109+I110='d3'!J95</f>
        <v>1</v>
      </c>
      <c r="M109" s="895" t="b">
        <f>J109+J110='d3'!K95</f>
        <v>1</v>
      </c>
    </row>
    <row r="110" spans="1:13" ht="276" customHeight="1" thickTop="1" thickBot="1" x14ac:dyDescent="0.25">
      <c r="A110" s="94" t="s">
        <v>1372</v>
      </c>
      <c r="B110" s="94" t="s">
        <v>1359</v>
      </c>
      <c r="C110" s="94" t="s">
        <v>205</v>
      </c>
      <c r="D110" s="94" t="s">
        <v>1538</v>
      </c>
      <c r="E110" s="411" t="s">
        <v>1798</v>
      </c>
      <c r="F110" s="682" t="s">
        <v>1683</v>
      </c>
      <c r="G110" s="411">
        <f t="shared" si="14"/>
        <v>12000000</v>
      </c>
      <c r="H110" s="411">
        <v>0</v>
      </c>
      <c r="I110" s="411">
        <f>(7000000)+5000000</f>
        <v>12000000</v>
      </c>
      <c r="J110" s="411">
        <f>(7000000)+5000000</f>
        <v>12000000</v>
      </c>
      <c r="K110" s="891"/>
      <c r="L110" s="895"/>
      <c r="M110" s="895"/>
    </row>
    <row r="111" spans="1:13" ht="184.5" hidden="1" thickTop="1" thickBot="1" x14ac:dyDescent="0.25">
      <c r="A111" s="119" t="s">
        <v>1343</v>
      </c>
      <c r="B111" s="119" t="s">
        <v>1344</v>
      </c>
      <c r="C111" s="119" t="s">
        <v>205</v>
      </c>
      <c r="D111" s="119" t="s">
        <v>1347</v>
      </c>
      <c r="E111" s="195" t="s">
        <v>1210</v>
      </c>
      <c r="F111" s="678" t="s">
        <v>1054</v>
      </c>
      <c r="G111" s="179">
        <f>H111+I111</f>
        <v>0</v>
      </c>
      <c r="H111" s="179">
        <f>'d3'!E97</f>
        <v>0</v>
      </c>
      <c r="I111" s="179">
        <f>'d3'!J97</f>
        <v>0</v>
      </c>
      <c r="J111" s="179">
        <f>'d3'!K97</f>
        <v>0</v>
      </c>
      <c r="K111" s="130"/>
      <c r="L111" s="130"/>
      <c r="M111" s="130"/>
    </row>
    <row r="112" spans="1:13" ht="198.75" customHeight="1" thickTop="1" thickBot="1" x14ac:dyDescent="0.25">
      <c r="A112" s="94" t="s">
        <v>1401</v>
      </c>
      <c r="B112" s="94" t="s">
        <v>1402</v>
      </c>
      <c r="C112" s="94" t="s">
        <v>205</v>
      </c>
      <c r="D112" s="94" t="s">
        <v>1403</v>
      </c>
      <c r="E112" s="505" t="s">
        <v>1210</v>
      </c>
      <c r="F112" s="683" t="s">
        <v>1054</v>
      </c>
      <c r="G112" s="411">
        <f t="shared" si="14"/>
        <v>79736300</v>
      </c>
      <c r="H112" s="411">
        <f>'d3'!E98</f>
        <v>79736300</v>
      </c>
      <c r="I112" s="411">
        <f>'d3'!J98</f>
        <v>0</v>
      </c>
      <c r="J112" s="411">
        <f>'d3'!K98</f>
        <v>0</v>
      </c>
      <c r="K112" s="130"/>
      <c r="L112" s="130"/>
      <c r="M112" s="130"/>
    </row>
    <row r="113" spans="1:13" ht="198.75" customHeight="1" thickTop="1" thickBot="1" x14ac:dyDescent="0.25">
      <c r="A113" s="94" t="s">
        <v>1703</v>
      </c>
      <c r="B113" s="94" t="s">
        <v>1704</v>
      </c>
      <c r="C113" s="94" t="s">
        <v>205</v>
      </c>
      <c r="D113" s="94" t="s">
        <v>1705</v>
      </c>
      <c r="E113" s="505" t="s">
        <v>1210</v>
      </c>
      <c r="F113" s="683" t="s">
        <v>1054</v>
      </c>
      <c r="G113" s="411">
        <f t="shared" si="14"/>
        <v>58944400</v>
      </c>
      <c r="H113" s="411">
        <f>'d3'!E99</f>
        <v>58944400</v>
      </c>
      <c r="I113" s="411">
        <f>'d3'!J99</f>
        <v>0</v>
      </c>
      <c r="J113" s="411">
        <f>'d3'!K99</f>
        <v>0</v>
      </c>
      <c r="K113" s="130"/>
      <c r="L113" s="130"/>
      <c r="M113" s="130"/>
    </row>
    <row r="114" spans="1:13" ht="220.5" customHeight="1" thickTop="1" thickBot="1" x14ac:dyDescent="0.25">
      <c r="A114" s="94" t="s">
        <v>420</v>
      </c>
      <c r="B114" s="94" t="s">
        <v>421</v>
      </c>
      <c r="C114" s="94" t="s">
        <v>180</v>
      </c>
      <c r="D114" s="94" t="s">
        <v>419</v>
      </c>
      <c r="E114" s="505" t="s">
        <v>1210</v>
      </c>
      <c r="F114" s="683" t="s">
        <v>1054</v>
      </c>
      <c r="G114" s="411">
        <f t="shared" si="14"/>
        <v>2565000</v>
      </c>
      <c r="H114" s="411">
        <f>'d3'!E101</f>
        <v>2565000</v>
      </c>
      <c r="I114" s="411">
        <f>'d3'!J101</f>
        <v>0</v>
      </c>
      <c r="J114" s="411">
        <f>'d3'!K101</f>
        <v>0</v>
      </c>
      <c r="K114" s="130"/>
      <c r="L114" s="130"/>
      <c r="M114" s="130"/>
    </row>
    <row r="115" spans="1:13" ht="138.75" hidden="1" thickTop="1" thickBot="1" x14ac:dyDescent="0.25">
      <c r="A115" s="119" t="s">
        <v>1111</v>
      </c>
      <c r="B115" s="119" t="s">
        <v>1080</v>
      </c>
      <c r="C115" s="119" t="s">
        <v>201</v>
      </c>
      <c r="D115" s="277" t="s">
        <v>1081</v>
      </c>
      <c r="E115" s="195" t="s">
        <v>1072</v>
      </c>
      <c r="F115" s="678" t="s">
        <v>1052</v>
      </c>
      <c r="G115" s="179">
        <f t="shared" si="14"/>
        <v>0</v>
      </c>
      <c r="H115" s="179">
        <f>'d3'!E102</f>
        <v>0</v>
      </c>
      <c r="I115" s="179">
        <f>'d3'!J102</f>
        <v>0</v>
      </c>
      <c r="J115" s="179">
        <f>'d3'!K102</f>
        <v>0</v>
      </c>
      <c r="K115" s="130"/>
      <c r="L115" s="130"/>
      <c r="M115" s="130"/>
    </row>
    <row r="116" spans="1:13" ht="230.25" thickTop="1" thickBot="1" x14ac:dyDescent="0.25">
      <c r="A116" s="94" t="s">
        <v>1582</v>
      </c>
      <c r="B116" s="94" t="s">
        <v>323</v>
      </c>
      <c r="C116" s="94" t="s">
        <v>186</v>
      </c>
      <c r="D116" s="507" t="s">
        <v>1702</v>
      </c>
      <c r="E116" s="505" t="s">
        <v>1698</v>
      </c>
      <c r="F116" s="682" t="s">
        <v>1691</v>
      </c>
      <c r="G116" s="411">
        <f t="shared" si="14"/>
        <v>1600000</v>
      </c>
      <c r="H116" s="411">
        <f>(950000)+650000</f>
        <v>1600000</v>
      </c>
      <c r="I116" s="411">
        <v>0</v>
      </c>
      <c r="J116" s="411">
        <v>0</v>
      </c>
      <c r="K116" s="130"/>
      <c r="L116" s="130"/>
      <c r="M116" s="130"/>
    </row>
    <row r="117" spans="1:13" ht="276" hidden="1" thickTop="1" thickBot="1" x14ac:dyDescent="0.25">
      <c r="A117" s="119" t="s">
        <v>1422</v>
      </c>
      <c r="B117" s="119" t="s">
        <v>308</v>
      </c>
      <c r="C117" s="119" t="s">
        <v>298</v>
      </c>
      <c r="D117" s="119" t="s">
        <v>1279</v>
      </c>
      <c r="E117" s="195" t="s">
        <v>1197</v>
      </c>
      <c r="F117" s="678" t="s">
        <v>1170</v>
      </c>
      <c r="G117" s="179">
        <f t="shared" si="14"/>
        <v>0</v>
      </c>
      <c r="H117" s="179">
        <f>'d3'!E106</f>
        <v>0</v>
      </c>
      <c r="I117" s="179">
        <f>'d3'!J106</f>
        <v>0</v>
      </c>
      <c r="J117" s="179">
        <f>'d3'!K106</f>
        <v>0</v>
      </c>
      <c r="K117" s="130"/>
      <c r="L117" s="130"/>
      <c r="M117" s="130"/>
    </row>
    <row r="118" spans="1:13" ht="138.75" thickTop="1" thickBot="1" x14ac:dyDescent="0.25">
      <c r="A118" s="94" t="s">
        <v>1010</v>
      </c>
      <c r="B118" s="94" t="s">
        <v>207</v>
      </c>
      <c r="C118" s="94" t="s">
        <v>208</v>
      </c>
      <c r="D118" s="94" t="s">
        <v>40</v>
      </c>
      <c r="E118" s="505" t="s">
        <v>1210</v>
      </c>
      <c r="F118" s="683" t="s">
        <v>1054</v>
      </c>
      <c r="G118" s="411">
        <f t="shared" si="14"/>
        <v>5000000</v>
      </c>
      <c r="H118" s="411">
        <f>'d3'!E108</f>
        <v>5000000</v>
      </c>
      <c r="I118" s="411">
        <f>'d3'!J108</f>
        <v>0</v>
      </c>
      <c r="J118" s="411">
        <f>'d3'!K108</f>
        <v>0</v>
      </c>
      <c r="K118" s="130"/>
      <c r="L118" s="130"/>
      <c r="M118" s="130"/>
    </row>
    <row r="119" spans="1:13" ht="321.75" hidden="1" thickTop="1" thickBot="1" x14ac:dyDescent="0.25">
      <c r="A119" s="119" t="s">
        <v>1463</v>
      </c>
      <c r="B119" s="119" t="s">
        <v>499</v>
      </c>
      <c r="C119" s="119" t="s">
        <v>245</v>
      </c>
      <c r="D119" s="119" t="s">
        <v>500</v>
      </c>
      <c r="E119" s="179" t="s">
        <v>1202</v>
      </c>
      <c r="F119" s="678" t="s">
        <v>819</v>
      </c>
      <c r="G119" s="179">
        <f t="shared" si="14"/>
        <v>0</v>
      </c>
      <c r="H119" s="179">
        <f>'d3'!E111</f>
        <v>0</v>
      </c>
      <c r="I119" s="179">
        <f>'d3'!J111</f>
        <v>0</v>
      </c>
      <c r="J119" s="179">
        <f>'d3'!K111</f>
        <v>0</v>
      </c>
      <c r="K119" s="130"/>
      <c r="L119" s="130"/>
      <c r="M119" s="130"/>
    </row>
    <row r="120" spans="1:13" ht="138.75" hidden="1" thickTop="1" thickBot="1" x14ac:dyDescent="0.25">
      <c r="A120" s="119" t="s">
        <v>1105</v>
      </c>
      <c r="B120" s="119" t="s">
        <v>1070</v>
      </c>
      <c r="C120" s="119" t="s">
        <v>1068</v>
      </c>
      <c r="D120" s="119" t="s">
        <v>1067</v>
      </c>
      <c r="E120" s="119" t="s">
        <v>1196</v>
      </c>
      <c r="F120" s="678" t="s">
        <v>1143</v>
      </c>
      <c r="G120" s="179">
        <f t="shared" si="14"/>
        <v>0</v>
      </c>
      <c r="H120" s="179">
        <f>'d3'!E113</f>
        <v>0</v>
      </c>
      <c r="I120" s="179">
        <f>'d3'!J113</f>
        <v>0</v>
      </c>
      <c r="J120" s="179">
        <f>'d3'!K113</f>
        <v>0</v>
      </c>
      <c r="K120" s="130"/>
      <c r="L120" s="130"/>
      <c r="M120" s="130"/>
    </row>
    <row r="121" spans="1:13" ht="138.75" hidden="1" thickTop="1" thickBot="1" x14ac:dyDescent="0.25">
      <c r="A121" s="39" t="s">
        <v>954</v>
      </c>
      <c r="B121" s="39" t="s">
        <v>353</v>
      </c>
      <c r="C121" s="39" t="s">
        <v>42</v>
      </c>
      <c r="D121" s="39" t="s">
        <v>354</v>
      </c>
      <c r="E121" s="198" t="s">
        <v>558</v>
      </c>
      <c r="F121" s="678" t="s">
        <v>400</v>
      </c>
      <c r="G121" s="71">
        <f t="shared" si="14"/>
        <v>0</v>
      </c>
      <c r="H121" s="71">
        <f>'d3'!E116</f>
        <v>0</v>
      </c>
      <c r="I121" s="71">
        <f>'d3'!J116</f>
        <v>0</v>
      </c>
      <c r="J121" s="71">
        <f>'d3'!K116</f>
        <v>0</v>
      </c>
      <c r="K121" s="130"/>
      <c r="L121" s="130"/>
      <c r="M121" s="130"/>
    </row>
    <row r="122" spans="1:13" ht="170.45" customHeight="1" thickTop="1" thickBot="1" x14ac:dyDescent="0.25">
      <c r="A122" s="514" t="s">
        <v>149</v>
      </c>
      <c r="B122" s="514"/>
      <c r="C122" s="514"/>
      <c r="D122" s="515" t="s">
        <v>18</v>
      </c>
      <c r="E122" s="515"/>
      <c r="F122" s="515"/>
      <c r="G122" s="516">
        <f>G123</f>
        <v>179240862.22</v>
      </c>
      <c r="H122" s="516">
        <f t="shared" ref="H122:J122" si="15">H123</f>
        <v>162740862.22</v>
      </c>
      <c r="I122" s="516">
        <f t="shared" si="15"/>
        <v>16500000</v>
      </c>
      <c r="J122" s="516">
        <f t="shared" si="15"/>
        <v>16500000</v>
      </c>
      <c r="K122" s="537" t="b">
        <f>H122='d3'!E118-'d3'!E120+H124+H125</f>
        <v>1</v>
      </c>
      <c r="L122" s="537" t="b">
        <f>I122='d3'!J118-'d3'!J120+'d7'!I124+I125</f>
        <v>1</v>
      </c>
      <c r="M122" s="537" t="b">
        <f>J122='d3'!K118-'d3'!K120+'d7'!J124+J125</f>
        <v>1</v>
      </c>
    </row>
    <row r="123" spans="1:13" ht="170.45" customHeight="1" thickTop="1" thickBot="1" x14ac:dyDescent="0.25">
      <c r="A123" s="511" t="s">
        <v>150</v>
      </c>
      <c r="B123" s="511"/>
      <c r="C123" s="511"/>
      <c r="D123" s="512" t="s">
        <v>35</v>
      </c>
      <c r="E123" s="512"/>
      <c r="F123" s="512"/>
      <c r="G123" s="513">
        <f>SUM(G124:G150)</f>
        <v>179240862.22</v>
      </c>
      <c r="H123" s="513">
        <f>SUM(H124:H150)</f>
        <v>162740862.22</v>
      </c>
      <c r="I123" s="513">
        <f>SUM(I124:I150)</f>
        <v>16500000</v>
      </c>
      <c r="J123" s="513">
        <f>SUM(J124:J150)</f>
        <v>16500000</v>
      </c>
      <c r="K123" s="130"/>
      <c r="L123" s="130"/>
      <c r="M123" s="130"/>
    </row>
    <row r="124" spans="1:13" ht="138.75" hidden="1" customHeight="1" thickTop="1" thickBot="1" x14ac:dyDescent="0.25">
      <c r="A124" s="119" t="s">
        <v>405</v>
      </c>
      <c r="B124" s="119" t="s">
        <v>231</v>
      </c>
      <c r="C124" s="119" t="s">
        <v>229</v>
      </c>
      <c r="D124" s="119" t="s">
        <v>230</v>
      </c>
      <c r="E124" s="195" t="s">
        <v>1141</v>
      </c>
      <c r="F124" s="678" t="s">
        <v>1142</v>
      </c>
      <c r="G124" s="207">
        <f>H124+I124</f>
        <v>0</v>
      </c>
      <c r="H124" s="207"/>
      <c r="I124" s="207">
        <v>0</v>
      </c>
      <c r="J124" s="207">
        <v>0</v>
      </c>
      <c r="K124" s="130"/>
      <c r="L124" s="130"/>
      <c r="M124" s="130"/>
    </row>
    <row r="125" spans="1:13" ht="138.75" hidden="1" customHeight="1" thickTop="1" thickBot="1" x14ac:dyDescent="0.25">
      <c r="A125" s="119" t="s">
        <v>405</v>
      </c>
      <c r="B125" s="119" t="s">
        <v>231</v>
      </c>
      <c r="C125" s="119" t="s">
        <v>229</v>
      </c>
      <c r="D125" s="119" t="s">
        <v>230</v>
      </c>
      <c r="E125" s="195" t="s">
        <v>961</v>
      </c>
      <c r="F125" s="678" t="s">
        <v>817</v>
      </c>
      <c r="G125" s="207">
        <f>H125+I125</f>
        <v>0</v>
      </c>
      <c r="H125" s="207"/>
      <c r="I125" s="207">
        <v>0</v>
      </c>
      <c r="J125" s="207">
        <v>0</v>
      </c>
      <c r="K125" s="130"/>
      <c r="L125" s="130"/>
      <c r="M125" s="130"/>
    </row>
    <row r="126" spans="1:13" ht="276" hidden="1" thickTop="1" thickBot="1" x14ac:dyDescent="0.25">
      <c r="A126" s="119" t="s">
        <v>1127</v>
      </c>
      <c r="B126" s="119" t="s">
        <v>352</v>
      </c>
      <c r="C126" s="119" t="s">
        <v>598</v>
      </c>
      <c r="D126" s="119" t="s">
        <v>599</v>
      </c>
      <c r="E126" s="195" t="s">
        <v>1151</v>
      </c>
      <c r="F126" s="678" t="s">
        <v>1152</v>
      </c>
      <c r="G126" s="207">
        <f>H126+I126</f>
        <v>0</v>
      </c>
      <c r="H126" s="207">
        <f>'d3'!E121</f>
        <v>0</v>
      </c>
      <c r="I126" s="207">
        <f>'d3'!J121</f>
        <v>0</v>
      </c>
      <c r="J126" s="207">
        <f>'d3'!K121</f>
        <v>0</v>
      </c>
      <c r="K126" s="130"/>
      <c r="L126" s="130"/>
      <c r="M126" s="130"/>
    </row>
    <row r="127" spans="1:13" ht="276" thickTop="1" thickBot="1" x14ac:dyDescent="0.25">
      <c r="A127" s="469" t="s">
        <v>209</v>
      </c>
      <c r="B127" s="469" t="s">
        <v>206</v>
      </c>
      <c r="C127" s="469" t="s">
        <v>210</v>
      </c>
      <c r="D127" s="469" t="s">
        <v>19</v>
      </c>
      <c r="E127" s="478" t="s">
        <v>1373</v>
      </c>
      <c r="F127" s="682" t="s">
        <v>1296</v>
      </c>
      <c r="G127" s="474">
        <f>H127+I127</f>
        <v>65290642</v>
      </c>
      <c r="H127" s="474">
        <f>'d3'!E123-H128</f>
        <v>65290642</v>
      </c>
      <c r="I127" s="474">
        <f>'d3'!J123-I128</f>
        <v>0</v>
      </c>
      <c r="J127" s="474">
        <f>'d3'!K123-J128</f>
        <v>0</v>
      </c>
      <c r="K127" s="130"/>
      <c r="L127" s="130"/>
      <c r="M127" s="130"/>
    </row>
    <row r="128" spans="1:13" ht="184.5" hidden="1" thickTop="1" thickBot="1" x14ac:dyDescent="0.25">
      <c r="A128" s="119" t="s">
        <v>209</v>
      </c>
      <c r="B128" s="119" t="s">
        <v>206</v>
      </c>
      <c r="C128" s="119" t="s">
        <v>210</v>
      </c>
      <c r="D128" s="119" t="s">
        <v>19</v>
      </c>
      <c r="E128" s="195" t="s">
        <v>1324</v>
      </c>
      <c r="F128" s="681" t="s">
        <v>1325</v>
      </c>
      <c r="G128" s="179">
        <f t="shared" ref="G128" si="16">H128+I128</f>
        <v>0</v>
      </c>
      <c r="H128" s="179"/>
      <c r="I128" s="179"/>
      <c r="J128" s="179"/>
      <c r="K128" s="130"/>
      <c r="L128" s="130"/>
      <c r="M128" s="130"/>
    </row>
    <row r="129" spans="1:13" ht="276" thickTop="1" thickBot="1" x14ac:dyDescent="0.25">
      <c r="A129" s="469" t="s">
        <v>488</v>
      </c>
      <c r="B129" s="469" t="s">
        <v>491</v>
      </c>
      <c r="C129" s="469" t="s">
        <v>490</v>
      </c>
      <c r="D129" s="469" t="s">
        <v>489</v>
      </c>
      <c r="E129" s="478" t="s">
        <v>1373</v>
      </c>
      <c r="F129" s="682" t="s">
        <v>1296</v>
      </c>
      <c r="G129" s="474">
        <f>H129+I129</f>
        <v>21360700</v>
      </c>
      <c r="H129" s="474">
        <f>'d3'!E124</f>
        <v>21360700</v>
      </c>
      <c r="I129" s="474">
        <f>'d3'!J124</f>
        <v>0</v>
      </c>
      <c r="J129" s="474">
        <f>'d3'!K124</f>
        <v>0</v>
      </c>
      <c r="K129" s="130"/>
      <c r="L129" s="130"/>
      <c r="M129" s="130"/>
    </row>
    <row r="130" spans="1:13" ht="276" thickTop="1" thickBot="1" x14ac:dyDescent="0.25">
      <c r="A130" s="469" t="s">
        <v>211</v>
      </c>
      <c r="B130" s="469" t="s">
        <v>212</v>
      </c>
      <c r="C130" s="469" t="s">
        <v>213</v>
      </c>
      <c r="D130" s="469" t="s">
        <v>214</v>
      </c>
      <c r="E130" s="478" t="s">
        <v>1373</v>
      </c>
      <c r="F130" s="682" t="s">
        <v>1296</v>
      </c>
      <c r="G130" s="474">
        <f t="shared" ref="G130:G137" si="17">H130+I130</f>
        <v>15001444</v>
      </c>
      <c r="H130" s="474">
        <f>'d3'!E125</f>
        <v>15001444</v>
      </c>
      <c r="I130" s="474">
        <f>'d3'!J125</f>
        <v>0</v>
      </c>
      <c r="J130" s="474">
        <f>'d3'!K125</f>
        <v>0</v>
      </c>
      <c r="K130" s="130"/>
      <c r="L130" s="130"/>
      <c r="M130" s="130"/>
    </row>
    <row r="131" spans="1:13" ht="276" thickTop="1" thickBot="1" x14ac:dyDescent="0.25">
      <c r="A131" s="469" t="s">
        <v>215</v>
      </c>
      <c r="B131" s="469" t="s">
        <v>216</v>
      </c>
      <c r="C131" s="469" t="s">
        <v>217</v>
      </c>
      <c r="D131" s="469" t="s">
        <v>336</v>
      </c>
      <c r="E131" s="478" t="s">
        <v>1373</v>
      </c>
      <c r="F131" s="682" t="s">
        <v>1296</v>
      </c>
      <c r="G131" s="474">
        <f t="shared" si="17"/>
        <v>24328217.219999999</v>
      </c>
      <c r="H131" s="474">
        <f>'d3'!E126-H132</f>
        <v>24328217.219999999</v>
      </c>
      <c r="I131" s="474">
        <f>'d3'!J126-I132</f>
        <v>0</v>
      </c>
      <c r="J131" s="474">
        <f>'d3'!K126-J132</f>
        <v>0</v>
      </c>
      <c r="K131" s="130"/>
      <c r="L131" s="130"/>
      <c r="M131" s="130"/>
    </row>
    <row r="132" spans="1:13" ht="186.75" customHeight="1" thickTop="1" thickBot="1" x14ac:dyDescent="0.25">
      <c r="A132" s="469" t="s">
        <v>215</v>
      </c>
      <c r="B132" s="469" t="s">
        <v>216</v>
      </c>
      <c r="C132" s="469" t="s">
        <v>217</v>
      </c>
      <c r="D132" s="469" t="s">
        <v>336</v>
      </c>
      <c r="E132" s="505" t="s">
        <v>1324</v>
      </c>
      <c r="F132" s="683" t="s">
        <v>1325</v>
      </c>
      <c r="G132" s="411">
        <f t="shared" si="17"/>
        <v>350000</v>
      </c>
      <c r="H132" s="411">
        <v>350000</v>
      </c>
      <c r="I132" s="411">
        <v>0</v>
      </c>
      <c r="J132" s="411">
        <v>0</v>
      </c>
      <c r="K132" s="130"/>
      <c r="L132" s="130"/>
      <c r="M132" s="130"/>
    </row>
    <row r="133" spans="1:13" ht="300.75" hidden="1" thickTop="1" thickBot="1" x14ac:dyDescent="0.25">
      <c r="A133" s="119" t="s">
        <v>218</v>
      </c>
      <c r="B133" s="119" t="s">
        <v>219</v>
      </c>
      <c r="C133" s="119" t="s">
        <v>220</v>
      </c>
      <c r="D133" s="119" t="s">
        <v>221</v>
      </c>
      <c r="E133" s="206" t="s">
        <v>1082</v>
      </c>
      <c r="F133" s="678" t="s">
        <v>830</v>
      </c>
      <c r="G133" s="207"/>
      <c r="H133" s="207"/>
      <c r="I133" s="207"/>
      <c r="J133" s="207"/>
      <c r="K133" s="130"/>
      <c r="L133" s="130"/>
      <c r="M133" s="130"/>
    </row>
    <row r="134" spans="1:13" ht="184.5" hidden="1" thickTop="1" thickBot="1" x14ac:dyDescent="0.25">
      <c r="A134" s="119" t="s">
        <v>218</v>
      </c>
      <c r="B134" s="119" t="s">
        <v>219</v>
      </c>
      <c r="C134" s="119" t="s">
        <v>220</v>
      </c>
      <c r="D134" s="119" t="s">
        <v>221</v>
      </c>
      <c r="E134" s="195" t="s">
        <v>1106</v>
      </c>
      <c r="F134" s="678" t="s">
        <v>828</v>
      </c>
      <c r="G134" s="179"/>
      <c r="H134" s="179"/>
      <c r="I134" s="179"/>
      <c r="J134" s="179"/>
      <c r="K134" s="130"/>
      <c r="L134" s="130"/>
      <c r="M134" s="130"/>
    </row>
    <row r="135" spans="1:13" ht="276" thickTop="1" thickBot="1" x14ac:dyDescent="0.25">
      <c r="A135" s="469" t="s">
        <v>222</v>
      </c>
      <c r="B135" s="469" t="s">
        <v>223</v>
      </c>
      <c r="C135" s="469" t="s">
        <v>337</v>
      </c>
      <c r="D135" s="469" t="s">
        <v>224</v>
      </c>
      <c r="E135" s="478" t="s">
        <v>1373</v>
      </c>
      <c r="F135" s="682" t="s">
        <v>1296</v>
      </c>
      <c r="G135" s="474">
        <f t="shared" si="17"/>
        <v>24390259</v>
      </c>
      <c r="H135" s="474">
        <f>'d3'!E129</f>
        <v>24390259</v>
      </c>
      <c r="I135" s="474">
        <f>'d3'!J129</f>
        <v>0</v>
      </c>
      <c r="J135" s="474">
        <f>'d3'!K129</f>
        <v>0</v>
      </c>
      <c r="K135" s="130"/>
      <c r="L135" s="130"/>
      <c r="M135" s="130"/>
    </row>
    <row r="136" spans="1:13" ht="258" hidden="1" thickTop="1" thickBot="1" x14ac:dyDescent="0.25">
      <c r="A136" s="39" t="s">
        <v>459</v>
      </c>
      <c r="B136" s="39" t="s">
        <v>460</v>
      </c>
      <c r="C136" s="39" t="s">
        <v>225</v>
      </c>
      <c r="D136" s="39" t="s">
        <v>461</v>
      </c>
      <c r="E136" s="208" t="s">
        <v>829</v>
      </c>
      <c r="F136" s="681" t="s">
        <v>830</v>
      </c>
      <c r="G136" s="209">
        <f t="shared" si="17"/>
        <v>0</v>
      </c>
      <c r="H136" s="209">
        <f>'d3'!E131</f>
        <v>0</v>
      </c>
      <c r="I136" s="209">
        <f>'d3'!J131</f>
        <v>0</v>
      </c>
      <c r="J136" s="209">
        <f>'d3'!K131</f>
        <v>0</v>
      </c>
      <c r="K136" s="130"/>
      <c r="L136" s="130"/>
      <c r="M136" s="130"/>
    </row>
    <row r="137" spans="1:13" s="5" customFormat="1" ht="286.5" customHeight="1" thickTop="1" thickBot="1" x14ac:dyDescent="0.25">
      <c r="A137" s="469" t="s">
        <v>314</v>
      </c>
      <c r="B137" s="469" t="s">
        <v>316</v>
      </c>
      <c r="C137" s="469" t="s">
        <v>225</v>
      </c>
      <c r="D137" s="486" t="s">
        <v>312</v>
      </c>
      <c r="E137" s="478" t="s">
        <v>1373</v>
      </c>
      <c r="F137" s="682" t="s">
        <v>1296</v>
      </c>
      <c r="G137" s="474">
        <f t="shared" si="17"/>
        <v>4816600</v>
      </c>
      <c r="H137" s="474">
        <f>'d3'!E133</f>
        <v>4816600</v>
      </c>
      <c r="I137" s="474">
        <f>'d3'!J133</f>
        <v>0</v>
      </c>
      <c r="J137" s="474">
        <f>'d3'!K133</f>
        <v>0</v>
      </c>
      <c r="K137" s="129"/>
      <c r="L137" s="129"/>
      <c r="M137" s="129"/>
    </row>
    <row r="138" spans="1:13" s="5" customFormat="1" ht="276" thickTop="1" thickBot="1" x14ac:dyDescent="0.25">
      <c r="A138" s="469" t="s">
        <v>315</v>
      </c>
      <c r="B138" s="469" t="s">
        <v>317</v>
      </c>
      <c r="C138" s="469" t="s">
        <v>225</v>
      </c>
      <c r="D138" s="486" t="s">
        <v>313</v>
      </c>
      <c r="E138" s="478" t="s">
        <v>1373</v>
      </c>
      <c r="F138" s="682" t="s">
        <v>1296</v>
      </c>
      <c r="G138" s="474">
        <f>H138+I138</f>
        <v>5540000</v>
      </c>
      <c r="H138" s="474">
        <f>(1000000+4500000)+40000</f>
        <v>5540000</v>
      </c>
      <c r="I138" s="474">
        <v>0</v>
      </c>
      <c r="J138" s="474">
        <v>0</v>
      </c>
      <c r="K138" s="594" t="b">
        <f>H138+H140+H139='d3'!E134</f>
        <v>1</v>
      </c>
      <c r="L138" s="595" t="b">
        <f>I138+I140+I139='d3'!J134</f>
        <v>1</v>
      </c>
      <c r="M138" s="595" t="b">
        <f>J138+J140+J139='d3'!K134</f>
        <v>1</v>
      </c>
    </row>
    <row r="139" spans="1:13" s="5" customFormat="1" ht="132" customHeight="1" thickTop="1" thickBot="1" x14ac:dyDescent="0.25">
      <c r="A139" s="469" t="s">
        <v>315</v>
      </c>
      <c r="B139" s="469" t="s">
        <v>317</v>
      </c>
      <c r="C139" s="469" t="s">
        <v>225</v>
      </c>
      <c r="D139" s="486" t="s">
        <v>313</v>
      </c>
      <c r="E139" s="505" t="s">
        <v>1773</v>
      </c>
      <c r="F139" s="179"/>
      <c r="G139" s="474">
        <f>H139+I139</f>
        <v>50000</v>
      </c>
      <c r="H139" s="474">
        <v>50000</v>
      </c>
      <c r="I139" s="474">
        <v>0</v>
      </c>
      <c r="J139" s="474">
        <v>0</v>
      </c>
      <c r="K139" s="720"/>
      <c r="L139" s="720"/>
      <c r="M139" s="720"/>
    </row>
    <row r="140" spans="1:13" s="5" customFormat="1" ht="138.75" hidden="1" thickTop="1" thickBot="1" x14ac:dyDescent="0.25">
      <c r="A140" s="119" t="s">
        <v>315</v>
      </c>
      <c r="B140" s="119" t="s">
        <v>317</v>
      </c>
      <c r="C140" s="119" t="s">
        <v>225</v>
      </c>
      <c r="D140" s="277" t="s">
        <v>313</v>
      </c>
      <c r="E140" s="195" t="s">
        <v>1356</v>
      </c>
      <c r="F140" s="681" t="s">
        <v>1379</v>
      </c>
      <c r="G140" s="207">
        <f>H140+I140</f>
        <v>0</v>
      </c>
      <c r="H140" s="207"/>
      <c r="I140" s="207"/>
      <c r="J140" s="207"/>
      <c r="K140" s="129"/>
      <c r="L140" s="129"/>
      <c r="M140" s="129"/>
    </row>
    <row r="141" spans="1:13" s="5" customFormat="1" ht="276" hidden="1" thickTop="1" thickBot="1" x14ac:dyDescent="0.25">
      <c r="A141" s="119" t="s">
        <v>1320</v>
      </c>
      <c r="B141" s="119" t="s">
        <v>1321</v>
      </c>
      <c r="C141" s="119" t="s">
        <v>225</v>
      </c>
      <c r="D141" s="277" t="s">
        <v>1319</v>
      </c>
      <c r="E141" s="179" t="s">
        <v>1373</v>
      </c>
      <c r="F141" s="681" t="s">
        <v>1296</v>
      </c>
      <c r="G141" s="207">
        <f>H141+I141</f>
        <v>0</v>
      </c>
      <c r="H141" s="207">
        <f>'d3'!E136</f>
        <v>0</v>
      </c>
      <c r="I141" s="207">
        <f>'d3'!J136</f>
        <v>0</v>
      </c>
      <c r="J141" s="207">
        <f>'d3'!K136</f>
        <v>0</v>
      </c>
      <c r="K141" s="129"/>
      <c r="L141" s="129"/>
      <c r="M141" s="129"/>
    </row>
    <row r="142" spans="1:13" s="5" customFormat="1" ht="276" thickTop="1" thickBot="1" x14ac:dyDescent="0.25">
      <c r="A142" s="94" t="s">
        <v>1423</v>
      </c>
      <c r="B142" s="94" t="s">
        <v>1424</v>
      </c>
      <c r="C142" s="94" t="s">
        <v>225</v>
      </c>
      <c r="D142" s="94" t="s">
        <v>1587</v>
      </c>
      <c r="E142" s="478" t="s">
        <v>1373</v>
      </c>
      <c r="F142" s="682" t="s">
        <v>1296</v>
      </c>
      <c r="G142" s="474">
        <f>H142+I142</f>
        <v>16500000</v>
      </c>
      <c r="H142" s="474">
        <f>'d3'!E137</f>
        <v>0</v>
      </c>
      <c r="I142" s="474">
        <f>'d3'!J137</f>
        <v>16500000</v>
      </c>
      <c r="J142" s="474">
        <f>'d3'!K137</f>
        <v>16500000</v>
      </c>
      <c r="K142" s="129"/>
      <c r="L142" s="129"/>
      <c r="M142" s="129"/>
    </row>
    <row r="143" spans="1:13" s="5" customFormat="1" ht="276" thickTop="1" thickBot="1" x14ac:dyDescent="0.25">
      <c r="A143" s="94" t="s">
        <v>1446</v>
      </c>
      <c r="B143" s="94" t="s">
        <v>1412</v>
      </c>
      <c r="C143" s="94" t="s">
        <v>200</v>
      </c>
      <c r="D143" s="507" t="s">
        <v>1413</v>
      </c>
      <c r="E143" s="411" t="s">
        <v>1373</v>
      </c>
      <c r="F143" s="683" t="s">
        <v>1296</v>
      </c>
      <c r="G143" s="525">
        <f t="shared" ref="G143" si="18">H143+I143</f>
        <v>924000</v>
      </c>
      <c r="H143" s="525">
        <f>'d3'!E140</f>
        <v>924000</v>
      </c>
      <c r="I143" s="525">
        <f>'d3'!J140</f>
        <v>0</v>
      </c>
      <c r="J143" s="525">
        <f>'d3'!K140</f>
        <v>0</v>
      </c>
      <c r="K143" s="129"/>
      <c r="L143" s="129"/>
      <c r="M143" s="129"/>
    </row>
    <row r="144" spans="1:13" s="5" customFormat="1" ht="276" thickTop="1" thickBot="1" x14ac:dyDescent="0.25">
      <c r="A144" s="469" t="s">
        <v>1079</v>
      </c>
      <c r="B144" s="469" t="s">
        <v>1080</v>
      </c>
      <c r="C144" s="469" t="s">
        <v>201</v>
      </c>
      <c r="D144" s="486" t="s">
        <v>1434</v>
      </c>
      <c r="E144" s="478" t="s">
        <v>1373</v>
      </c>
      <c r="F144" s="682" t="s">
        <v>1296</v>
      </c>
      <c r="G144" s="474">
        <f t="shared" ref="G144:G147" si="19">H144+I144</f>
        <v>189000</v>
      </c>
      <c r="H144" s="474">
        <f>'d3'!E141</f>
        <v>189000</v>
      </c>
      <c r="I144" s="474">
        <f>'d3'!J141</f>
        <v>0</v>
      </c>
      <c r="J144" s="474">
        <f>'d3'!K141</f>
        <v>0</v>
      </c>
      <c r="K144" s="129"/>
      <c r="L144" s="129"/>
      <c r="M144" s="129"/>
    </row>
    <row r="145" spans="1:13" s="5" customFormat="1" ht="258" hidden="1" thickTop="1" thickBot="1" x14ac:dyDescent="0.25">
      <c r="A145" s="39" t="s">
        <v>976</v>
      </c>
      <c r="B145" s="39" t="s">
        <v>977</v>
      </c>
      <c r="C145" s="39" t="s">
        <v>165</v>
      </c>
      <c r="D145" s="39" t="s">
        <v>978</v>
      </c>
      <c r="E145" s="206" t="s">
        <v>1287</v>
      </c>
      <c r="F145" s="678"/>
      <c r="G145" s="71">
        <f t="shared" si="19"/>
        <v>0</v>
      </c>
      <c r="H145" s="71">
        <f>'d3'!E144</f>
        <v>0</v>
      </c>
      <c r="I145" s="71">
        <f>'d3'!J144</f>
        <v>0</v>
      </c>
      <c r="J145" s="71">
        <f>'d3'!K144</f>
        <v>0</v>
      </c>
      <c r="K145" s="129"/>
      <c r="L145" s="129"/>
      <c r="M145" s="129"/>
    </row>
    <row r="146" spans="1:13" s="5" customFormat="1" ht="276" hidden="1" thickTop="1" thickBot="1" x14ac:dyDescent="0.25">
      <c r="A146" s="119" t="s">
        <v>1126</v>
      </c>
      <c r="B146" s="119" t="s">
        <v>207</v>
      </c>
      <c r="C146" s="119" t="s">
        <v>208</v>
      </c>
      <c r="D146" s="119" t="s">
        <v>40</v>
      </c>
      <c r="E146" s="179" t="s">
        <v>1373</v>
      </c>
      <c r="F146" s="678" t="s">
        <v>1296</v>
      </c>
      <c r="G146" s="179">
        <f t="shared" si="19"/>
        <v>0</v>
      </c>
      <c r="H146" s="179">
        <f>'d3'!E146</f>
        <v>0</v>
      </c>
      <c r="I146" s="179">
        <f>'d3'!J146</f>
        <v>0</v>
      </c>
      <c r="J146" s="179">
        <f>'d3'!K146</f>
        <v>0</v>
      </c>
      <c r="K146" s="129"/>
      <c r="L146" s="129"/>
      <c r="M146" s="129"/>
    </row>
    <row r="147" spans="1:13" s="5" customFormat="1" ht="138.75" hidden="1" thickTop="1" thickBot="1" x14ac:dyDescent="0.25">
      <c r="A147" s="39" t="s">
        <v>424</v>
      </c>
      <c r="B147" s="39" t="s">
        <v>192</v>
      </c>
      <c r="C147" s="39" t="s">
        <v>165</v>
      </c>
      <c r="D147" s="39" t="s">
        <v>33</v>
      </c>
      <c r="E147" s="71" t="s">
        <v>425</v>
      </c>
      <c r="F147" s="678" t="s">
        <v>399</v>
      </c>
      <c r="G147" s="900">
        <f t="shared" si="19"/>
        <v>0</v>
      </c>
      <c r="H147" s="900">
        <v>0</v>
      </c>
      <c r="I147" s="900">
        <f>'d3'!J147-I149</f>
        <v>0</v>
      </c>
      <c r="J147" s="900">
        <f>'d3'!K147-J149</f>
        <v>0</v>
      </c>
      <c r="K147" s="129"/>
      <c r="L147" s="129"/>
      <c r="M147" s="129"/>
    </row>
    <row r="148" spans="1:13" s="5" customFormat="1" ht="258" hidden="1" thickTop="1" thickBot="1" x14ac:dyDescent="0.25">
      <c r="A148" s="39" t="s">
        <v>424</v>
      </c>
      <c r="B148" s="39" t="s">
        <v>192</v>
      </c>
      <c r="C148" s="39" t="s">
        <v>165</v>
      </c>
      <c r="D148" s="39" t="s">
        <v>33</v>
      </c>
      <c r="E148" s="208" t="s">
        <v>829</v>
      </c>
      <c r="F148" s="678" t="s">
        <v>830</v>
      </c>
      <c r="G148" s="901"/>
      <c r="H148" s="901"/>
      <c r="I148" s="901"/>
      <c r="J148" s="901"/>
      <c r="K148" s="129"/>
      <c r="L148" s="129"/>
      <c r="M148" s="129"/>
    </row>
    <row r="149" spans="1:13" s="5" customFormat="1" ht="138.75" hidden="1" thickTop="1" thickBot="1" x14ac:dyDescent="0.25">
      <c r="A149" s="39" t="s">
        <v>424</v>
      </c>
      <c r="B149" s="39" t="s">
        <v>192</v>
      </c>
      <c r="C149" s="39" t="s">
        <v>165</v>
      </c>
      <c r="D149" s="39" t="s">
        <v>33</v>
      </c>
      <c r="E149" s="198" t="s">
        <v>438</v>
      </c>
      <c r="F149" s="679" t="s">
        <v>439</v>
      </c>
      <c r="G149" s="71">
        <f>H149+I149</f>
        <v>0</v>
      </c>
      <c r="H149" s="71">
        <v>0</v>
      </c>
      <c r="I149" s="71"/>
      <c r="J149" s="71"/>
      <c r="K149" s="129"/>
      <c r="L149" s="129"/>
      <c r="M149" s="129"/>
    </row>
    <row r="150" spans="1:13" s="5" customFormat="1" ht="138.75" thickTop="1" thickBot="1" x14ac:dyDescent="0.25">
      <c r="A150" s="94" t="s">
        <v>492</v>
      </c>
      <c r="B150" s="94" t="s">
        <v>353</v>
      </c>
      <c r="C150" s="94" t="s">
        <v>42</v>
      </c>
      <c r="D150" s="94" t="s">
        <v>354</v>
      </c>
      <c r="E150" s="505" t="s">
        <v>1507</v>
      </c>
      <c r="F150" s="683" t="s">
        <v>1687</v>
      </c>
      <c r="G150" s="411">
        <f>H150+I150</f>
        <v>500000</v>
      </c>
      <c r="H150" s="411">
        <f>'d3'!E150</f>
        <v>500000</v>
      </c>
      <c r="I150" s="411">
        <f>'d3'!J150</f>
        <v>0</v>
      </c>
      <c r="J150" s="411">
        <f>'d3'!K150</f>
        <v>0</v>
      </c>
      <c r="K150" s="129"/>
      <c r="L150" s="129"/>
      <c r="M150" s="129"/>
    </row>
    <row r="151" spans="1:13" ht="170.45" customHeight="1" thickTop="1" thickBot="1" x14ac:dyDescent="0.25">
      <c r="A151" s="514" t="s">
        <v>151</v>
      </c>
      <c r="B151" s="514"/>
      <c r="C151" s="514"/>
      <c r="D151" s="515" t="s">
        <v>36</v>
      </c>
      <c r="E151" s="515"/>
      <c r="F151" s="515"/>
      <c r="G151" s="516">
        <f>G152</f>
        <v>653963581.33000004</v>
      </c>
      <c r="H151" s="516">
        <f t="shared" ref="H151:J151" si="20">H152</f>
        <v>582840033.33000004</v>
      </c>
      <c r="I151" s="516">
        <f t="shared" si="20"/>
        <v>71123548</v>
      </c>
      <c r="J151" s="516">
        <f t="shared" si="20"/>
        <v>54799985</v>
      </c>
      <c r="K151" s="537" t="b">
        <f>H151='d3'!E152-'d3'!E154-'d3'!E183-'d3'!E202-'d3'!E181+H153+H154+H155+H192</f>
        <v>1</v>
      </c>
      <c r="L151" s="538" t="b">
        <f>I151='d3'!J152-'d3'!J154-'d3'!J183-'d3'!J202-'d3'!J181+'d7'!I153+I154+I155+I192</f>
        <v>1</v>
      </c>
      <c r="M151" s="538" t="b">
        <f>J151='d3'!K152-'d3'!K154-'d3'!K183-'d3'!K202-'d3'!K181+'d7'!J153+J154+J155+J192</f>
        <v>1</v>
      </c>
    </row>
    <row r="152" spans="1:13" ht="178.5" customHeight="1" thickTop="1" thickBot="1" x14ac:dyDescent="0.25">
      <c r="A152" s="511" t="s">
        <v>152</v>
      </c>
      <c r="B152" s="511"/>
      <c r="C152" s="511"/>
      <c r="D152" s="512" t="s">
        <v>37</v>
      </c>
      <c r="E152" s="512"/>
      <c r="F152" s="512"/>
      <c r="G152" s="513">
        <f>SUM(G153:G197)</f>
        <v>653963581.33000004</v>
      </c>
      <c r="H152" s="513">
        <f>SUM(H153:H197)</f>
        <v>582840033.33000004</v>
      </c>
      <c r="I152" s="513">
        <f>SUM(I153:I197)</f>
        <v>71123548</v>
      </c>
      <c r="J152" s="513">
        <f>SUM(J153:J197)</f>
        <v>54799985</v>
      </c>
      <c r="K152" s="130"/>
      <c r="L152" s="45"/>
      <c r="M152" s="130"/>
    </row>
    <row r="153" spans="1:13" ht="138.75" hidden="1" thickTop="1" thickBot="1" x14ac:dyDescent="0.25">
      <c r="A153" s="119" t="s">
        <v>404</v>
      </c>
      <c r="B153" s="119" t="s">
        <v>231</v>
      </c>
      <c r="C153" s="119" t="s">
        <v>229</v>
      </c>
      <c r="D153" s="119" t="s">
        <v>230</v>
      </c>
      <c r="E153" s="195" t="s">
        <v>961</v>
      </c>
      <c r="F153" s="678" t="s">
        <v>817</v>
      </c>
      <c r="G153" s="179">
        <f t="shared" ref="G153:G196" si="21">H153+I153</f>
        <v>0</v>
      </c>
      <c r="H153" s="179">
        <v>0</v>
      </c>
      <c r="I153" s="179">
        <v>0</v>
      </c>
      <c r="J153" s="179">
        <v>0</v>
      </c>
      <c r="K153" s="130"/>
      <c r="L153" s="45"/>
      <c r="M153" s="130"/>
    </row>
    <row r="154" spans="1:13" ht="138.75" thickTop="1" thickBot="1" x14ac:dyDescent="0.25">
      <c r="A154" s="94" t="s">
        <v>404</v>
      </c>
      <c r="B154" s="94" t="s">
        <v>231</v>
      </c>
      <c r="C154" s="94" t="s">
        <v>229</v>
      </c>
      <c r="D154" s="94" t="s">
        <v>1515</v>
      </c>
      <c r="E154" s="505" t="s">
        <v>1507</v>
      </c>
      <c r="F154" s="683" t="s">
        <v>1687</v>
      </c>
      <c r="G154" s="411">
        <f t="shared" si="21"/>
        <v>1000000</v>
      </c>
      <c r="H154" s="411">
        <v>1000000</v>
      </c>
      <c r="I154" s="411">
        <v>0</v>
      </c>
      <c r="J154" s="411">
        <v>0</v>
      </c>
      <c r="K154" s="130"/>
      <c r="L154" s="45"/>
      <c r="M154" s="130"/>
    </row>
    <row r="155" spans="1:13" ht="138.75" hidden="1" thickTop="1" thickBot="1" x14ac:dyDescent="0.25">
      <c r="A155" s="119" t="s">
        <v>404</v>
      </c>
      <c r="B155" s="119" t="s">
        <v>231</v>
      </c>
      <c r="C155" s="119" t="s">
        <v>229</v>
      </c>
      <c r="D155" s="119" t="s">
        <v>230</v>
      </c>
      <c r="E155" s="195" t="s">
        <v>1072</v>
      </c>
      <c r="F155" s="678" t="s">
        <v>1052</v>
      </c>
      <c r="G155" s="179">
        <f t="shared" ref="G155" si="22">H155+I155</f>
        <v>0</v>
      </c>
      <c r="H155" s="179">
        <v>0</v>
      </c>
      <c r="I155" s="179"/>
      <c r="J155" s="179"/>
      <c r="K155" s="130"/>
      <c r="L155" s="45"/>
      <c r="M155" s="130"/>
    </row>
    <row r="156" spans="1:13" ht="276" hidden="1" thickTop="1" thickBot="1" x14ac:dyDescent="0.25">
      <c r="A156" s="119" t="s">
        <v>601</v>
      </c>
      <c r="B156" s="119" t="s">
        <v>352</v>
      </c>
      <c r="C156" s="119" t="s">
        <v>598</v>
      </c>
      <c r="D156" s="119" t="s">
        <v>599</v>
      </c>
      <c r="E156" s="195" t="s">
        <v>1151</v>
      </c>
      <c r="F156" s="678" t="s">
        <v>1152</v>
      </c>
      <c r="G156" s="179">
        <f t="shared" si="21"/>
        <v>0</v>
      </c>
      <c r="H156" s="179">
        <f>'d3'!E155</f>
        <v>0</v>
      </c>
      <c r="I156" s="179">
        <f>'d3'!J155</f>
        <v>0</v>
      </c>
      <c r="J156" s="179">
        <f>'d3'!K155</f>
        <v>0</v>
      </c>
      <c r="K156" s="130"/>
      <c r="L156" s="45"/>
      <c r="M156" s="130"/>
    </row>
    <row r="157" spans="1:13" ht="138.75" thickTop="1" thickBot="1" x14ac:dyDescent="0.25">
      <c r="A157" s="469" t="s">
        <v>875</v>
      </c>
      <c r="B157" s="469" t="s">
        <v>42</v>
      </c>
      <c r="C157" s="469" t="s">
        <v>41</v>
      </c>
      <c r="D157" s="469" t="s">
        <v>242</v>
      </c>
      <c r="E157" s="477" t="s">
        <v>1516</v>
      </c>
      <c r="F157" s="682" t="s">
        <v>1694</v>
      </c>
      <c r="G157" s="478">
        <f t="shared" si="21"/>
        <v>30000</v>
      </c>
      <c r="H157" s="478">
        <f>'d3'!E156</f>
        <v>30000</v>
      </c>
      <c r="I157" s="478">
        <f>'d3'!J156</f>
        <v>0</v>
      </c>
      <c r="J157" s="478">
        <f>'d3'!K156</f>
        <v>0</v>
      </c>
      <c r="K157" s="130"/>
      <c r="L157" s="45"/>
      <c r="M157" s="130"/>
    </row>
    <row r="158" spans="1:13" s="5" customFormat="1" ht="138.75" thickTop="1" thickBot="1" x14ac:dyDescent="0.25">
      <c r="A158" s="469" t="s">
        <v>263</v>
      </c>
      <c r="B158" s="469" t="s">
        <v>264</v>
      </c>
      <c r="C158" s="469" t="s">
        <v>200</v>
      </c>
      <c r="D158" s="475" t="s">
        <v>265</v>
      </c>
      <c r="E158" s="477" t="s">
        <v>1072</v>
      </c>
      <c r="F158" s="682" t="s">
        <v>1052</v>
      </c>
      <c r="G158" s="478">
        <f t="shared" si="21"/>
        <v>1225000</v>
      </c>
      <c r="H158" s="478">
        <f>'d3'!E159</f>
        <v>1225000</v>
      </c>
      <c r="I158" s="411">
        <f>'d3'!J159</f>
        <v>0</v>
      </c>
      <c r="J158" s="411">
        <f>'d3'!K159</f>
        <v>0</v>
      </c>
      <c r="K158" s="129"/>
      <c r="L158" s="129"/>
      <c r="M158" s="129"/>
    </row>
    <row r="159" spans="1:13" s="5" customFormat="1" ht="138.75" thickTop="1" thickBot="1" x14ac:dyDescent="0.25">
      <c r="A159" s="94" t="s">
        <v>266</v>
      </c>
      <c r="B159" s="94" t="s">
        <v>267</v>
      </c>
      <c r="C159" s="94" t="s">
        <v>201</v>
      </c>
      <c r="D159" s="469" t="s">
        <v>6</v>
      </c>
      <c r="E159" s="505" t="s">
        <v>1072</v>
      </c>
      <c r="F159" s="683" t="s">
        <v>1052</v>
      </c>
      <c r="G159" s="411">
        <f t="shared" si="21"/>
        <v>465500</v>
      </c>
      <c r="H159" s="411">
        <f>'d3'!F160</f>
        <v>465500</v>
      </c>
      <c r="I159" s="411">
        <f>'d3'!J160</f>
        <v>0</v>
      </c>
      <c r="J159" s="411">
        <f>'d3'!K160</f>
        <v>0</v>
      </c>
      <c r="K159" s="129"/>
      <c r="L159" s="129"/>
      <c r="M159" s="129"/>
    </row>
    <row r="160" spans="1:13" s="5" customFormat="1" ht="138.75" thickTop="1" thickBot="1" x14ac:dyDescent="0.25">
      <c r="A160" s="94" t="s">
        <v>269</v>
      </c>
      <c r="B160" s="94" t="s">
        <v>270</v>
      </c>
      <c r="C160" s="94" t="s">
        <v>201</v>
      </c>
      <c r="D160" s="94" t="s">
        <v>7</v>
      </c>
      <c r="E160" s="505" t="s">
        <v>1072</v>
      </c>
      <c r="F160" s="683" t="s">
        <v>1052</v>
      </c>
      <c r="G160" s="411">
        <f t="shared" si="21"/>
        <v>52100000</v>
      </c>
      <c r="H160" s="411">
        <f>'d3'!F161</f>
        <v>52100000</v>
      </c>
      <c r="I160" s="411">
        <f>'d3'!J161</f>
        <v>0</v>
      </c>
      <c r="J160" s="411">
        <f>'d3'!K161</f>
        <v>0</v>
      </c>
      <c r="K160" s="129"/>
      <c r="L160" s="129"/>
      <c r="M160" s="129"/>
    </row>
    <row r="161" spans="1:13" s="5" customFormat="1" ht="138.75" thickTop="1" thickBot="1" x14ac:dyDescent="0.25">
      <c r="A161" s="94" t="s">
        <v>271</v>
      </c>
      <c r="B161" s="94" t="s">
        <v>268</v>
      </c>
      <c r="C161" s="94" t="s">
        <v>201</v>
      </c>
      <c r="D161" s="94" t="s">
        <v>8</v>
      </c>
      <c r="E161" s="505" t="s">
        <v>1072</v>
      </c>
      <c r="F161" s="683" t="s">
        <v>1052</v>
      </c>
      <c r="G161" s="411">
        <f t="shared" si="21"/>
        <v>1500000</v>
      </c>
      <c r="H161" s="411">
        <f>'d3'!F162</f>
        <v>1500000</v>
      </c>
      <c r="I161" s="411">
        <f>'d3'!J162</f>
        <v>0</v>
      </c>
      <c r="J161" s="411">
        <f>'d3'!K162</f>
        <v>0</v>
      </c>
      <c r="K161" s="129"/>
      <c r="L161" s="129"/>
      <c r="M161" s="129"/>
    </row>
    <row r="162" spans="1:13" s="5" customFormat="1" ht="138.75" thickTop="1" thickBot="1" x14ac:dyDescent="0.25">
      <c r="A162" s="94" t="s">
        <v>272</v>
      </c>
      <c r="B162" s="94" t="s">
        <v>273</v>
      </c>
      <c r="C162" s="94" t="s">
        <v>201</v>
      </c>
      <c r="D162" s="94" t="s">
        <v>9</v>
      </c>
      <c r="E162" s="505" t="s">
        <v>1072</v>
      </c>
      <c r="F162" s="683" t="s">
        <v>1052</v>
      </c>
      <c r="G162" s="411">
        <f t="shared" si="21"/>
        <v>83700000</v>
      </c>
      <c r="H162" s="411">
        <f>'d3'!F163</f>
        <v>83700000</v>
      </c>
      <c r="I162" s="411">
        <f>'d3'!J163</f>
        <v>0</v>
      </c>
      <c r="J162" s="411">
        <f>'d3'!K163</f>
        <v>0</v>
      </c>
      <c r="K162" s="129"/>
      <c r="L162" s="129"/>
      <c r="M162" s="129"/>
    </row>
    <row r="163" spans="1:13" s="5" customFormat="1" ht="138.75" thickTop="1" thickBot="1" x14ac:dyDescent="0.25">
      <c r="A163" s="94" t="s">
        <v>462</v>
      </c>
      <c r="B163" s="94" t="s">
        <v>463</v>
      </c>
      <c r="C163" s="94" t="s">
        <v>201</v>
      </c>
      <c r="D163" s="94" t="s">
        <v>464</v>
      </c>
      <c r="E163" s="505" t="s">
        <v>1072</v>
      </c>
      <c r="F163" s="683" t="s">
        <v>1052</v>
      </c>
      <c r="G163" s="411">
        <f t="shared" si="21"/>
        <v>399986</v>
      </c>
      <c r="H163" s="411">
        <f>'d3'!E164</f>
        <v>399986</v>
      </c>
      <c r="I163" s="411">
        <f>'d3'!J164</f>
        <v>0</v>
      </c>
      <c r="J163" s="411">
        <f>'d3'!K164</f>
        <v>0</v>
      </c>
      <c r="K163" s="129"/>
      <c r="L163" s="129"/>
      <c r="M163" s="129"/>
    </row>
    <row r="164" spans="1:13" s="5" customFormat="1" ht="138.75" thickTop="1" thickBot="1" x14ac:dyDescent="0.25">
      <c r="A164" s="94" t="s">
        <v>876</v>
      </c>
      <c r="B164" s="94" t="s">
        <v>877</v>
      </c>
      <c r="C164" s="94" t="s">
        <v>201</v>
      </c>
      <c r="D164" s="94" t="s">
        <v>878</v>
      </c>
      <c r="E164" s="505" t="s">
        <v>1072</v>
      </c>
      <c r="F164" s="683" t="s">
        <v>1052</v>
      </c>
      <c r="G164" s="411">
        <f t="shared" ref="G164" si="23">H164+I164</f>
        <v>2200000</v>
      </c>
      <c r="H164" s="411">
        <f>'d3'!F165</f>
        <v>2200000</v>
      </c>
      <c r="I164" s="411">
        <f>'d3'!J165</f>
        <v>0</v>
      </c>
      <c r="J164" s="411">
        <f>'d3'!K165</f>
        <v>0</v>
      </c>
      <c r="K164" s="129"/>
      <c r="L164" s="129"/>
      <c r="M164" s="129"/>
    </row>
    <row r="165" spans="1:13" s="5" customFormat="1" ht="138.75" thickTop="1" thickBot="1" x14ac:dyDescent="0.25">
      <c r="A165" s="94" t="s">
        <v>465</v>
      </c>
      <c r="B165" s="94" t="s">
        <v>466</v>
      </c>
      <c r="C165" s="94" t="s">
        <v>200</v>
      </c>
      <c r="D165" s="94" t="s">
        <v>467</v>
      </c>
      <c r="E165" s="505" t="s">
        <v>1072</v>
      </c>
      <c r="F165" s="683" t="s">
        <v>1052</v>
      </c>
      <c r="G165" s="411">
        <f t="shared" si="21"/>
        <v>1146655</v>
      </c>
      <c r="H165" s="411">
        <f>'d3'!F166</f>
        <v>1146655</v>
      </c>
      <c r="I165" s="411">
        <f>'d3'!J166</f>
        <v>0</v>
      </c>
      <c r="J165" s="411">
        <f>'d3'!K166</f>
        <v>0</v>
      </c>
      <c r="K165" s="129"/>
      <c r="L165" s="129"/>
      <c r="M165" s="129"/>
    </row>
    <row r="166" spans="1:13" ht="184.5" thickTop="1" thickBot="1" x14ac:dyDescent="0.25">
      <c r="A166" s="94" t="s">
        <v>261</v>
      </c>
      <c r="B166" s="94" t="s">
        <v>259</v>
      </c>
      <c r="C166" s="94" t="s">
        <v>195</v>
      </c>
      <c r="D166" s="94" t="s">
        <v>17</v>
      </c>
      <c r="E166" s="505" t="s">
        <v>1072</v>
      </c>
      <c r="F166" s="683" t="s">
        <v>1052</v>
      </c>
      <c r="G166" s="411">
        <f t="shared" si="21"/>
        <v>84851735</v>
      </c>
      <c r="H166" s="411">
        <f>'d3'!E168-H167</f>
        <v>82098495</v>
      </c>
      <c r="I166" s="411">
        <f>'d3'!J168-I167</f>
        <v>2753240</v>
      </c>
      <c r="J166" s="411">
        <f>'d3'!K168-J167</f>
        <v>0</v>
      </c>
      <c r="K166" s="472" t="b">
        <f>H166+H167='d3'!E168</f>
        <v>1</v>
      </c>
      <c r="L166" s="472" t="b">
        <f>I166+I167='d3'!J168</f>
        <v>1</v>
      </c>
      <c r="M166" s="472" t="b">
        <f>J166+J167='d3'!K168</f>
        <v>1</v>
      </c>
    </row>
    <row r="167" spans="1:13" ht="184.5" hidden="1" thickTop="1" thickBot="1" x14ac:dyDescent="0.25">
      <c r="A167" s="119" t="s">
        <v>261</v>
      </c>
      <c r="B167" s="119" t="s">
        <v>259</v>
      </c>
      <c r="C167" s="119" t="s">
        <v>195</v>
      </c>
      <c r="D167" s="119" t="s">
        <v>17</v>
      </c>
      <c r="E167" s="195" t="s">
        <v>1324</v>
      </c>
      <c r="F167" s="681" t="s">
        <v>1325</v>
      </c>
      <c r="G167" s="179">
        <f t="shared" si="21"/>
        <v>0</v>
      </c>
      <c r="H167" s="179"/>
      <c r="I167" s="179"/>
      <c r="J167" s="179"/>
      <c r="K167" s="130"/>
      <c r="L167" s="130"/>
      <c r="M167" s="130"/>
    </row>
    <row r="168" spans="1:13" ht="138.75" thickTop="1" thickBot="1" x14ac:dyDescent="0.25">
      <c r="A168" s="94" t="s">
        <v>262</v>
      </c>
      <c r="B168" s="94" t="s">
        <v>260</v>
      </c>
      <c r="C168" s="94" t="s">
        <v>194</v>
      </c>
      <c r="D168" s="94" t="s">
        <v>443</v>
      </c>
      <c r="E168" s="505" t="s">
        <v>1072</v>
      </c>
      <c r="F168" s="683" t="s">
        <v>1052</v>
      </c>
      <c r="G168" s="411">
        <f t="shared" si="21"/>
        <v>22198182.23</v>
      </c>
      <c r="H168" s="411">
        <f>'d3'!E169-H169</f>
        <v>22198182.23</v>
      </c>
      <c r="I168" s="411">
        <f>'d3'!J169-I169</f>
        <v>0</v>
      </c>
      <c r="J168" s="411">
        <f>'d3'!K169-J169</f>
        <v>0</v>
      </c>
      <c r="K168" s="130"/>
      <c r="L168" s="130"/>
      <c r="M168" s="130"/>
    </row>
    <row r="169" spans="1:13" ht="184.5" hidden="1" thickTop="1" thickBot="1" x14ac:dyDescent="0.25">
      <c r="A169" s="119" t="s">
        <v>262</v>
      </c>
      <c r="B169" s="119" t="s">
        <v>260</v>
      </c>
      <c r="C169" s="119" t="s">
        <v>194</v>
      </c>
      <c r="D169" s="119" t="s">
        <v>443</v>
      </c>
      <c r="E169" s="195" t="s">
        <v>1198</v>
      </c>
      <c r="F169" s="681" t="s">
        <v>439</v>
      </c>
      <c r="G169" s="179">
        <f t="shared" si="21"/>
        <v>0</v>
      </c>
      <c r="H169" s="179"/>
      <c r="I169" s="179"/>
      <c r="J169" s="179"/>
      <c r="K169" s="130"/>
      <c r="L169" s="130"/>
      <c r="M169" s="130"/>
    </row>
    <row r="170" spans="1:13" ht="184.5" thickTop="1" thickBot="1" x14ac:dyDescent="0.25">
      <c r="A170" s="94" t="s">
        <v>1430</v>
      </c>
      <c r="B170" s="94" t="s">
        <v>1431</v>
      </c>
      <c r="C170" s="94" t="s">
        <v>180</v>
      </c>
      <c r="D170" s="94" t="s">
        <v>1429</v>
      </c>
      <c r="E170" s="505" t="s">
        <v>1072</v>
      </c>
      <c r="F170" s="683" t="s">
        <v>1052</v>
      </c>
      <c r="G170" s="411">
        <f t="shared" si="21"/>
        <v>135120</v>
      </c>
      <c r="H170" s="411">
        <f>'d3'!E171</f>
        <v>135120</v>
      </c>
      <c r="I170" s="411">
        <f>'d3'!J171</f>
        <v>0</v>
      </c>
      <c r="J170" s="411">
        <f>'d3'!K171</f>
        <v>0</v>
      </c>
      <c r="K170" s="130"/>
      <c r="L170" s="130"/>
      <c r="M170" s="130"/>
    </row>
    <row r="171" spans="1:13" ht="276" thickTop="1" thickBot="1" x14ac:dyDescent="0.25">
      <c r="A171" s="94" t="s">
        <v>1095</v>
      </c>
      <c r="B171" s="94" t="s">
        <v>179</v>
      </c>
      <c r="C171" s="94" t="s">
        <v>180</v>
      </c>
      <c r="D171" s="94" t="s">
        <v>1388</v>
      </c>
      <c r="E171" s="505" t="s">
        <v>1072</v>
      </c>
      <c r="F171" s="683" t="s">
        <v>1052</v>
      </c>
      <c r="G171" s="411">
        <f>H171+I171</f>
        <v>13193980</v>
      </c>
      <c r="H171" s="411">
        <f>'d3'!E173-H172</f>
        <v>13137580</v>
      </c>
      <c r="I171" s="411">
        <f>'d3'!J173-I172</f>
        <v>56400</v>
      </c>
      <c r="J171" s="411">
        <f>'d3'!K173-J172</f>
        <v>0</v>
      </c>
      <c r="K171" s="130"/>
      <c r="L171" s="130"/>
      <c r="M171" s="130"/>
    </row>
    <row r="172" spans="1:13" ht="276" hidden="1" thickTop="1" thickBot="1" x14ac:dyDescent="0.25">
      <c r="A172" s="119" t="s">
        <v>1095</v>
      </c>
      <c r="B172" s="119" t="s">
        <v>179</v>
      </c>
      <c r="C172" s="119" t="s">
        <v>180</v>
      </c>
      <c r="D172" s="94" t="s">
        <v>1388</v>
      </c>
      <c r="E172" s="195" t="s">
        <v>1324</v>
      </c>
      <c r="F172" s="681" t="s">
        <v>1325</v>
      </c>
      <c r="G172" s="179">
        <f>H172+I172</f>
        <v>0</v>
      </c>
      <c r="H172" s="179"/>
      <c r="I172" s="179"/>
      <c r="J172" s="179"/>
      <c r="K172" s="130"/>
      <c r="L172" s="130"/>
      <c r="M172" s="130"/>
    </row>
    <row r="173" spans="1:13" ht="184.5" thickTop="1" thickBot="1" x14ac:dyDescent="0.25">
      <c r="A173" s="94" t="s">
        <v>946</v>
      </c>
      <c r="B173" s="94" t="s">
        <v>947</v>
      </c>
      <c r="C173" s="94" t="s">
        <v>180</v>
      </c>
      <c r="D173" s="94" t="s">
        <v>1389</v>
      </c>
      <c r="E173" s="505" t="s">
        <v>1072</v>
      </c>
      <c r="F173" s="683" t="s">
        <v>1052</v>
      </c>
      <c r="G173" s="411">
        <f t="shared" si="21"/>
        <v>7742918</v>
      </c>
      <c r="H173" s="411">
        <f>'d3'!E174-H174</f>
        <v>7742918</v>
      </c>
      <c r="I173" s="411">
        <f>'d3'!J174-I174</f>
        <v>0</v>
      </c>
      <c r="J173" s="411">
        <f>'d3'!K174-J174</f>
        <v>0</v>
      </c>
      <c r="K173" s="130"/>
      <c r="L173" s="130"/>
      <c r="M173" s="130"/>
    </row>
    <row r="174" spans="1:13" ht="184.5" thickTop="1" thickBot="1" x14ac:dyDescent="0.25">
      <c r="A174" s="94" t="s">
        <v>946</v>
      </c>
      <c r="B174" s="94" t="s">
        <v>947</v>
      </c>
      <c r="C174" s="94" t="s">
        <v>180</v>
      </c>
      <c r="D174" s="94" t="s">
        <v>1389</v>
      </c>
      <c r="E174" s="505" t="s">
        <v>1324</v>
      </c>
      <c r="F174" s="683" t="s">
        <v>1325</v>
      </c>
      <c r="G174" s="411">
        <f t="shared" si="21"/>
        <v>99460</v>
      </c>
      <c r="H174" s="411">
        <v>99460</v>
      </c>
      <c r="I174" s="411">
        <v>0</v>
      </c>
      <c r="J174" s="411">
        <v>0</v>
      </c>
      <c r="K174" s="130"/>
      <c r="L174" s="130"/>
      <c r="M174" s="130"/>
    </row>
    <row r="175" spans="1:13" ht="276" thickTop="1" thickBot="1" x14ac:dyDescent="0.25">
      <c r="A175" s="94" t="s">
        <v>257</v>
      </c>
      <c r="B175" s="94" t="s">
        <v>258</v>
      </c>
      <c r="C175" s="94" t="s">
        <v>194</v>
      </c>
      <c r="D175" s="94" t="s">
        <v>1519</v>
      </c>
      <c r="E175" s="505" t="s">
        <v>1072</v>
      </c>
      <c r="F175" s="683" t="s">
        <v>1052</v>
      </c>
      <c r="G175" s="411">
        <f t="shared" si="21"/>
        <v>11007200</v>
      </c>
      <c r="H175" s="411">
        <f>'d3'!E175</f>
        <v>11007200</v>
      </c>
      <c r="I175" s="411">
        <f>'d3'!J175</f>
        <v>0</v>
      </c>
      <c r="J175" s="411">
        <f>'d3'!K175</f>
        <v>0</v>
      </c>
      <c r="K175" s="130"/>
      <c r="L175" s="130"/>
      <c r="M175" s="130"/>
    </row>
    <row r="176" spans="1:13" ht="189.75" customHeight="1" thickTop="1" thickBot="1" x14ac:dyDescent="0.25">
      <c r="A176" s="94" t="s">
        <v>468</v>
      </c>
      <c r="B176" s="94" t="s">
        <v>469</v>
      </c>
      <c r="C176" s="94" t="s">
        <v>194</v>
      </c>
      <c r="D176" s="94" t="s">
        <v>470</v>
      </c>
      <c r="E176" s="505" t="s">
        <v>1072</v>
      </c>
      <c r="F176" s="683" t="s">
        <v>1052</v>
      </c>
      <c r="G176" s="411">
        <f t="shared" si="21"/>
        <v>177006</v>
      </c>
      <c r="H176" s="411">
        <f>'d3'!E177</f>
        <v>177006</v>
      </c>
      <c r="I176" s="411">
        <f>'d3'!J177</f>
        <v>0</v>
      </c>
      <c r="J176" s="411">
        <f>'d3'!K177</f>
        <v>0</v>
      </c>
      <c r="K176" s="130"/>
      <c r="L176" s="130"/>
      <c r="M176" s="130"/>
    </row>
    <row r="177" spans="1:14" ht="258.75" customHeight="1" thickTop="1" thickBot="1" x14ac:dyDescent="0.25">
      <c r="A177" s="469" t="s">
        <v>339</v>
      </c>
      <c r="B177" s="469" t="s">
        <v>338</v>
      </c>
      <c r="C177" s="469" t="s">
        <v>48</v>
      </c>
      <c r="D177" s="469" t="s">
        <v>442</v>
      </c>
      <c r="E177" s="477" t="s">
        <v>1072</v>
      </c>
      <c r="F177" s="682" t="s">
        <v>1052</v>
      </c>
      <c r="G177" s="478">
        <f t="shared" si="21"/>
        <v>1541600</v>
      </c>
      <c r="H177" s="478">
        <v>1541600</v>
      </c>
      <c r="I177" s="478">
        <f>'d3'!J178-I178-I179</f>
        <v>0</v>
      </c>
      <c r="J177" s="478">
        <f>'d3'!K178-J178-J179</f>
        <v>0</v>
      </c>
      <c r="K177" s="472" t="b">
        <f>H177+H178+H179='d3'!E178</f>
        <v>1</v>
      </c>
      <c r="L177" s="472" t="b">
        <f>I177+I178+I179='d3'!J178</f>
        <v>1</v>
      </c>
      <c r="M177" s="472" t="b">
        <f>J177+J178+J179='d3'!K178</f>
        <v>1</v>
      </c>
    </row>
    <row r="178" spans="1:14" ht="232.5" customHeight="1" thickTop="1" thickBot="1" x14ac:dyDescent="0.25">
      <c r="A178" s="469" t="s">
        <v>339</v>
      </c>
      <c r="B178" s="469" t="s">
        <v>338</v>
      </c>
      <c r="C178" s="469" t="s">
        <v>48</v>
      </c>
      <c r="D178" s="469" t="s">
        <v>442</v>
      </c>
      <c r="E178" s="505" t="s">
        <v>1692</v>
      </c>
      <c r="F178" s="682" t="s">
        <v>1693</v>
      </c>
      <c r="G178" s="478">
        <f t="shared" si="21"/>
        <v>1400000</v>
      </c>
      <c r="H178" s="478">
        <v>1400000</v>
      </c>
      <c r="I178" s="478">
        <v>0</v>
      </c>
      <c r="J178" s="478">
        <v>0</v>
      </c>
      <c r="K178" s="130"/>
      <c r="L178" s="130"/>
      <c r="M178" s="130"/>
    </row>
    <row r="179" spans="1:14" ht="230.25" thickTop="1" thickBot="1" x14ac:dyDescent="0.25">
      <c r="A179" s="469" t="s">
        <v>339</v>
      </c>
      <c r="B179" s="469" t="s">
        <v>338</v>
      </c>
      <c r="C179" s="469" t="s">
        <v>48</v>
      </c>
      <c r="D179" s="469" t="s">
        <v>442</v>
      </c>
      <c r="E179" s="505" t="s">
        <v>1698</v>
      </c>
      <c r="F179" s="682" t="s">
        <v>1691</v>
      </c>
      <c r="G179" s="478">
        <f t="shared" si="21"/>
        <v>3840000</v>
      </c>
      <c r="H179" s="478">
        <v>3840000</v>
      </c>
      <c r="I179" s="478">
        <v>0</v>
      </c>
      <c r="J179" s="478">
        <v>0</v>
      </c>
      <c r="K179" s="130"/>
      <c r="L179" s="130"/>
      <c r="M179" s="130"/>
    </row>
    <row r="180" spans="1:14" ht="138.75" thickTop="1" thickBot="1" x14ac:dyDescent="0.25">
      <c r="A180" s="94" t="s">
        <v>318</v>
      </c>
      <c r="B180" s="94" t="s">
        <v>319</v>
      </c>
      <c r="C180" s="94" t="s">
        <v>200</v>
      </c>
      <c r="D180" s="94" t="s">
        <v>608</v>
      </c>
      <c r="E180" s="505" t="s">
        <v>1072</v>
      </c>
      <c r="F180" s="683" t="s">
        <v>1052</v>
      </c>
      <c r="G180" s="411">
        <f t="shared" si="21"/>
        <v>840000</v>
      </c>
      <c r="H180" s="411">
        <f>(800000)+40000</f>
        <v>840000</v>
      </c>
      <c r="I180" s="411">
        <f>'d3'!J180</f>
        <v>0</v>
      </c>
      <c r="J180" s="411">
        <f>'d3'!K180</f>
        <v>0</v>
      </c>
      <c r="K180" s="472" t="b">
        <f>H180+H181='d3'!E180</f>
        <v>1</v>
      </c>
      <c r="L180" s="472" t="b">
        <f>I180+I181='d3'!J180</f>
        <v>1</v>
      </c>
      <c r="M180" s="472" t="b">
        <f>J180+J181='d3'!K180</f>
        <v>1</v>
      </c>
    </row>
    <row r="181" spans="1:14" ht="189.75" customHeight="1" thickTop="1" thickBot="1" x14ac:dyDescent="0.25">
      <c r="A181" s="94" t="s">
        <v>318</v>
      </c>
      <c r="B181" s="94" t="s">
        <v>319</v>
      </c>
      <c r="C181" s="94" t="s">
        <v>200</v>
      </c>
      <c r="D181" s="94" t="s">
        <v>608</v>
      </c>
      <c r="E181" s="505" t="s">
        <v>1692</v>
      </c>
      <c r="F181" s="682" t="s">
        <v>1693</v>
      </c>
      <c r="G181" s="411">
        <f t="shared" si="21"/>
        <v>1470000</v>
      </c>
      <c r="H181" s="411">
        <f>(700000)+770000</f>
        <v>1470000</v>
      </c>
      <c r="I181" s="411">
        <v>0</v>
      </c>
      <c r="J181" s="411">
        <v>0</v>
      </c>
      <c r="K181" s="130"/>
      <c r="L181" s="130"/>
      <c r="M181" s="130"/>
    </row>
    <row r="182" spans="1:14" ht="138.75" thickTop="1" thickBot="1" x14ac:dyDescent="0.25">
      <c r="A182" s="94" t="s">
        <v>417</v>
      </c>
      <c r="B182" s="94" t="s">
        <v>362</v>
      </c>
      <c r="C182" s="94" t="s">
        <v>363</v>
      </c>
      <c r="D182" s="94" t="s">
        <v>361</v>
      </c>
      <c r="E182" s="505" t="s">
        <v>1285</v>
      </c>
      <c r="F182" s="683" t="s">
        <v>1313</v>
      </c>
      <c r="G182" s="411">
        <f t="shared" si="21"/>
        <v>117000</v>
      </c>
      <c r="H182" s="411">
        <f>'d3'!E182</f>
        <v>117000</v>
      </c>
      <c r="I182" s="411">
        <f>'d3'!J182</f>
        <v>0</v>
      </c>
      <c r="J182" s="411">
        <f>'d3'!K182</f>
        <v>0</v>
      </c>
      <c r="K182" s="130"/>
      <c r="L182" s="130"/>
      <c r="M182" s="130"/>
    </row>
    <row r="183" spans="1:14" ht="138.75" thickTop="1" thickBot="1" x14ac:dyDescent="0.25">
      <c r="A183" s="94" t="s">
        <v>1083</v>
      </c>
      <c r="B183" s="94" t="s">
        <v>1080</v>
      </c>
      <c r="C183" s="94" t="s">
        <v>201</v>
      </c>
      <c r="D183" s="507" t="s">
        <v>1434</v>
      </c>
      <c r="E183" s="505" t="s">
        <v>1072</v>
      </c>
      <c r="F183" s="683" t="s">
        <v>1052</v>
      </c>
      <c r="G183" s="411">
        <f>H183+I183</f>
        <v>5755950</v>
      </c>
      <c r="H183" s="503">
        <f>'d3'!E198</f>
        <v>5755950</v>
      </c>
      <c r="I183" s="411">
        <f>'d3'!J198</f>
        <v>0</v>
      </c>
      <c r="J183" s="411">
        <f>'d3'!K198</f>
        <v>0</v>
      </c>
      <c r="K183" s="130"/>
      <c r="L183" s="130"/>
      <c r="M183" s="130"/>
    </row>
    <row r="184" spans="1:14" ht="184.5" thickTop="1" thickBot="1" x14ac:dyDescent="0.25">
      <c r="A184" s="94" t="s">
        <v>320</v>
      </c>
      <c r="B184" s="94" t="s">
        <v>322</v>
      </c>
      <c r="C184" s="94" t="s">
        <v>186</v>
      </c>
      <c r="D184" s="507" t="s">
        <v>1392</v>
      </c>
      <c r="E184" s="505" t="s">
        <v>1072</v>
      </c>
      <c r="F184" s="683" t="s">
        <v>1052</v>
      </c>
      <c r="G184" s="411">
        <f t="shared" si="21"/>
        <v>71848042.099999994</v>
      </c>
      <c r="H184" s="503">
        <f>'d3'!E200-H185</f>
        <v>58334119.100000001</v>
      </c>
      <c r="I184" s="411">
        <f>'d3'!J200-I185</f>
        <v>13513923</v>
      </c>
      <c r="J184" s="411">
        <f>'d3'!K200-J185</f>
        <v>0</v>
      </c>
      <c r="L184" s="130"/>
      <c r="M184" s="130"/>
    </row>
    <row r="185" spans="1:14" ht="184.5" hidden="1" thickTop="1" thickBot="1" x14ac:dyDescent="0.25">
      <c r="A185" s="119" t="s">
        <v>320</v>
      </c>
      <c r="B185" s="119" t="s">
        <v>322</v>
      </c>
      <c r="C185" s="119" t="s">
        <v>186</v>
      </c>
      <c r="D185" s="277" t="s">
        <v>1392</v>
      </c>
      <c r="E185" s="195" t="s">
        <v>1324</v>
      </c>
      <c r="F185" s="681" t="s">
        <v>1325</v>
      </c>
      <c r="G185" s="179">
        <f>H185+I185</f>
        <v>0</v>
      </c>
      <c r="H185" s="196"/>
      <c r="I185" s="179"/>
      <c r="J185" s="179"/>
      <c r="K185" s="130"/>
      <c r="L185" s="130"/>
      <c r="M185" s="130"/>
    </row>
    <row r="186" spans="1:14" ht="138.75" thickTop="1" thickBot="1" x14ac:dyDescent="0.25">
      <c r="A186" s="94" t="s">
        <v>321</v>
      </c>
      <c r="B186" s="94" t="s">
        <v>323</v>
      </c>
      <c r="C186" s="94" t="s">
        <v>186</v>
      </c>
      <c r="D186" s="507" t="s">
        <v>1702</v>
      </c>
      <c r="E186" s="505" t="s">
        <v>1072</v>
      </c>
      <c r="F186" s="683" t="s">
        <v>1052</v>
      </c>
      <c r="G186" s="411">
        <f>H186+I186</f>
        <v>33105442</v>
      </c>
      <c r="H186" s="411">
        <f>(30342720+250000)+807804+1704918</f>
        <v>33105442</v>
      </c>
      <c r="I186" s="411">
        <v>0</v>
      </c>
      <c r="J186" s="411">
        <v>0</v>
      </c>
      <c r="K186" s="891" t="b">
        <f>H186+H188+H189+H190+H191+H187='d3'!E201</f>
        <v>1</v>
      </c>
      <c r="L186" s="891" t="b">
        <f>I186+I188+I189+I190+I191+I187='d3'!J201</f>
        <v>1</v>
      </c>
      <c r="M186" s="891" t="b">
        <f>J186+J188+J189+J190+J191+J187='d3'!K201</f>
        <v>1</v>
      </c>
    </row>
    <row r="187" spans="1:14" ht="321.75" thickTop="1" thickBot="1" x14ac:dyDescent="0.25">
      <c r="A187" s="94" t="s">
        <v>321</v>
      </c>
      <c r="B187" s="94" t="s">
        <v>323</v>
      </c>
      <c r="C187" s="94" t="s">
        <v>186</v>
      </c>
      <c r="D187" s="507" t="s">
        <v>1702</v>
      </c>
      <c r="E187" s="411" t="s">
        <v>1798</v>
      </c>
      <c r="F187" s="682" t="s">
        <v>1683</v>
      </c>
      <c r="G187" s="411">
        <f t="shared" si="21"/>
        <v>2000000</v>
      </c>
      <c r="H187" s="411">
        <v>2000000</v>
      </c>
      <c r="I187" s="411">
        <v>0</v>
      </c>
      <c r="J187" s="411">
        <v>0</v>
      </c>
      <c r="K187" s="891"/>
      <c r="L187" s="891"/>
      <c r="M187" s="891"/>
    </row>
    <row r="188" spans="1:14" ht="138.75" thickTop="1" thickBot="1" x14ac:dyDescent="0.25">
      <c r="A188" s="94" t="s">
        <v>321</v>
      </c>
      <c r="B188" s="94" t="s">
        <v>323</v>
      </c>
      <c r="C188" s="94" t="s">
        <v>186</v>
      </c>
      <c r="D188" s="507" t="s">
        <v>1702</v>
      </c>
      <c r="E188" s="411" t="s">
        <v>1518</v>
      </c>
      <c r="F188" s="682" t="s">
        <v>1761</v>
      </c>
      <c r="G188" s="411">
        <f t="shared" si="21"/>
        <v>64000</v>
      </c>
      <c r="H188" s="411">
        <v>64000</v>
      </c>
      <c r="I188" s="411">
        <v>0</v>
      </c>
      <c r="J188" s="411">
        <v>0</v>
      </c>
      <c r="K188" s="892"/>
      <c r="L188" s="892"/>
      <c r="M188" s="892"/>
      <c r="N188" s="194"/>
    </row>
    <row r="189" spans="1:14" ht="186.75" customHeight="1" thickTop="1" thickBot="1" x14ac:dyDescent="0.25">
      <c r="A189" s="94" t="s">
        <v>321</v>
      </c>
      <c r="B189" s="94" t="s">
        <v>323</v>
      </c>
      <c r="C189" s="94" t="s">
        <v>186</v>
      </c>
      <c r="D189" s="507" t="s">
        <v>1702</v>
      </c>
      <c r="E189" s="505" t="s">
        <v>1692</v>
      </c>
      <c r="F189" s="682" t="s">
        <v>1693</v>
      </c>
      <c r="G189" s="411">
        <f t="shared" si="21"/>
        <v>126548820</v>
      </c>
      <c r="H189" s="411">
        <f>((96268400)+10000000)+20000000+280420</f>
        <v>126548820</v>
      </c>
      <c r="I189" s="411">
        <v>0</v>
      </c>
      <c r="J189" s="411">
        <v>0</v>
      </c>
      <c r="K189" s="892"/>
      <c r="L189" s="892"/>
      <c r="M189" s="892"/>
    </row>
    <row r="190" spans="1:14" ht="177.75" customHeight="1" thickTop="1" thickBot="1" x14ac:dyDescent="0.25">
      <c r="A190" s="94" t="s">
        <v>321</v>
      </c>
      <c r="B190" s="94" t="s">
        <v>323</v>
      </c>
      <c r="C190" s="94" t="s">
        <v>186</v>
      </c>
      <c r="D190" s="507" t="s">
        <v>1702</v>
      </c>
      <c r="E190" s="505" t="s">
        <v>1410</v>
      </c>
      <c r="F190" s="683" t="s">
        <v>1264</v>
      </c>
      <c r="G190" s="411">
        <f t="shared" si="21"/>
        <v>2110000</v>
      </c>
      <c r="H190" s="411">
        <f>(1660000)+450000</f>
        <v>2110000</v>
      </c>
      <c r="I190" s="411">
        <v>0</v>
      </c>
      <c r="J190" s="411">
        <v>0</v>
      </c>
      <c r="K190" s="13"/>
      <c r="L190" s="13"/>
      <c r="M190" s="13"/>
    </row>
    <row r="191" spans="1:14" ht="230.25" thickTop="1" thickBot="1" x14ac:dyDescent="0.25">
      <c r="A191" s="94" t="s">
        <v>321</v>
      </c>
      <c r="B191" s="94" t="s">
        <v>323</v>
      </c>
      <c r="C191" s="94" t="s">
        <v>186</v>
      </c>
      <c r="D191" s="507" t="s">
        <v>1702</v>
      </c>
      <c r="E191" s="505" t="s">
        <v>1698</v>
      </c>
      <c r="F191" s="682" t="s">
        <v>1691</v>
      </c>
      <c r="G191" s="411">
        <f t="shared" si="21"/>
        <v>65200000</v>
      </c>
      <c r="H191" s="411">
        <f>(25800000+37600000)+1800000</f>
        <v>65200000</v>
      </c>
      <c r="I191" s="411">
        <v>0</v>
      </c>
      <c r="J191" s="411">
        <v>0</v>
      </c>
      <c r="K191" s="13"/>
      <c r="L191" s="13"/>
      <c r="M191" s="13"/>
    </row>
    <row r="192" spans="1:14" ht="138.75" thickTop="1" thickBot="1" x14ac:dyDescent="0.25">
      <c r="A192" s="94" t="s">
        <v>1460</v>
      </c>
      <c r="B192" s="94" t="s">
        <v>1459</v>
      </c>
      <c r="C192" s="94" t="s">
        <v>180</v>
      </c>
      <c r="D192" s="507" t="s">
        <v>1709</v>
      </c>
      <c r="E192" s="411" t="s">
        <v>1518</v>
      </c>
      <c r="F192" s="682" t="s">
        <v>1761</v>
      </c>
      <c r="G192" s="411">
        <f t="shared" si="21"/>
        <v>799985</v>
      </c>
      <c r="H192" s="411">
        <v>0</v>
      </c>
      <c r="I192" s="411">
        <v>799985</v>
      </c>
      <c r="J192" s="411">
        <v>799985</v>
      </c>
      <c r="K192" s="13"/>
      <c r="L192" s="13"/>
      <c r="M192" s="13"/>
    </row>
    <row r="193" spans="1:13" ht="229.5" customHeight="1" thickTop="1" thickBot="1" x14ac:dyDescent="0.25">
      <c r="A193" s="94" t="s">
        <v>1376</v>
      </c>
      <c r="B193" s="94" t="s">
        <v>1377</v>
      </c>
      <c r="C193" s="94" t="s">
        <v>186</v>
      </c>
      <c r="D193" s="94" t="s">
        <v>1505</v>
      </c>
      <c r="E193" s="505" t="s">
        <v>1072</v>
      </c>
      <c r="F193" s="683" t="s">
        <v>1052</v>
      </c>
      <c r="G193" s="411">
        <f t="shared" si="21"/>
        <v>9000000</v>
      </c>
      <c r="H193" s="411">
        <v>0</v>
      </c>
      <c r="I193" s="411">
        <f>(6000000)+3000000</f>
        <v>9000000</v>
      </c>
      <c r="J193" s="411">
        <f>(6000000)+3000000</f>
        <v>9000000</v>
      </c>
      <c r="K193" s="472" t="b">
        <f>H193+H194='d3'!E203</f>
        <v>1</v>
      </c>
      <c r="L193" s="472" t="b">
        <f>I193+I194='d3'!J203</f>
        <v>1</v>
      </c>
      <c r="M193" s="472" t="b">
        <f>J193+J194='d3'!K203</f>
        <v>1</v>
      </c>
    </row>
    <row r="194" spans="1:13" ht="232.5" customHeight="1" thickTop="1" thickBot="1" x14ac:dyDescent="0.25">
      <c r="A194" s="94" t="s">
        <v>1376</v>
      </c>
      <c r="B194" s="94" t="s">
        <v>1377</v>
      </c>
      <c r="C194" s="94" t="s">
        <v>186</v>
      </c>
      <c r="D194" s="94" t="s">
        <v>1505</v>
      </c>
      <c r="E194" s="505" t="s">
        <v>1692</v>
      </c>
      <c r="F194" s="682" t="s">
        <v>1693</v>
      </c>
      <c r="G194" s="411">
        <f t="shared" si="21"/>
        <v>45000000</v>
      </c>
      <c r="H194" s="411">
        <v>0</v>
      </c>
      <c r="I194" s="411">
        <v>45000000</v>
      </c>
      <c r="J194" s="411">
        <v>45000000</v>
      </c>
      <c r="K194" s="130"/>
      <c r="L194" s="130"/>
      <c r="M194" s="130"/>
    </row>
    <row r="195" spans="1:13" ht="276" hidden="1" thickTop="1" thickBot="1" x14ac:dyDescent="0.25">
      <c r="A195" s="119" t="s">
        <v>994</v>
      </c>
      <c r="B195" s="119" t="s">
        <v>995</v>
      </c>
      <c r="C195" s="119" t="s">
        <v>331</v>
      </c>
      <c r="D195" s="277" t="s">
        <v>996</v>
      </c>
      <c r="E195" s="195" t="s">
        <v>1284</v>
      </c>
      <c r="F195" s="678" t="s">
        <v>827</v>
      </c>
      <c r="G195" s="179">
        <f t="shared" si="21"/>
        <v>0</v>
      </c>
      <c r="H195" s="179"/>
      <c r="I195" s="179"/>
      <c r="J195" s="179"/>
      <c r="K195" s="130"/>
      <c r="L195" s="130"/>
      <c r="M195" s="130"/>
    </row>
    <row r="196" spans="1:13" ht="138.75" thickTop="1" thickBot="1" x14ac:dyDescent="0.25">
      <c r="A196" s="94" t="s">
        <v>1160</v>
      </c>
      <c r="B196" s="94" t="s">
        <v>207</v>
      </c>
      <c r="C196" s="94" t="s">
        <v>208</v>
      </c>
      <c r="D196" s="94" t="s">
        <v>40</v>
      </c>
      <c r="E196" s="505" t="s">
        <v>1072</v>
      </c>
      <c r="F196" s="683" t="s">
        <v>1052</v>
      </c>
      <c r="G196" s="411">
        <f t="shared" si="21"/>
        <v>150000</v>
      </c>
      <c r="H196" s="525">
        <f>'d3'!E210</f>
        <v>150000</v>
      </c>
      <c r="I196" s="525">
        <f>'d3'!J210</f>
        <v>0</v>
      </c>
      <c r="J196" s="525">
        <f>'d3'!K210</f>
        <v>0</v>
      </c>
      <c r="K196" s="130"/>
      <c r="L196" s="130"/>
      <c r="M196" s="130"/>
    </row>
    <row r="197" spans="1:13" ht="276" hidden="1" thickTop="1" thickBot="1" x14ac:dyDescent="0.7">
      <c r="A197" s="119" t="s">
        <v>412</v>
      </c>
      <c r="B197" s="119" t="s">
        <v>329</v>
      </c>
      <c r="C197" s="119" t="s">
        <v>165</v>
      </c>
      <c r="D197" s="144" t="s">
        <v>429</v>
      </c>
      <c r="E197" s="119" t="s">
        <v>1048</v>
      </c>
      <c r="F197" s="680" t="s">
        <v>1049</v>
      </c>
      <c r="G197" s="207">
        <f>H197+I197</f>
        <v>0</v>
      </c>
      <c r="H197" s="207"/>
      <c r="I197" s="207"/>
      <c r="J197" s="207"/>
      <c r="K197" s="130"/>
      <c r="L197" s="130"/>
      <c r="M197" s="130"/>
    </row>
    <row r="198" spans="1:13" ht="136.5" customHeight="1" thickTop="1" thickBot="1" x14ac:dyDescent="0.25">
      <c r="A198" s="514">
        <v>1000000</v>
      </c>
      <c r="B198" s="514"/>
      <c r="C198" s="514"/>
      <c r="D198" s="515" t="s">
        <v>24</v>
      </c>
      <c r="E198" s="515"/>
      <c r="F198" s="515"/>
      <c r="G198" s="516">
        <f>G199</f>
        <v>250155440</v>
      </c>
      <c r="H198" s="516">
        <f t="shared" ref="H198:J198" si="24">H199</f>
        <v>233027084</v>
      </c>
      <c r="I198" s="516">
        <f t="shared" si="24"/>
        <v>17128356</v>
      </c>
      <c r="J198" s="516">
        <f t="shared" si="24"/>
        <v>0</v>
      </c>
      <c r="K198" s="537" t="b">
        <f>H198='d3'!E215</f>
        <v>1</v>
      </c>
      <c r="L198" s="538" t="b">
        <f>I198='d3'!J215</f>
        <v>1</v>
      </c>
      <c r="M198" s="538" t="b">
        <f>J198='d3'!K215</f>
        <v>1</v>
      </c>
    </row>
    <row r="199" spans="1:13" ht="153.75" customHeight="1" thickTop="1" thickBot="1" x14ac:dyDescent="0.25">
      <c r="A199" s="511">
        <v>1010000</v>
      </c>
      <c r="B199" s="511"/>
      <c r="C199" s="511"/>
      <c r="D199" s="512" t="s">
        <v>38</v>
      </c>
      <c r="E199" s="512"/>
      <c r="F199" s="512"/>
      <c r="G199" s="513">
        <f>SUM(G200:G218)</f>
        <v>250155440</v>
      </c>
      <c r="H199" s="513">
        <f>SUM(H200:H218)</f>
        <v>233027084</v>
      </c>
      <c r="I199" s="513">
        <f>SUM(I200:I218)</f>
        <v>17128356</v>
      </c>
      <c r="J199" s="513">
        <f>SUM(J200:J218)</f>
        <v>0</v>
      </c>
      <c r="K199" s="130"/>
      <c r="L199" s="130"/>
      <c r="M199" s="130"/>
    </row>
    <row r="200" spans="1:13" ht="198.75" customHeight="1" thickTop="1" thickBot="1" x14ac:dyDescent="0.25">
      <c r="A200" s="94" t="s">
        <v>609</v>
      </c>
      <c r="B200" s="94" t="s">
        <v>610</v>
      </c>
      <c r="C200" s="94" t="s">
        <v>176</v>
      </c>
      <c r="D200" s="94" t="s">
        <v>1027</v>
      </c>
      <c r="E200" s="411" t="s">
        <v>1616</v>
      </c>
      <c r="F200" s="682" t="s">
        <v>1697</v>
      </c>
      <c r="G200" s="411">
        <f>H200+I200</f>
        <v>149470353</v>
      </c>
      <c r="H200" s="411">
        <f>'d3'!E217-H201</f>
        <v>133753777</v>
      </c>
      <c r="I200" s="411">
        <f>'d3'!J217-I201</f>
        <v>15716576</v>
      </c>
      <c r="J200" s="411">
        <f>'d3'!K217-J201</f>
        <v>0</v>
      </c>
      <c r="K200" s="130"/>
      <c r="L200" s="130"/>
      <c r="M200" s="130"/>
    </row>
    <row r="201" spans="1:13" ht="246.75" customHeight="1" thickTop="1" thickBot="1" x14ac:dyDescent="0.25">
      <c r="A201" s="94" t="s">
        <v>609</v>
      </c>
      <c r="B201" s="94" t="s">
        <v>610</v>
      </c>
      <c r="C201" s="94" t="s">
        <v>176</v>
      </c>
      <c r="D201" s="94" t="s">
        <v>1027</v>
      </c>
      <c r="E201" s="505" t="s">
        <v>1324</v>
      </c>
      <c r="F201" s="683" t="s">
        <v>1325</v>
      </c>
      <c r="G201" s="411">
        <f t="shared" ref="G201" si="25">H201+I201</f>
        <v>978300</v>
      </c>
      <c r="H201" s="411">
        <f>32200+35000+282000+20000+310000+86100+15000+198000</f>
        <v>978300</v>
      </c>
      <c r="I201" s="411">
        <v>0</v>
      </c>
      <c r="J201" s="411">
        <v>0</v>
      </c>
      <c r="K201" s="130"/>
      <c r="L201" s="130"/>
      <c r="M201" s="130"/>
    </row>
    <row r="202" spans="1:13" ht="204.75" customHeight="1" thickTop="1" thickBot="1" x14ac:dyDescent="0.25">
      <c r="A202" s="94" t="s">
        <v>167</v>
      </c>
      <c r="B202" s="94" t="s">
        <v>168</v>
      </c>
      <c r="C202" s="94" t="s">
        <v>169</v>
      </c>
      <c r="D202" s="94" t="s">
        <v>170</v>
      </c>
      <c r="E202" s="411" t="s">
        <v>1616</v>
      </c>
      <c r="F202" s="682" t="s">
        <v>1697</v>
      </c>
      <c r="G202" s="411">
        <f t="shared" ref="G202:G218" si="26">H202+I202</f>
        <v>23326769</v>
      </c>
      <c r="H202" s="411">
        <f>'d3'!E219-H203-H204</f>
        <v>23086769</v>
      </c>
      <c r="I202" s="411">
        <f>'d3'!J219-I203-I204</f>
        <v>240000</v>
      </c>
      <c r="J202" s="411">
        <f>'d3'!K219-J203-J204</f>
        <v>0</v>
      </c>
      <c r="K202" s="130"/>
      <c r="L202" s="130"/>
      <c r="M202" s="130"/>
    </row>
    <row r="203" spans="1:13" ht="219.75" customHeight="1" thickTop="1" thickBot="1" x14ac:dyDescent="0.25">
      <c r="A203" s="94" t="s">
        <v>167</v>
      </c>
      <c r="B203" s="94" t="s">
        <v>168</v>
      </c>
      <c r="C203" s="94" t="s">
        <v>169</v>
      </c>
      <c r="D203" s="94" t="s">
        <v>170</v>
      </c>
      <c r="E203" s="505" t="s">
        <v>1324</v>
      </c>
      <c r="F203" s="683" t="s">
        <v>1325</v>
      </c>
      <c r="G203" s="411">
        <f>H203+I203</f>
        <v>699797</v>
      </c>
      <c r="H203" s="503">
        <v>699797</v>
      </c>
      <c r="I203" s="411">
        <v>0</v>
      </c>
      <c r="J203" s="411">
        <v>0</v>
      </c>
      <c r="K203" s="130"/>
      <c r="L203" s="130"/>
      <c r="M203" s="130"/>
    </row>
    <row r="204" spans="1:13" ht="184.5" hidden="1" thickTop="1" thickBot="1" x14ac:dyDescent="0.25">
      <c r="A204" s="119" t="s">
        <v>167</v>
      </c>
      <c r="B204" s="119" t="s">
        <v>168</v>
      </c>
      <c r="C204" s="119" t="s">
        <v>169</v>
      </c>
      <c r="D204" s="119" t="s">
        <v>170</v>
      </c>
      <c r="E204" s="179" t="s">
        <v>823</v>
      </c>
      <c r="F204" s="678" t="s">
        <v>824</v>
      </c>
      <c r="G204" s="179">
        <f>H204+I204</f>
        <v>0</v>
      </c>
      <c r="H204" s="196">
        <v>0</v>
      </c>
      <c r="I204" s="179">
        <v>0</v>
      </c>
      <c r="J204" s="179">
        <v>0</v>
      </c>
      <c r="K204" s="130"/>
      <c r="L204" s="130"/>
      <c r="M204" s="130"/>
    </row>
    <row r="205" spans="1:13" ht="177.75" customHeight="1" thickTop="1" thickBot="1" x14ac:dyDescent="0.25">
      <c r="A205" s="94" t="s">
        <v>171</v>
      </c>
      <c r="B205" s="94" t="s">
        <v>172</v>
      </c>
      <c r="C205" s="94" t="s">
        <v>169</v>
      </c>
      <c r="D205" s="94" t="s">
        <v>449</v>
      </c>
      <c r="E205" s="411" t="s">
        <v>1616</v>
      </c>
      <c r="F205" s="682" t="s">
        <v>1697</v>
      </c>
      <c r="G205" s="411">
        <f t="shared" si="26"/>
        <v>3845880</v>
      </c>
      <c r="H205" s="411">
        <f>'d3'!E220-H206</f>
        <v>3680880</v>
      </c>
      <c r="I205" s="411">
        <f>'d3'!J220-I206</f>
        <v>165000</v>
      </c>
      <c r="J205" s="411">
        <f>'d3'!K220-J206</f>
        <v>0</v>
      </c>
      <c r="K205" s="130"/>
      <c r="L205" s="130"/>
      <c r="M205" s="130"/>
    </row>
    <row r="206" spans="1:13" ht="184.5" hidden="1" thickTop="1" thickBot="1" x14ac:dyDescent="0.25">
      <c r="A206" s="119" t="s">
        <v>171</v>
      </c>
      <c r="B206" s="119" t="s">
        <v>172</v>
      </c>
      <c r="C206" s="119" t="s">
        <v>169</v>
      </c>
      <c r="D206" s="119" t="s">
        <v>449</v>
      </c>
      <c r="E206" s="195" t="s">
        <v>1198</v>
      </c>
      <c r="F206" s="678" t="s">
        <v>439</v>
      </c>
      <c r="G206" s="179">
        <f t="shared" si="26"/>
        <v>0</v>
      </c>
      <c r="H206" s="179">
        <v>0</v>
      </c>
      <c r="I206" s="179">
        <v>0</v>
      </c>
      <c r="J206" s="179">
        <v>0</v>
      </c>
      <c r="K206" s="130"/>
      <c r="L206" s="130"/>
      <c r="M206" s="130"/>
    </row>
    <row r="207" spans="1:13" ht="183.75" customHeight="1" thickTop="1" thickBot="1" x14ac:dyDescent="0.25">
      <c r="A207" s="94" t="s">
        <v>173</v>
      </c>
      <c r="B207" s="94" t="s">
        <v>166</v>
      </c>
      <c r="C207" s="94" t="s">
        <v>174</v>
      </c>
      <c r="D207" s="94" t="s">
        <v>175</v>
      </c>
      <c r="E207" s="411" t="s">
        <v>1616</v>
      </c>
      <c r="F207" s="682" t="s">
        <v>1697</v>
      </c>
      <c r="G207" s="411">
        <f t="shared" si="26"/>
        <v>28688612</v>
      </c>
      <c r="H207" s="411">
        <f>'d3'!E221-H208</f>
        <v>27923712</v>
      </c>
      <c r="I207" s="411">
        <f>'d3'!J221-I208</f>
        <v>764900</v>
      </c>
      <c r="J207" s="411">
        <f>'d3'!K221-J208</f>
        <v>0</v>
      </c>
      <c r="K207" s="130"/>
      <c r="L207" s="130"/>
      <c r="M207" s="130"/>
    </row>
    <row r="208" spans="1:13" ht="138.75" hidden="1" thickTop="1" thickBot="1" x14ac:dyDescent="0.25">
      <c r="A208" s="39" t="s">
        <v>173</v>
      </c>
      <c r="B208" s="39" t="s">
        <v>166</v>
      </c>
      <c r="C208" s="39" t="s">
        <v>174</v>
      </c>
      <c r="D208" s="39" t="s">
        <v>175</v>
      </c>
      <c r="E208" s="198" t="s">
        <v>438</v>
      </c>
      <c r="F208" s="679" t="s">
        <v>439</v>
      </c>
      <c r="G208" s="71">
        <f>H208+I208</f>
        <v>0</v>
      </c>
      <c r="H208" s="199">
        <v>0</v>
      </c>
      <c r="I208" s="71">
        <v>0</v>
      </c>
      <c r="J208" s="71">
        <v>0</v>
      </c>
      <c r="K208" s="130"/>
      <c r="L208" s="130"/>
      <c r="M208" s="130"/>
    </row>
    <row r="209" spans="1:13" ht="195.75" customHeight="1" thickTop="1" thickBot="1" x14ac:dyDescent="0.25">
      <c r="A209" s="94" t="s">
        <v>1074</v>
      </c>
      <c r="B209" s="94" t="s">
        <v>1075</v>
      </c>
      <c r="C209" s="94" t="s">
        <v>1077</v>
      </c>
      <c r="D209" s="94" t="s">
        <v>1076</v>
      </c>
      <c r="E209" s="411" t="s">
        <v>1616</v>
      </c>
      <c r="F209" s="411" t="s">
        <v>1697</v>
      </c>
      <c r="G209" s="411">
        <f>H209+I209</f>
        <v>165000</v>
      </c>
      <c r="H209" s="503">
        <f>'d3'!E222</f>
        <v>165000</v>
      </c>
      <c r="I209" s="411">
        <f>'d3'!J222</f>
        <v>0</v>
      </c>
      <c r="J209" s="411">
        <f>'d3'!K222</f>
        <v>0</v>
      </c>
      <c r="K209" s="130"/>
      <c r="L209" s="130"/>
      <c r="M209" s="130"/>
    </row>
    <row r="210" spans="1:13" ht="195.75" customHeight="1" thickTop="1" thickBot="1" x14ac:dyDescent="0.25">
      <c r="A210" s="94" t="s">
        <v>324</v>
      </c>
      <c r="B210" s="94" t="s">
        <v>325</v>
      </c>
      <c r="C210" s="94" t="s">
        <v>177</v>
      </c>
      <c r="D210" s="94" t="s">
        <v>450</v>
      </c>
      <c r="E210" s="411" t="s">
        <v>1616</v>
      </c>
      <c r="F210" s="682" t="s">
        <v>1697</v>
      </c>
      <c r="G210" s="411">
        <f>H210+I210</f>
        <v>33892766</v>
      </c>
      <c r="H210" s="411">
        <f>'d3'!E224-H211</f>
        <v>33650886</v>
      </c>
      <c r="I210" s="411">
        <f>'d3'!J224-I211</f>
        <v>241880</v>
      </c>
      <c r="J210" s="411">
        <f>'d3'!K224-J211</f>
        <v>0</v>
      </c>
      <c r="K210" s="130"/>
      <c r="L210" s="130"/>
      <c r="M210" s="130"/>
    </row>
    <row r="211" spans="1:13" ht="138.75" thickTop="1" thickBot="1" x14ac:dyDescent="0.25">
      <c r="A211" s="94" t="s">
        <v>324</v>
      </c>
      <c r="B211" s="94" t="s">
        <v>325</v>
      </c>
      <c r="C211" s="94" t="s">
        <v>177</v>
      </c>
      <c r="D211" s="94" t="s">
        <v>450</v>
      </c>
      <c r="E211" s="411" t="s">
        <v>1128</v>
      </c>
      <c r="F211" s="683" t="s">
        <v>396</v>
      </c>
      <c r="G211" s="411">
        <f t="shared" si="26"/>
        <v>2075280</v>
      </c>
      <c r="H211" s="411">
        <f>(1556460)+518820</f>
        <v>2075280</v>
      </c>
      <c r="I211" s="411">
        <v>0</v>
      </c>
      <c r="J211" s="411">
        <v>0</v>
      </c>
      <c r="K211" s="130"/>
      <c r="L211" s="130"/>
      <c r="M211" s="130"/>
    </row>
    <row r="212" spans="1:13" ht="210.75" customHeight="1" thickTop="1" thickBot="1" x14ac:dyDescent="0.25">
      <c r="A212" s="94" t="s">
        <v>326</v>
      </c>
      <c r="B212" s="94" t="s">
        <v>327</v>
      </c>
      <c r="C212" s="94" t="s">
        <v>177</v>
      </c>
      <c r="D212" s="94" t="s">
        <v>451</v>
      </c>
      <c r="E212" s="411" t="s">
        <v>1616</v>
      </c>
      <c r="F212" s="682" t="s">
        <v>1697</v>
      </c>
      <c r="G212" s="411">
        <f t="shared" si="26"/>
        <v>3807180</v>
      </c>
      <c r="H212" s="411">
        <f>'d3'!E225-H213-H214</f>
        <v>3807180</v>
      </c>
      <c r="I212" s="411">
        <f>'d3'!J225-I213-I214</f>
        <v>0</v>
      </c>
      <c r="J212" s="411">
        <f>'d3'!K225-J213-J214</f>
        <v>0</v>
      </c>
      <c r="K212" s="130"/>
      <c r="L212" s="130"/>
      <c r="M212" s="130"/>
    </row>
    <row r="213" spans="1:13" ht="138.75" thickTop="1" thickBot="1" x14ac:dyDescent="0.25">
      <c r="A213" s="94" t="s">
        <v>326</v>
      </c>
      <c r="B213" s="94" t="s">
        <v>327</v>
      </c>
      <c r="C213" s="94" t="s">
        <v>177</v>
      </c>
      <c r="D213" s="94" t="s">
        <v>451</v>
      </c>
      <c r="E213" s="411" t="s">
        <v>1128</v>
      </c>
      <c r="F213" s="683" t="s">
        <v>396</v>
      </c>
      <c r="G213" s="411">
        <f t="shared" si="26"/>
        <v>1245168</v>
      </c>
      <c r="H213" s="411">
        <f>(726348)+518820</f>
        <v>1245168</v>
      </c>
      <c r="I213" s="411">
        <v>0</v>
      </c>
      <c r="J213" s="411">
        <v>0</v>
      </c>
      <c r="K213" s="130"/>
      <c r="L213" s="130"/>
      <c r="M213" s="130"/>
    </row>
    <row r="214" spans="1:13" ht="183.75" customHeight="1" thickTop="1" thickBot="1" x14ac:dyDescent="0.25">
      <c r="A214" s="94" t="s">
        <v>326</v>
      </c>
      <c r="B214" s="94" t="s">
        <v>327</v>
      </c>
      <c r="C214" s="94" t="s">
        <v>177</v>
      </c>
      <c r="D214" s="94" t="s">
        <v>451</v>
      </c>
      <c r="E214" s="411" t="s">
        <v>1584</v>
      </c>
      <c r="F214" s="683" t="s">
        <v>1760</v>
      </c>
      <c r="G214" s="411">
        <f t="shared" si="26"/>
        <v>504000</v>
      </c>
      <c r="H214" s="411">
        <v>504000</v>
      </c>
      <c r="I214" s="411">
        <v>0</v>
      </c>
      <c r="J214" s="411">
        <v>0</v>
      </c>
      <c r="K214" s="130"/>
      <c r="L214" s="130"/>
      <c r="M214" s="130"/>
    </row>
    <row r="215" spans="1:13" ht="174.75" customHeight="1" thickTop="1" thickBot="1" x14ac:dyDescent="0.25">
      <c r="A215" s="94" t="s">
        <v>959</v>
      </c>
      <c r="B215" s="94" t="s">
        <v>960</v>
      </c>
      <c r="C215" s="94" t="s">
        <v>208</v>
      </c>
      <c r="D215" s="94" t="s">
        <v>958</v>
      </c>
      <c r="E215" s="478" t="s">
        <v>1297</v>
      </c>
      <c r="F215" s="682" t="s">
        <v>1298</v>
      </c>
      <c r="G215" s="411">
        <f t="shared" si="26"/>
        <v>1456335</v>
      </c>
      <c r="H215" s="411">
        <f>'d3'!E229</f>
        <v>1456335</v>
      </c>
      <c r="I215" s="411">
        <f>'d3'!J229</f>
        <v>0</v>
      </c>
      <c r="J215" s="411">
        <f>'d3'!K229</f>
        <v>0</v>
      </c>
      <c r="K215" s="210"/>
      <c r="L215" s="210"/>
      <c r="M215" s="130"/>
    </row>
    <row r="216" spans="1:13" ht="138.75" hidden="1" thickTop="1" thickBot="1" x14ac:dyDescent="0.25">
      <c r="A216" s="119" t="s">
        <v>1131</v>
      </c>
      <c r="B216" s="119" t="s">
        <v>207</v>
      </c>
      <c r="C216" s="119" t="s">
        <v>208</v>
      </c>
      <c r="D216" s="119" t="s">
        <v>40</v>
      </c>
      <c r="E216" s="179" t="s">
        <v>825</v>
      </c>
      <c r="F216" s="678" t="s">
        <v>826</v>
      </c>
      <c r="G216" s="179">
        <f t="shared" si="26"/>
        <v>0</v>
      </c>
      <c r="H216" s="179">
        <f>'d3'!E230</f>
        <v>0</v>
      </c>
      <c r="I216" s="179">
        <f>'d3'!J230</f>
        <v>0</v>
      </c>
      <c r="J216" s="179">
        <f>'d3'!K230</f>
        <v>0</v>
      </c>
      <c r="K216" s="210"/>
      <c r="L216" s="210"/>
      <c r="M216" s="130"/>
    </row>
    <row r="217" spans="1:13" ht="138.75" hidden="1" thickTop="1" thickBot="1" x14ac:dyDescent="0.25">
      <c r="A217" s="119" t="s">
        <v>873</v>
      </c>
      <c r="B217" s="119" t="s">
        <v>192</v>
      </c>
      <c r="C217" s="119" t="s">
        <v>165</v>
      </c>
      <c r="D217" s="119" t="s">
        <v>33</v>
      </c>
      <c r="E217" s="179" t="s">
        <v>825</v>
      </c>
      <c r="F217" s="678" t="s">
        <v>826</v>
      </c>
      <c r="G217" s="179">
        <f t="shared" si="26"/>
        <v>0</v>
      </c>
      <c r="H217" s="179">
        <f>'d3'!E231</f>
        <v>0</v>
      </c>
      <c r="I217" s="179">
        <f>'d3'!J231</f>
        <v>0</v>
      </c>
      <c r="J217" s="179">
        <f>'d3'!K231</f>
        <v>0</v>
      </c>
      <c r="K217" s="210"/>
      <c r="L217" s="210"/>
      <c r="M217" s="130"/>
    </row>
    <row r="218" spans="1:13" ht="138.75" hidden="1" thickTop="1" thickBot="1" x14ac:dyDescent="0.25">
      <c r="A218" s="39" t="s">
        <v>561</v>
      </c>
      <c r="B218" s="39" t="s">
        <v>353</v>
      </c>
      <c r="C218" s="39" t="s">
        <v>42</v>
      </c>
      <c r="D218" s="39" t="s">
        <v>354</v>
      </c>
      <c r="E218" s="198" t="s">
        <v>820</v>
      </c>
      <c r="F218" s="678" t="s">
        <v>821</v>
      </c>
      <c r="G218" s="71">
        <f t="shared" si="26"/>
        <v>0</v>
      </c>
      <c r="H218" s="71">
        <f>'d3'!E234</f>
        <v>0</v>
      </c>
      <c r="I218" s="71">
        <f>'d3'!J234</f>
        <v>0</v>
      </c>
      <c r="J218" s="71">
        <f>'d3'!K234</f>
        <v>0</v>
      </c>
      <c r="K218" s="210"/>
      <c r="L218" s="210"/>
      <c r="M218" s="130"/>
    </row>
    <row r="219" spans="1:13" ht="170.45" customHeight="1" thickTop="1" thickBot="1" x14ac:dyDescent="0.25">
      <c r="A219" s="514" t="s">
        <v>22</v>
      </c>
      <c r="B219" s="514"/>
      <c r="C219" s="514"/>
      <c r="D219" s="515" t="s">
        <v>23</v>
      </c>
      <c r="E219" s="515"/>
      <c r="F219" s="515"/>
      <c r="G219" s="516">
        <f>G220</f>
        <v>172122140.68000001</v>
      </c>
      <c r="H219" s="516">
        <f t="shared" ref="H219:J219" si="27">H220</f>
        <v>168500895.68000001</v>
      </c>
      <c r="I219" s="516">
        <f t="shared" si="27"/>
        <v>3621245</v>
      </c>
      <c r="J219" s="516">
        <f t="shared" si="27"/>
        <v>0</v>
      </c>
      <c r="K219" s="537" t="b">
        <f>H219='d3'!E236+'d4'!F12</f>
        <v>1</v>
      </c>
      <c r="L219" s="538" t="b">
        <f>I219='d3'!J235+'d4'!G12</f>
        <v>1</v>
      </c>
      <c r="M219" s="538" t="b">
        <f>J219='d3'!K235+'d4'!H12</f>
        <v>1</v>
      </c>
    </row>
    <row r="220" spans="1:13" ht="170.45" customHeight="1" thickTop="1" thickBot="1" x14ac:dyDescent="0.25">
      <c r="A220" s="511" t="s">
        <v>21</v>
      </c>
      <c r="B220" s="511"/>
      <c r="C220" s="511"/>
      <c r="D220" s="512" t="s">
        <v>34</v>
      </c>
      <c r="E220" s="512"/>
      <c r="F220" s="512"/>
      <c r="G220" s="513">
        <f>SUM(G221:G242)</f>
        <v>172122140.68000001</v>
      </c>
      <c r="H220" s="513">
        <f>SUM(H221:H242)</f>
        <v>168500895.68000001</v>
      </c>
      <c r="I220" s="513">
        <f>SUM(I221:I242)</f>
        <v>3621245</v>
      </c>
      <c r="J220" s="513">
        <f>SUM(J221:J242)</f>
        <v>0</v>
      </c>
      <c r="K220" s="130"/>
      <c r="L220" s="130"/>
      <c r="M220" s="130"/>
    </row>
    <row r="221" spans="1:13" ht="184.5" hidden="1" thickTop="1" thickBot="1" x14ac:dyDescent="0.25">
      <c r="A221" s="119" t="s">
        <v>178</v>
      </c>
      <c r="B221" s="119" t="s">
        <v>179</v>
      </c>
      <c r="C221" s="119" t="s">
        <v>180</v>
      </c>
      <c r="D221" s="119" t="s">
        <v>611</v>
      </c>
      <c r="E221" s="195" t="s">
        <v>1050</v>
      </c>
      <c r="F221" s="678" t="s">
        <v>1051</v>
      </c>
      <c r="G221" s="179">
        <f t="shared" ref="G221:G223" si="28">H221+I221</f>
        <v>0</v>
      </c>
      <c r="H221" s="196">
        <f>'d3'!E239</f>
        <v>0</v>
      </c>
      <c r="I221" s="211">
        <f>'d3'!J239</f>
        <v>0</v>
      </c>
      <c r="J221" s="179">
        <f>'d3'!K239</f>
        <v>0</v>
      </c>
      <c r="K221" s="130"/>
      <c r="L221" s="130"/>
      <c r="M221" s="130"/>
    </row>
    <row r="222" spans="1:13" ht="184.5" thickTop="1" thickBot="1" x14ac:dyDescent="0.25">
      <c r="A222" s="94" t="s">
        <v>184</v>
      </c>
      <c r="B222" s="94" t="s">
        <v>185</v>
      </c>
      <c r="C222" s="94" t="s">
        <v>180</v>
      </c>
      <c r="D222" s="94" t="s">
        <v>1390</v>
      </c>
      <c r="E222" s="505" t="s">
        <v>1125</v>
      </c>
      <c r="F222" s="683" t="s">
        <v>1051</v>
      </c>
      <c r="G222" s="411">
        <f t="shared" si="28"/>
        <v>8403216</v>
      </c>
      <c r="H222" s="503">
        <f>'d3'!E241-H223</f>
        <v>7543216</v>
      </c>
      <c r="I222" s="500">
        <f>'d3'!J241-I223</f>
        <v>860000</v>
      </c>
      <c r="J222" s="411">
        <f>'d3'!K241-J223</f>
        <v>0</v>
      </c>
      <c r="K222" s="130"/>
      <c r="L222" s="130"/>
      <c r="M222" s="130"/>
    </row>
    <row r="223" spans="1:13" ht="184.5" hidden="1" thickTop="1" thickBot="1" x14ac:dyDescent="0.25">
      <c r="A223" s="119" t="s">
        <v>184</v>
      </c>
      <c r="B223" s="119" t="s">
        <v>185</v>
      </c>
      <c r="C223" s="119" t="s">
        <v>180</v>
      </c>
      <c r="D223" s="119" t="s">
        <v>10</v>
      </c>
      <c r="E223" s="195" t="s">
        <v>1198</v>
      </c>
      <c r="F223" s="681" t="s">
        <v>439</v>
      </c>
      <c r="G223" s="179">
        <f t="shared" si="28"/>
        <v>0</v>
      </c>
      <c r="H223" s="196"/>
      <c r="I223" s="211"/>
      <c r="J223" s="179"/>
      <c r="K223" s="130"/>
      <c r="L223" s="130"/>
      <c r="M223" s="130"/>
    </row>
    <row r="224" spans="1:13" ht="184.5" thickTop="1" thickBot="1" x14ac:dyDescent="0.25">
      <c r="A224" s="94" t="s">
        <v>342</v>
      </c>
      <c r="B224" s="94" t="s">
        <v>343</v>
      </c>
      <c r="C224" s="94" t="s">
        <v>180</v>
      </c>
      <c r="D224" s="94" t="s">
        <v>1391</v>
      </c>
      <c r="E224" s="505" t="s">
        <v>1125</v>
      </c>
      <c r="F224" s="683" t="s">
        <v>1051</v>
      </c>
      <c r="G224" s="411">
        <f t="shared" ref="G224:G229" si="29">H224+I224</f>
        <v>11160511</v>
      </c>
      <c r="H224" s="503">
        <f>'d3'!E242-H225</f>
        <v>11160511</v>
      </c>
      <c r="I224" s="500">
        <f>'d3'!J242-I225</f>
        <v>0</v>
      </c>
      <c r="J224" s="411">
        <f>'d3'!K242-J225</f>
        <v>0</v>
      </c>
      <c r="K224" s="130"/>
      <c r="L224" s="130"/>
      <c r="M224" s="130"/>
    </row>
    <row r="225" spans="1:13" ht="184.5" thickTop="1" thickBot="1" x14ac:dyDescent="0.25">
      <c r="A225" s="94" t="s">
        <v>342</v>
      </c>
      <c r="B225" s="94" t="s">
        <v>343</v>
      </c>
      <c r="C225" s="94" t="s">
        <v>180</v>
      </c>
      <c r="D225" s="94" t="s">
        <v>1391</v>
      </c>
      <c r="E225" s="505" t="s">
        <v>1324</v>
      </c>
      <c r="F225" s="683" t="s">
        <v>1325</v>
      </c>
      <c r="G225" s="411">
        <f>H225+I225</f>
        <v>349971</v>
      </c>
      <c r="H225" s="503">
        <f>37172.18+312798.82</f>
        <v>349971</v>
      </c>
      <c r="I225" s="411">
        <v>0</v>
      </c>
      <c r="J225" s="411">
        <v>0</v>
      </c>
      <c r="K225" s="130"/>
      <c r="L225" s="130"/>
      <c r="M225" s="130"/>
    </row>
    <row r="226" spans="1:13" ht="184.5" thickTop="1" thickBot="1" x14ac:dyDescent="0.25">
      <c r="A226" s="94" t="s">
        <v>43</v>
      </c>
      <c r="B226" s="94" t="s">
        <v>181</v>
      </c>
      <c r="C226" s="94" t="s">
        <v>190</v>
      </c>
      <c r="D226" s="94" t="s">
        <v>44</v>
      </c>
      <c r="E226" s="505" t="s">
        <v>1125</v>
      </c>
      <c r="F226" s="683" t="s">
        <v>1051</v>
      </c>
      <c r="G226" s="411">
        <f t="shared" si="29"/>
        <v>44327495</v>
      </c>
      <c r="H226" s="411">
        <f>'d3'!E245</f>
        <v>44327495</v>
      </c>
      <c r="I226" s="500">
        <f>'d3'!J245</f>
        <v>0</v>
      </c>
      <c r="J226" s="411">
        <f>'d3'!K245</f>
        <v>0</v>
      </c>
      <c r="K226" s="130"/>
      <c r="L226" s="130"/>
      <c r="M226" s="130"/>
    </row>
    <row r="227" spans="1:13" ht="184.5" thickTop="1" thickBot="1" x14ac:dyDescent="0.25">
      <c r="A227" s="94" t="s">
        <v>45</v>
      </c>
      <c r="B227" s="94" t="s">
        <v>182</v>
      </c>
      <c r="C227" s="94" t="s">
        <v>190</v>
      </c>
      <c r="D227" s="94" t="s">
        <v>4</v>
      </c>
      <c r="E227" s="505" t="s">
        <v>1125</v>
      </c>
      <c r="F227" s="683" t="s">
        <v>1051</v>
      </c>
      <c r="G227" s="411">
        <f t="shared" si="29"/>
        <v>5302794.62</v>
      </c>
      <c r="H227" s="411">
        <f>'d3'!E246</f>
        <v>5302794.62</v>
      </c>
      <c r="I227" s="500">
        <f>'d3'!J246</f>
        <v>0</v>
      </c>
      <c r="J227" s="411">
        <f>'d3'!K246</f>
        <v>0</v>
      </c>
      <c r="K227" s="130"/>
      <c r="L227" s="130"/>
      <c r="M227" s="130"/>
    </row>
    <row r="228" spans="1:13" ht="184.5" thickTop="1" thickBot="1" x14ac:dyDescent="0.25">
      <c r="A228" s="94" t="s">
        <v>46</v>
      </c>
      <c r="B228" s="94" t="s">
        <v>183</v>
      </c>
      <c r="C228" s="94" t="s">
        <v>190</v>
      </c>
      <c r="D228" s="94" t="s">
        <v>340</v>
      </c>
      <c r="E228" s="505" t="s">
        <v>1125</v>
      </c>
      <c r="F228" s="683" t="s">
        <v>1051</v>
      </c>
      <c r="G228" s="411">
        <f t="shared" si="29"/>
        <v>1000464</v>
      </c>
      <c r="H228" s="411">
        <f>'d3'!E248</f>
        <v>1000464</v>
      </c>
      <c r="I228" s="500">
        <f>'d3'!J248</f>
        <v>0</v>
      </c>
      <c r="J228" s="411">
        <f>'d3'!K248</f>
        <v>0</v>
      </c>
      <c r="K228" s="130"/>
      <c r="L228" s="130"/>
      <c r="M228" s="130"/>
    </row>
    <row r="229" spans="1:13" ht="184.5" thickTop="1" thickBot="1" x14ac:dyDescent="0.25">
      <c r="A229" s="94" t="s">
        <v>28</v>
      </c>
      <c r="B229" s="94" t="s">
        <v>187</v>
      </c>
      <c r="C229" s="94" t="s">
        <v>190</v>
      </c>
      <c r="D229" s="94" t="s">
        <v>1393</v>
      </c>
      <c r="E229" s="505" t="s">
        <v>1125</v>
      </c>
      <c r="F229" s="683" t="s">
        <v>1051</v>
      </c>
      <c r="G229" s="411">
        <f t="shared" si="29"/>
        <v>83108273</v>
      </c>
      <c r="H229" s="411">
        <f>'d3'!E250-H230</f>
        <v>81491076</v>
      </c>
      <c r="I229" s="500">
        <f>'d3'!J250-I230</f>
        <v>1617197</v>
      </c>
      <c r="J229" s="411">
        <f>'d3'!K250-J230</f>
        <v>0</v>
      </c>
      <c r="K229" s="130"/>
      <c r="L229" s="130"/>
      <c r="M229" s="130"/>
    </row>
    <row r="230" spans="1:13" ht="177.75" customHeight="1" thickTop="1" thickBot="1" x14ac:dyDescent="0.25">
      <c r="A230" s="94" t="s">
        <v>28</v>
      </c>
      <c r="B230" s="94" t="s">
        <v>187</v>
      </c>
      <c r="C230" s="94" t="s">
        <v>190</v>
      </c>
      <c r="D230" s="94" t="s">
        <v>1393</v>
      </c>
      <c r="E230" s="505" t="s">
        <v>1324</v>
      </c>
      <c r="F230" s="683" t="s">
        <v>1325</v>
      </c>
      <c r="G230" s="411">
        <f>H230+I230</f>
        <v>350000</v>
      </c>
      <c r="H230" s="503">
        <f>182000+49000+119000</f>
        <v>350000</v>
      </c>
      <c r="I230" s="411"/>
      <c r="J230" s="411"/>
      <c r="K230" s="130"/>
      <c r="L230" s="130"/>
      <c r="M230" s="130"/>
    </row>
    <row r="231" spans="1:13" ht="183.75" customHeight="1" thickTop="1" thickBot="1" x14ac:dyDescent="0.25">
      <c r="A231" s="94" t="s">
        <v>29</v>
      </c>
      <c r="B231" s="94" t="s">
        <v>188</v>
      </c>
      <c r="C231" s="94" t="s">
        <v>190</v>
      </c>
      <c r="D231" s="94" t="s">
        <v>47</v>
      </c>
      <c r="E231" s="505" t="s">
        <v>1125</v>
      </c>
      <c r="F231" s="683" t="s">
        <v>1051</v>
      </c>
      <c r="G231" s="411">
        <f t="shared" ref="G231:G242" si="30">H231+I231</f>
        <v>4733605</v>
      </c>
      <c r="H231" s="411">
        <f>'d3'!E251</f>
        <v>4733605</v>
      </c>
      <c r="I231" s="500">
        <f>'d3'!J251</f>
        <v>0</v>
      </c>
      <c r="J231" s="411">
        <f>'d3'!K251</f>
        <v>0</v>
      </c>
      <c r="K231" s="130"/>
      <c r="L231" s="130"/>
      <c r="M231" s="130"/>
    </row>
    <row r="232" spans="1:13" ht="184.5" hidden="1" thickTop="1" thickBot="1" x14ac:dyDescent="0.25">
      <c r="A232" s="119" t="s">
        <v>1193</v>
      </c>
      <c r="B232" s="119" t="s">
        <v>1194</v>
      </c>
      <c r="C232" s="119" t="s">
        <v>190</v>
      </c>
      <c r="D232" s="119" t="s">
        <v>1195</v>
      </c>
      <c r="E232" s="195" t="s">
        <v>1125</v>
      </c>
      <c r="F232" s="681" t="s">
        <v>1051</v>
      </c>
      <c r="G232" s="179">
        <f t="shared" si="30"/>
        <v>0</v>
      </c>
      <c r="H232" s="179">
        <f>'d3'!E253</f>
        <v>0</v>
      </c>
      <c r="I232" s="211">
        <f>'d3'!J253</f>
        <v>0</v>
      </c>
      <c r="J232" s="211">
        <f>'d3'!K253</f>
        <v>0</v>
      </c>
      <c r="K232" s="130"/>
      <c r="L232" s="130"/>
      <c r="M232" s="130"/>
    </row>
    <row r="233" spans="1:13" ht="184.5" thickTop="1" thickBot="1" x14ac:dyDescent="0.25">
      <c r="A233" s="610" t="s">
        <v>30</v>
      </c>
      <c r="B233" s="610" t="s">
        <v>189</v>
      </c>
      <c r="C233" s="610" t="s">
        <v>190</v>
      </c>
      <c r="D233" s="94" t="s">
        <v>1710</v>
      </c>
      <c r="E233" s="505" t="s">
        <v>1125</v>
      </c>
      <c r="F233" s="683" t="s">
        <v>1051</v>
      </c>
      <c r="G233" s="411">
        <f t="shared" si="30"/>
        <v>1348981.06</v>
      </c>
      <c r="H233" s="411">
        <f>'d3'!E255</f>
        <v>1348981.06</v>
      </c>
      <c r="I233" s="500">
        <f>'d3'!J255</f>
        <v>0</v>
      </c>
      <c r="J233" s="411">
        <f>'d3'!K255</f>
        <v>0</v>
      </c>
      <c r="K233" s="130"/>
      <c r="L233" s="130"/>
      <c r="M233" s="130"/>
    </row>
    <row r="234" spans="1:13" ht="184.5" thickTop="1" thickBot="1" x14ac:dyDescent="0.25">
      <c r="A234" s="610" t="s">
        <v>495</v>
      </c>
      <c r="B234" s="610" t="s">
        <v>493</v>
      </c>
      <c r="C234" s="610" t="s">
        <v>190</v>
      </c>
      <c r="D234" s="94" t="s">
        <v>494</v>
      </c>
      <c r="E234" s="505" t="s">
        <v>1125</v>
      </c>
      <c r="F234" s="683" t="s">
        <v>1051</v>
      </c>
      <c r="G234" s="411">
        <f t="shared" si="30"/>
        <v>7726000</v>
      </c>
      <c r="H234" s="411">
        <f>'d3'!E256</f>
        <v>7726000</v>
      </c>
      <c r="I234" s="500">
        <f>'d3'!J256</f>
        <v>0</v>
      </c>
      <c r="J234" s="500">
        <f>'d3'!K256</f>
        <v>0</v>
      </c>
      <c r="K234" s="130"/>
      <c r="L234" s="130"/>
      <c r="M234" s="130"/>
    </row>
    <row r="235" spans="1:13" ht="184.5" thickTop="1" thickBot="1" x14ac:dyDescent="0.25">
      <c r="A235" s="610" t="s">
        <v>31</v>
      </c>
      <c r="B235" s="610" t="s">
        <v>191</v>
      </c>
      <c r="C235" s="610" t="s">
        <v>190</v>
      </c>
      <c r="D235" s="94" t="s">
        <v>32</v>
      </c>
      <c r="E235" s="505" t="s">
        <v>1125</v>
      </c>
      <c r="F235" s="683" t="s">
        <v>1051</v>
      </c>
      <c r="G235" s="411">
        <f t="shared" si="30"/>
        <v>3035550</v>
      </c>
      <c r="H235" s="411">
        <f>'d3'!E257</f>
        <v>2891502</v>
      </c>
      <c r="I235" s="500">
        <f>'d3'!J257</f>
        <v>144048</v>
      </c>
      <c r="J235" s="411">
        <f>'d3'!K257</f>
        <v>0</v>
      </c>
      <c r="K235" s="130"/>
      <c r="L235" s="130"/>
      <c r="M235" s="130"/>
    </row>
    <row r="236" spans="1:13" ht="184.5" hidden="1" thickTop="1" thickBot="1" x14ac:dyDescent="0.25">
      <c r="A236" s="282" t="s">
        <v>1454</v>
      </c>
      <c r="B236" s="282" t="s">
        <v>1455</v>
      </c>
      <c r="C236" s="282" t="s">
        <v>190</v>
      </c>
      <c r="D236" s="119" t="s">
        <v>1115</v>
      </c>
      <c r="E236" s="195" t="s">
        <v>1125</v>
      </c>
      <c r="F236" s="681" t="s">
        <v>1051</v>
      </c>
      <c r="G236" s="179">
        <f t="shared" si="30"/>
        <v>0</v>
      </c>
      <c r="H236" s="179">
        <f>'d3'!E258</f>
        <v>0</v>
      </c>
      <c r="I236" s="211">
        <f>'d3'!J258</f>
        <v>0</v>
      </c>
      <c r="J236" s="211">
        <f>'d3'!K258</f>
        <v>0</v>
      </c>
      <c r="K236" s="130"/>
      <c r="L236" s="130"/>
      <c r="M236" s="130"/>
    </row>
    <row r="237" spans="1:13" ht="184.5" thickTop="1" thickBot="1" x14ac:dyDescent="0.25">
      <c r="A237" s="610" t="s">
        <v>333</v>
      </c>
      <c r="B237" s="610" t="s">
        <v>332</v>
      </c>
      <c r="C237" s="610" t="s">
        <v>331</v>
      </c>
      <c r="D237" s="94" t="s">
        <v>1586</v>
      </c>
      <c r="E237" s="505" t="s">
        <v>1125</v>
      </c>
      <c r="F237" s="683" t="s">
        <v>1051</v>
      </c>
      <c r="G237" s="411">
        <f t="shared" si="30"/>
        <v>60000</v>
      </c>
      <c r="H237" s="411">
        <f>'d3'!E261</f>
        <v>60000</v>
      </c>
      <c r="I237" s="500">
        <f>'d3'!J261</f>
        <v>0</v>
      </c>
      <c r="J237" s="500">
        <f>'d3'!K261</f>
        <v>0</v>
      </c>
      <c r="K237" s="130"/>
      <c r="L237" s="130"/>
      <c r="M237" s="130"/>
    </row>
    <row r="238" spans="1:13" ht="184.5" hidden="1" thickTop="1" thickBot="1" x14ac:dyDescent="0.25">
      <c r="A238" s="119" t="s">
        <v>1016</v>
      </c>
      <c r="B238" s="119" t="s">
        <v>306</v>
      </c>
      <c r="C238" s="119" t="s">
        <v>298</v>
      </c>
      <c r="D238" s="119" t="s">
        <v>1115</v>
      </c>
      <c r="E238" s="195" t="s">
        <v>1125</v>
      </c>
      <c r="F238" s="681" t="s">
        <v>1051</v>
      </c>
      <c r="G238" s="179">
        <f t="shared" si="30"/>
        <v>0</v>
      </c>
      <c r="H238" s="179">
        <f>'d3'!E265</f>
        <v>0</v>
      </c>
      <c r="I238" s="211">
        <f>'d3'!J265</f>
        <v>0</v>
      </c>
      <c r="J238" s="211">
        <f>'d3'!K265</f>
        <v>0</v>
      </c>
      <c r="K238" s="130"/>
      <c r="L238" s="130"/>
      <c r="M238" s="130"/>
    </row>
    <row r="239" spans="1:13" ht="184.5" hidden="1" thickTop="1" thickBot="1" x14ac:dyDescent="0.25">
      <c r="A239" s="119" t="s">
        <v>1164</v>
      </c>
      <c r="B239" s="119" t="s">
        <v>207</v>
      </c>
      <c r="C239" s="119" t="s">
        <v>208</v>
      </c>
      <c r="D239" s="119" t="s">
        <v>40</v>
      </c>
      <c r="E239" s="195" t="s">
        <v>1125</v>
      </c>
      <c r="F239" s="681" t="s">
        <v>1051</v>
      </c>
      <c r="G239" s="179">
        <f t="shared" si="30"/>
        <v>0</v>
      </c>
      <c r="H239" s="179">
        <f>'d3'!E267</f>
        <v>0</v>
      </c>
      <c r="I239" s="211">
        <f>'d3'!J267</f>
        <v>0</v>
      </c>
      <c r="J239" s="211">
        <f>'d3'!K267</f>
        <v>0</v>
      </c>
      <c r="K239" s="130"/>
      <c r="L239" s="130"/>
      <c r="M239" s="130"/>
    </row>
    <row r="240" spans="1:13" ht="184.5" hidden="1" thickTop="1" thickBot="1" x14ac:dyDescent="0.25">
      <c r="A240" s="119" t="s">
        <v>581</v>
      </c>
      <c r="B240" s="119" t="s">
        <v>192</v>
      </c>
      <c r="C240" s="119" t="s">
        <v>165</v>
      </c>
      <c r="D240" s="119" t="s">
        <v>33</v>
      </c>
      <c r="E240" s="195" t="s">
        <v>1125</v>
      </c>
      <c r="F240" s="681" t="s">
        <v>1051</v>
      </c>
      <c r="G240" s="179">
        <f t="shared" ref="G240" si="31">H240+I240</f>
        <v>0</v>
      </c>
      <c r="H240" s="179">
        <f>'d3'!E268</f>
        <v>0</v>
      </c>
      <c r="I240" s="211">
        <f>'d3'!J268</f>
        <v>0</v>
      </c>
      <c r="J240" s="211">
        <f>'d3'!K268</f>
        <v>0</v>
      </c>
      <c r="K240" s="130"/>
      <c r="L240" s="130"/>
      <c r="M240" s="130"/>
    </row>
    <row r="241" spans="1:13" ht="184.5" thickTop="1" thickBot="1" x14ac:dyDescent="0.25">
      <c r="A241" s="610" t="s">
        <v>444</v>
      </c>
      <c r="B241" s="610" t="s">
        <v>446</v>
      </c>
      <c r="C241" s="610" t="s">
        <v>48</v>
      </c>
      <c r="D241" s="94" t="s">
        <v>1585</v>
      </c>
      <c r="E241" s="505" t="s">
        <v>1125</v>
      </c>
      <c r="F241" s="683" t="s">
        <v>1051</v>
      </c>
      <c r="G241" s="411">
        <f t="shared" si="30"/>
        <v>1000000</v>
      </c>
      <c r="H241" s="411">
        <f>'d4'!F17</f>
        <v>0</v>
      </c>
      <c r="I241" s="500">
        <f>'d4'!G17</f>
        <v>1000000</v>
      </c>
      <c r="J241" s="500">
        <f>'d4'!H17</f>
        <v>0</v>
      </c>
      <c r="K241" s="130"/>
      <c r="L241" s="130"/>
      <c r="M241" s="130"/>
    </row>
    <row r="242" spans="1:13" ht="184.5" thickTop="1" thickBot="1" x14ac:dyDescent="0.25">
      <c r="A242" s="94" t="s">
        <v>1022</v>
      </c>
      <c r="B242" s="94" t="s">
        <v>353</v>
      </c>
      <c r="C242" s="94" t="s">
        <v>42</v>
      </c>
      <c r="D242" s="94" t="s">
        <v>354</v>
      </c>
      <c r="E242" s="505" t="s">
        <v>1125</v>
      </c>
      <c r="F242" s="683" t="s">
        <v>1051</v>
      </c>
      <c r="G242" s="411">
        <f t="shared" si="30"/>
        <v>215280</v>
      </c>
      <c r="H242" s="411">
        <f>'d3'!E271</f>
        <v>215280</v>
      </c>
      <c r="I242" s="500">
        <f>'d3'!J271</f>
        <v>0</v>
      </c>
      <c r="J242" s="500">
        <f>'d3'!K271</f>
        <v>0</v>
      </c>
      <c r="K242" s="130"/>
      <c r="L242" s="130"/>
      <c r="M242" s="130"/>
    </row>
    <row r="243" spans="1:13" ht="151.5" customHeight="1" thickTop="1" thickBot="1" x14ac:dyDescent="0.25">
      <c r="A243" s="514" t="s">
        <v>153</v>
      </c>
      <c r="B243" s="514"/>
      <c r="C243" s="514"/>
      <c r="D243" s="515" t="s">
        <v>537</v>
      </c>
      <c r="E243" s="515"/>
      <c r="F243" s="515"/>
      <c r="G243" s="516">
        <f>G244</f>
        <v>59261619.420000002</v>
      </c>
      <c r="H243" s="516">
        <f t="shared" ref="H243:J243" si="32">H244</f>
        <v>49013125.789999999</v>
      </c>
      <c r="I243" s="516">
        <f t="shared" si="32"/>
        <v>10248493.630000001</v>
      </c>
      <c r="J243" s="516">
        <f t="shared" si="32"/>
        <v>9664770</v>
      </c>
      <c r="K243" s="537" t="b">
        <f>H243='d3'!E272-'d3'!E275+'d7'!H245</f>
        <v>1</v>
      </c>
      <c r="L243" s="537" t="b">
        <f>I243='d3'!J272-'d3'!J275+I245</f>
        <v>1</v>
      </c>
      <c r="M243" s="537" t="b">
        <f>J243='d3'!K272-'d3'!K275+J245</f>
        <v>1</v>
      </c>
    </row>
    <row r="244" spans="1:13" ht="159" customHeight="1" thickTop="1" thickBot="1" x14ac:dyDescent="0.25">
      <c r="A244" s="511" t="s">
        <v>154</v>
      </c>
      <c r="B244" s="511"/>
      <c r="C244" s="511"/>
      <c r="D244" s="512" t="s">
        <v>538</v>
      </c>
      <c r="E244" s="512"/>
      <c r="F244" s="512"/>
      <c r="G244" s="513">
        <f>SUM(G245:G274)</f>
        <v>59261619.420000002</v>
      </c>
      <c r="H244" s="513">
        <f>SUM(H245:H274)</f>
        <v>49013125.789999999</v>
      </c>
      <c r="I244" s="513">
        <f>SUM(I245:I274)</f>
        <v>10248493.630000001</v>
      </c>
      <c r="J244" s="513">
        <f>SUM(J245:J274)</f>
        <v>9664770</v>
      </c>
      <c r="K244" s="130"/>
      <c r="L244" s="130"/>
      <c r="M244" s="130"/>
    </row>
    <row r="245" spans="1:13" ht="189.75" customHeight="1" thickTop="1" thickBot="1" x14ac:dyDescent="0.25">
      <c r="A245" s="94" t="s">
        <v>410</v>
      </c>
      <c r="B245" s="94" t="s">
        <v>231</v>
      </c>
      <c r="C245" s="94" t="s">
        <v>229</v>
      </c>
      <c r="D245" s="469" t="s">
        <v>1515</v>
      </c>
      <c r="E245" s="477" t="s">
        <v>1565</v>
      </c>
      <c r="F245" s="682" t="s">
        <v>817</v>
      </c>
      <c r="G245" s="411">
        <f t="shared" ref="G245:G321" si="33">H245+I245</f>
        <v>120000</v>
      </c>
      <c r="H245" s="503">
        <v>120000</v>
      </c>
      <c r="I245" s="500">
        <v>0</v>
      </c>
      <c r="J245" s="500">
        <v>0</v>
      </c>
      <c r="K245" s="130"/>
      <c r="L245" s="130"/>
      <c r="M245" s="130"/>
    </row>
    <row r="246" spans="1:13" ht="276" hidden="1" thickTop="1" thickBot="1" x14ac:dyDescent="0.25">
      <c r="A246" s="119" t="s">
        <v>600</v>
      </c>
      <c r="B246" s="119" t="s">
        <v>352</v>
      </c>
      <c r="C246" s="119" t="s">
        <v>598</v>
      </c>
      <c r="D246" s="119" t="s">
        <v>599</v>
      </c>
      <c r="E246" s="195" t="s">
        <v>1151</v>
      </c>
      <c r="F246" s="678" t="s">
        <v>1152</v>
      </c>
      <c r="G246" s="179">
        <f t="shared" si="33"/>
        <v>0</v>
      </c>
      <c r="H246" s="196">
        <f>'d3'!E276</f>
        <v>0</v>
      </c>
      <c r="I246" s="211">
        <v>0</v>
      </c>
      <c r="J246" s="211">
        <v>0</v>
      </c>
      <c r="K246" s="130"/>
      <c r="L246" s="130"/>
      <c r="M246" s="130"/>
    </row>
    <row r="247" spans="1:13" ht="138.75" hidden="1" thickTop="1" thickBot="1" x14ac:dyDescent="0.25">
      <c r="A247" s="119" t="s">
        <v>1453</v>
      </c>
      <c r="B247" s="119" t="s">
        <v>1080</v>
      </c>
      <c r="C247" s="119" t="s">
        <v>201</v>
      </c>
      <c r="D247" s="277" t="s">
        <v>1081</v>
      </c>
      <c r="E247" s="195" t="s">
        <v>1356</v>
      </c>
      <c r="F247" s="678" t="s">
        <v>1379</v>
      </c>
      <c r="G247" s="179">
        <f t="shared" si="33"/>
        <v>0</v>
      </c>
      <c r="H247" s="213">
        <f>'d3'!E279</f>
        <v>0</v>
      </c>
      <c r="I247" s="214">
        <f>'d3'!J279</f>
        <v>0</v>
      </c>
      <c r="J247" s="214">
        <f>'d3'!K279</f>
        <v>0</v>
      </c>
      <c r="K247" s="130"/>
      <c r="L247" s="130"/>
      <c r="M247" s="130"/>
    </row>
    <row r="248" spans="1:13" ht="214.5" customHeight="1" thickTop="1" thickBot="1" x14ac:dyDescent="0.25">
      <c r="A248" s="469" t="s">
        <v>1506</v>
      </c>
      <c r="B248" s="469" t="s">
        <v>1377</v>
      </c>
      <c r="C248" s="469" t="s">
        <v>186</v>
      </c>
      <c r="D248" s="486" t="s">
        <v>1505</v>
      </c>
      <c r="E248" s="477" t="s">
        <v>1507</v>
      </c>
      <c r="F248" s="682" t="s">
        <v>1687</v>
      </c>
      <c r="G248" s="478">
        <f t="shared" si="33"/>
        <v>9664770</v>
      </c>
      <c r="H248" s="480">
        <v>0</v>
      </c>
      <c r="I248" s="489">
        <v>9664770</v>
      </c>
      <c r="J248" s="489">
        <v>9664770</v>
      </c>
      <c r="K248" s="130"/>
      <c r="L248" s="130"/>
      <c r="M248" s="130"/>
    </row>
    <row r="249" spans="1:13" ht="186.75" customHeight="1" thickTop="1" thickBot="1" x14ac:dyDescent="0.25">
      <c r="A249" s="476" t="s">
        <v>274</v>
      </c>
      <c r="B249" s="476" t="s">
        <v>275</v>
      </c>
      <c r="C249" s="476" t="s">
        <v>331</v>
      </c>
      <c r="D249" s="469" t="s">
        <v>276</v>
      </c>
      <c r="E249" s="477" t="s">
        <v>1112</v>
      </c>
      <c r="F249" s="682" t="s">
        <v>1056</v>
      </c>
      <c r="G249" s="474">
        <f t="shared" si="33"/>
        <v>1045533</v>
      </c>
      <c r="H249" s="474">
        <f>((500000+207403+200000)+638130)-500000</f>
        <v>1045533</v>
      </c>
      <c r="I249" s="525">
        <v>0</v>
      </c>
      <c r="J249" s="525">
        <v>0</v>
      </c>
    </row>
    <row r="250" spans="1:13" ht="186.75" customHeight="1" thickTop="1" thickBot="1" x14ac:dyDescent="0.25">
      <c r="A250" s="476" t="s">
        <v>274</v>
      </c>
      <c r="B250" s="476" t="s">
        <v>275</v>
      </c>
      <c r="C250" s="476" t="s">
        <v>331</v>
      </c>
      <c r="D250" s="469" t="s">
        <v>276</v>
      </c>
      <c r="E250" s="475" t="s">
        <v>1380</v>
      </c>
      <c r="F250" s="684" t="s">
        <v>1381</v>
      </c>
      <c r="G250" s="474">
        <f t="shared" si="33"/>
        <v>6301391.2000000002</v>
      </c>
      <c r="H250" s="473">
        <f>(((2035000+1300000-200000)+1500000)+1851300)-184908.8</f>
        <v>6301391.2000000002</v>
      </c>
      <c r="I250" s="500">
        <v>0</v>
      </c>
      <c r="J250" s="500">
        <v>0</v>
      </c>
      <c r="K250" s="472" t="b">
        <f>H249+H250+H252+H251='d3'!E283</f>
        <v>1</v>
      </c>
      <c r="L250" s="498" t="b">
        <f>I249+I250+I252+I251='d3'!J283</f>
        <v>1</v>
      </c>
      <c r="M250" s="498" t="b">
        <f>J249+J250+J252+J251='d3'!K283</f>
        <v>1</v>
      </c>
    </row>
    <row r="251" spans="1:13" ht="138.75" thickTop="1" thickBot="1" x14ac:dyDescent="0.25">
      <c r="A251" s="476" t="s">
        <v>274</v>
      </c>
      <c r="B251" s="476" t="s">
        <v>275</v>
      </c>
      <c r="C251" s="476" t="s">
        <v>331</v>
      </c>
      <c r="D251" s="469" t="s">
        <v>276</v>
      </c>
      <c r="E251" s="477" t="s">
        <v>1503</v>
      </c>
      <c r="F251" s="682" t="s">
        <v>1322</v>
      </c>
      <c r="G251" s="525">
        <f t="shared" si="33"/>
        <v>360000</v>
      </c>
      <c r="H251" s="503">
        <v>360000</v>
      </c>
      <c r="I251" s="500">
        <v>0</v>
      </c>
      <c r="J251" s="500">
        <v>0</v>
      </c>
      <c r="K251" s="130"/>
      <c r="L251" s="130"/>
      <c r="M251" s="130"/>
    </row>
    <row r="252" spans="1:13" ht="321.75" hidden="1" thickTop="1" thickBot="1" x14ac:dyDescent="0.25">
      <c r="A252" s="254" t="s">
        <v>274</v>
      </c>
      <c r="B252" s="254" t="s">
        <v>275</v>
      </c>
      <c r="C252" s="254" t="s">
        <v>331</v>
      </c>
      <c r="D252" s="254" t="s">
        <v>276</v>
      </c>
      <c r="E252" s="179" t="s">
        <v>1202</v>
      </c>
      <c r="F252" s="678" t="s">
        <v>819</v>
      </c>
      <c r="G252" s="179">
        <f t="shared" si="33"/>
        <v>0</v>
      </c>
      <c r="H252" s="196">
        <v>0</v>
      </c>
      <c r="I252" s="211">
        <v>0</v>
      </c>
      <c r="J252" s="211">
        <v>0</v>
      </c>
      <c r="K252" s="130"/>
      <c r="L252" s="130"/>
      <c r="M252" s="130"/>
    </row>
    <row r="253" spans="1:13" ht="184.5" hidden="1" thickTop="1" thickBot="1" x14ac:dyDescent="0.25">
      <c r="A253" s="119" t="s">
        <v>1340</v>
      </c>
      <c r="B253" s="119" t="s">
        <v>280</v>
      </c>
      <c r="C253" s="119" t="s">
        <v>277</v>
      </c>
      <c r="D253" s="119" t="s">
        <v>281</v>
      </c>
      <c r="E253" s="195" t="s">
        <v>1112</v>
      </c>
      <c r="F253" s="678" t="s">
        <v>1056</v>
      </c>
      <c r="G253" s="179">
        <f t="shared" si="33"/>
        <v>0</v>
      </c>
      <c r="H253" s="196">
        <f>'d3'!E284</f>
        <v>0</v>
      </c>
      <c r="I253" s="211">
        <f>'d3'!J284</f>
        <v>0</v>
      </c>
      <c r="J253" s="211">
        <f>'d3'!K284</f>
        <v>0</v>
      </c>
      <c r="K253" s="130"/>
      <c r="L253" s="130"/>
      <c r="M253" s="130"/>
    </row>
    <row r="254" spans="1:13" ht="186.75" customHeight="1" thickTop="1" thickBot="1" x14ac:dyDescent="0.25">
      <c r="A254" s="469" t="s">
        <v>295</v>
      </c>
      <c r="B254" s="469" t="s">
        <v>296</v>
      </c>
      <c r="C254" s="469" t="s">
        <v>277</v>
      </c>
      <c r="D254" s="469" t="s">
        <v>297</v>
      </c>
      <c r="E254" s="477" t="s">
        <v>1112</v>
      </c>
      <c r="F254" s="682" t="s">
        <v>1056</v>
      </c>
      <c r="G254" s="478">
        <f t="shared" si="33"/>
        <v>7000000</v>
      </c>
      <c r="H254" s="473">
        <f>(7000000)</f>
        <v>7000000</v>
      </c>
      <c r="I254" s="500">
        <f>'d3'!J285</f>
        <v>0</v>
      </c>
      <c r="J254" s="500">
        <f>'d3'!K285</f>
        <v>0</v>
      </c>
      <c r="K254" s="130"/>
      <c r="L254" s="130"/>
      <c r="M254" s="130"/>
    </row>
    <row r="255" spans="1:13" ht="186.75" customHeight="1" thickTop="1" thickBot="1" x14ac:dyDescent="0.25">
      <c r="A255" s="476" t="s">
        <v>278</v>
      </c>
      <c r="B255" s="476" t="s">
        <v>279</v>
      </c>
      <c r="C255" s="476" t="s">
        <v>277</v>
      </c>
      <c r="D255" s="469" t="s">
        <v>1502</v>
      </c>
      <c r="E255" s="477" t="s">
        <v>1112</v>
      </c>
      <c r="F255" s="682" t="s">
        <v>1056</v>
      </c>
      <c r="G255" s="478">
        <f t="shared" si="33"/>
        <v>1000000</v>
      </c>
      <c r="H255" s="479">
        <v>1000000</v>
      </c>
      <c r="I255" s="531">
        <f>2800000-2800000</f>
        <v>0</v>
      </c>
      <c r="J255" s="531">
        <f>2800000-2800000</f>
        <v>0</v>
      </c>
      <c r="K255" s="130"/>
      <c r="L255" s="130"/>
      <c r="M255" s="130"/>
    </row>
    <row r="256" spans="1:13" ht="138.75" thickTop="1" thickBot="1" x14ac:dyDescent="0.25">
      <c r="A256" s="476" t="s">
        <v>278</v>
      </c>
      <c r="B256" s="476" t="s">
        <v>279</v>
      </c>
      <c r="C256" s="476" t="s">
        <v>277</v>
      </c>
      <c r="D256" s="469" t="s">
        <v>1502</v>
      </c>
      <c r="E256" s="477" t="s">
        <v>1503</v>
      </c>
      <c r="F256" s="682" t="s">
        <v>1322</v>
      </c>
      <c r="G256" s="478">
        <f t="shared" si="33"/>
        <v>178500</v>
      </c>
      <c r="H256" s="479">
        <v>178500</v>
      </c>
      <c r="I256" s="500">
        <v>0</v>
      </c>
      <c r="J256" s="500">
        <v>0</v>
      </c>
      <c r="K256" s="130"/>
      <c r="L256" s="130"/>
      <c r="M256" s="130"/>
    </row>
    <row r="257" spans="1:13" ht="184.5" hidden="1" thickTop="1" thickBot="1" x14ac:dyDescent="0.25">
      <c r="A257" s="119" t="s">
        <v>880</v>
      </c>
      <c r="B257" s="119" t="s">
        <v>291</v>
      </c>
      <c r="C257" s="119" t="s">
        <v>277</v>
      </c>
      <c r="D257" s="119" t="s">
        <v>292</v>
      </c>
      <c r="E257" s="195" t="s">
        <v>1218</v>
      </c>
      <c r="F257" s="681" t="s">
        <v>1171</v>
      </c>
      <c r="G257" s="179">
        <f t="shared" ref="G257:G264" si="34">H257+I257</f>
        <v>0</v>
      </c>
      <c r="H257" s="196"/>
      <c r="I257" s="211"/>
      <c r="J257" s="211"/>
      <c r="K257" s="130"/>
      <c r="L257" s="130"/>
      <c r="M257" s="130"/>
    </row>
    <row r="258" spans="1:13" ht="184.5" thickTop="1" thickBot="1" x14ac:dyDescent="0.25">
      <c r="A258" s="469" t="s">
        <v>880</v>
      </c>
      <c r="B258" s="469" t="s">
        <v>291</v>
      </c>
      <c r="C258" s="469" t="s">
        <v>277</v>
      </c>
      <c r="D258" s="469" t="s">
        <v>292</v>
      </c>
      <c r="E258" s="477" t="s">
        <v>1503</v>
      </c>
      <c r="F258" s="682" t="s">
        <v>1322</v>
      </c>
      <c r="G258" s="478">
        <f t="shared" si="34"/>
        <v>1159200</v>
      </c>
      <c r="H258" s="473">
        <v>1159200</v>
      </c>
      <c r="I258" s="500">
        <v>0</v>
      </c>
      <c r="J258" s="500">
        <v>0</v>
      </c>
      <c r="K258" s="130"/>
      <c r="L258" s="130"/>
      <c r="M258" s="130"/>
    </row>
    <row r="259" spans="1:13" ht="321.75" hidden="1" thickTop="1" thickBot="1" x14ac:dyDescent="0.25">
      <c r="A259" s="119" t="s">
        <v>880</v>
      </c>
      <c r="B259" s="119" t="s">
        <v>291</v>
      </c>
      <c r="C259" s="119" t="s">
        <v>277</v>
      </c>
      <c r="D259" s="119" t="s">
        <v>292</v>
      </c>
      <c r="E259" s="179" t="s">
        <v>1202</v>
      </c>
      <c r="F259" s="681" t="s">
        <v>819</v>
      </c>
      <c r="G259" s="179">
        <f t="shared" si="34"/>
        <v>0</v>
      </c>
      <c r="H259" s="196"/>
      <c r="I259" s="211"/>
      <c r="J259" s="211"/>
      <c r="K259" s="130"/>
      <c r="L259" s="130"/>
      <c r="M259" s="130"/>
    </row>
    <row r="260" spans="1:13" ht="201.75" customHeight="1" thickTop="1" thickBot="1" x14ac:dyDescent="0.25">
      <c r="A260" s="469" t="s">
        <v>282</v>
      </c>
      <c r="B260" s="469" t="s">
        <v>283</v>
      </c>
      <c r="C260" s="469" t="s">
        <v>277</v>
      </c>
      <c r="D260" s="469" t="s">
        <v>284</v>
      </c>
      <c r="E260" s="477" t="s">
        <v>1112</v>
      </c>
      <c r="F260" s="682" t="s">
        <v>1056</v>
      </c>
      <c r="G260" s="478">
        <f t="shared" si="33"/>
        <v>14000000</v>
      </c>
      <c r="H260" s="473">
        <f>'d3'!E288</f>
        <v>14000000</v>
      </c>
      <c r="I260" s="500">
        <f>'d3'!J288</f>
        <v>0</v>
      </c>
      <c r="J260" s="500">
        <f>'d3'!K288</f>
        <v>0</v>
      </c>
      <c r="K260" s="130"/>
      <c r="L260" s="130"/>
      <c r="M260" s="130"/>
    </row>
    <row r="261" spans="1:13" ht="198.75" customHeight="1" thickTop="1" thickBot="1" x14ac:dyDescent="0.25">
      <c r="A261" s="469" t="s">
        <v>1130</v>
      </c>
      <c r="B261" s="469" t="s">
        <v>1038</v>
      </c>
      <c r="C261" s="469" t="s">
        <v>1039</v>
      </c>
      <c r="D261" s="469" t="s">
        <v>1036</v>
      </c>
      <c r="E261" s="477" t="s">
        <v>1112</v>
      </c>
      <c r="F261" s="682" t="s">
        <v>1056</v>
      </c>
      <c r="G261" s="478">
        <f t="shared" si="34"/>
        <v>1636011.37</v>
      </c>
      <c r="H261" s="480">
        <f>(1542648)+25000+68363.37</f>
        <v>1636011.37</v>
      </c>
      <c r="I261" s="499">
        <v>0</v>
      </c>
      <c r="J261" s="499">
        <v>0</v>
      </c>
      <c r="K261" s="130"/>
      <c r="L261" s="130"/>
      <c r="M261" s="130"/>
    </row>
    <row r="262" spans="1:13" ht="93" hidden="1" thickTop="1" thickBot="1" x14ac:dyDescent="0.25">
      <c r="A262" s="119" t="s">
        <v>1130</v>
      </c>
      <c r="B262" s="119" t="s">
        <v>1038</v>
      </c>
      <c r="C262" s="119" t="s">
        <v>1039</v>
      </c>
      <c r="D262" s="119" t="s">
        <v>1036</v>
      </c>
      <c r="E262" s="195"/>
      <c r="F262" s="678"/>
      <c r="G262" s="179">
        <f t="shared" si="34"/>
        <v>0</v>
      </c>
      <c r="H262" s="213"/>
      <c r="I262" s="214"/>
      <c r="J262" s="214"/>
      <c r="K262" s="130"/>
      <c r="L262" s="130"/>
      <c r="M262" s="130"/>
    </row>
    <row r="263" spans="1:13" ht="230.25" hidden="1" thickTop="1" thickBot="1" x14ac:dyDescent="0.25">
      <c r="A263" s="119" t="s">
        <v>1130</v>
      </c>
      <c r="B263" s="119" t="s">
        <v>1038</v>
      </c>
      <c r="C263" s="119" t="s">
        <v>1039</v>
      </c>
      <c r="D263" s="119" t="s">
        <v>1036</v>
      </c>
      <c r="E263" s="195" t="s">
        <v>1341</v>
      </c>
      <c r="F263" s="678" t="s">
        <v>1144</v>
      </c>
      <c r="G263" s="179">
        <f t="shared" si="34"/>
        <v>0</v>
      </c>
      <c r="H263" s="213"/>
      <c r="I263" s="214">
        <v>0</v>
      </c>
      <c r="J263" s="214">
        <v>0</v>
      </c>
      <c r="K263" s="130"/>
      <c r="L263" s="130"/>
      <c r="M263" s="130"/>
    </row>
    <row r="264" spans="1:13" ht="230.25" hidden="1" thickTop="1" thickBot="1" x14ac:dyDescent="0.25">
      <c r="A264" s="119" t="s">
        <v>1130</v>
      </c>
      <c r="B264" s="119" t="s">
        <v>1038</v>
      </c>
      <c r="C264" s="119" t="s">
        <v>1039</v>
      </c>
      <c r="D264" s="469" t="s">
        <v>1036</v>
      </c>
      <c r="E264" s="195" t="s">
        <v>1253</v>
      </c>
      <c r="F264" s="678" t="s">
        <v>1254</v>
      </c>
      <c r="G264" s="179">
        <f t="shared" si="34"/>
        <v>0</v>
      </c>
      <c r="H264" s="213">
        <v>0</v>
      </c>
      <c r="I264" s="214"/>
      <c r="J264" s="214"/>
      <c r="K264" s="130"/>
      <c r="L264" s="130"/>
      <c r="M264" s="130"/>
    </row>
    <row r="265" spans="1:13" ht="321.75" hidden="1" thickTop="1" thickBot="1" x14ac:dyDescent="0.25">
      <c r="A265" s="119" t="s">
        <v>1353</v>
      </c>
      <c r="B265" s="119" t="s">
        <v>1354</v>
      </c>
      <c r="C265" s="119" t="s">
        <v>1039</v>
      </c>
      <c r="D265" s="119" t="s">
        <v>1278</v>
      </c>
      <c r="E265" s="179" t="s">
        <v>1202</v>
      </c>
      <c r="F265" s="678" t="s">
        <v>819</v>
      </c>
      <c r="G265" s="179">
        <f t="shared" ref="G265:G267" si="35">H265+I265</f>
        <v>0</v>
      </c>
      <c r="H265" s="213">
        <v>0</v>
      </c>
      <c r="I265" s="214"/>
      <c r="J265" s="214"/>
      <c r="K265" s="194" t="b">
        <f>H265+H266='d3'!E290</f>
        <v>1</v>
      </c>
      <c r="L265" s="201" t="b">
        <f>I265+I266='d3'!J290</f>
        <v>1</v>
      </c>
      <c r="M265" s="201" t="b">
        <f>J265+J266='d3'!K290</f>
        <v>1</v>
      </c>
    </row>
    <row r="266" spans="1:13" ht="184.5" hidden="1" thickTop="1" thickBot="1" x14ac:dyDescent="0.25">
      <c r="A266" s="119" t="s">
        <v>1353</v>
      </c>
      <c r="B266" s="119" t="s">
        <v>1354</v>
      </c>
      <c r="C266" s="119" t="s">
        <v>1039</v>
      </c>
      <c r="D266" s="119" t="s">
        <v>1278</v>
      </c>
      <c r="E266" s="195" t="s">
        <v>1172</v>
      </c>
      <c r="F266" s="678" t="s">
        <v>1173</v>
      </c>
      <c r="G266" s="179">
        <f t="shared" si="35"/>
        <v>0</v>
      </c>
      <c r="H266" s="213">
        <v>0</v>
      </c>
      <c r="I266" s="214"/>
      <c r="J266" s="214"/>
      <c r="K266" s="130"/>
      <c r="L266" s="130"/>
      <c r="M266" s="130"/>
    </row>
    <row r="267" spans="1:13" ht="184.5" hidden="1" thickTop="1" thickBot="1" x14ac:dyDescent="0.25">
      <c r="A267" s="119" t="s">
        <v>1433</v>
      </c>
      <c r="B267" s="119" t="s">
        <v>301</v>
      </c>
      <c r="C267" s="119" t="s">
        <v>302</v>
      </c>
      <c r="D267" s="119" t="s">
        <v>448</v>
      </c>
      <c r="E267" s="195" t="s">
        <v>1112</v>
      </c>
      <c r="F267" s="678" t="s">
        <v>1056</v>
      </c>
      <c r="G267" s="179">
        <f t="shared" si="35"/>
        <v>0</v>
      </c>
      <c r="H267" s="213">
        <f>'d3'!E293</f>
        <v>0</v>
      </c>
      <c r="I267" s="214">
        <f>'d3'!J293</f>
        <v>0</v>
      </c>
      <c r="J267" s="214">
        <f>'d3'!K293</f>
        <v>0</v>
      </c>
      <c r="K267" s="130"/>
      <c r="L267" s="130"/>
      <c r="M267" s="130"/>
    </row>
    <row r="268" spans="1:13" ht="184.5" hidden="1" thickTop="1" thickBot="1" x14ac:dyDescent="0.25">
      <c r="A268" s="119" t="s">
        <v>1035</v>
      </c>
      <c r="B268" s="119" t="s">
        <v>299</v>
      </c>
      <c r="C268" s="119" t="s">
        <v>298</v>
      </c>
      <c r="D268" s="119" t="s">
        <v>1278</v>
      </c>
      <c r="E268" s="195" t="s">
        <v>1112</v>
      </c>
      <c r="F268" s="678" t="s">
        <v>1056</v>
      </c>
      <c r="G268" s="179">
        <f t="shared" si="33"/>
        <v>0</v>
      </c>
      <c r="H268" s="213">
        <v>0</v>
      </c>
      <c r="I268" s="214">
        <v>0</v>
      </c>
      <c r="J268" s="214">
        <v>0</v>
      </c>
      <c r="K268" s="130"/>
      <c r="L268" s="130"/>
      <c r="M268" s="130"/>
    </row>
    <row r="269" spans="1:13" ht="183.75" customHeight="1" thickTop="1" thickBot="1" x14ac:dyDescent="0.25">
      <c r="A269" s="469" t="s">
        <v>290</v>
      </c>
      <c r="B269" s="469" t="s">
        <v>207</v>
      </c>
      <c r="C269" s="469" t="s">
        <v>208</v>
      </c>
      <c r="D269" s="469" t="s">
        <v>40</v>
      </c>
      <c r="E269" s="477" t="s">
        <v>1334</v>
      </c>
      <c r="F269" s="478" t="s">
        <v>1275</v>
      </c>
      <c r="G269" s="474">
        <f>H269+I269</f>
        <v>4212490.22</v>
      </c>
      <c r="H269" s="474">
        <f>(3717242.3)+495247.92</f>
        <v>4212490.22</v>
      </c>
      <c r="I269" s="474">
        <v>0</v>
      </c>
      <c r="J269" s="474">
        <v>0</v>
      </c>
      <c r="K269" s="537" t="b">
        <f>H269='d3'!E295</f>
        <v>1</v>
      </c>
      <c r="L269" s="538" t="b">
        <f>I269='d3'!J295</f>
        <v>1</v>
      </c>
      <c r="M269" s="538" t="b">
        <f>J269='d3'!K295</f>
        <v>1</v>
      </c>
    </row>
    <row r="270" spans="1:13" ht="184.5" hidden="1" thickTop="1" thickBot="1" x14ac:dyDescent="0.25">
      <c r="A270" s="119" t="s">
        <v>874</v>
      </c>
      <c r="B270" s="119" t="s">
        <v>192</v>
      </c>
      <c r="C270" s="119" t="s">
        <v>165</v>
      </c>
      <c r="D270" s="119" t="s">
        <v>33</v>
      </c>
      <c r="E270" s="195" t="s">
        <v>1112</v>
      </c>
      <c r="F270" s="678" t="s">
        <v>1056</v>
      </c>
      <c r="G270" s="179">
        <f t="shared" si="33"/>
        <v>0</v>
      </c>
      <c r="H270" s="196">
        <f>'d3'!E296-H271</f>
        <v>0</v>
      </c>
      <c r="I270" s="211">
        <f>'d3'!J296-I271</f>
        <v>0</v>
      </c>
      <c r="J270" s="211">
        <f>'d3'!K296-J271</f>
        <v>0</v>
      </c>
      <c r="K270" s="130"/>
      <c r="L270" s="130"/>
      <c r="M270" s="130"/>
    </row>
    <row r="271" spans="1:13" ht="138.75" hidden="1" thickTop="1" thickBot="1" x14ac:dyDescent="0.25">
      <c r="A271" s="119" t="s">
        <v>874</v>
      </c>
      <c r="B271" s="119" t="s">
        <v>192</v>
      </c>
      <c r="C271" s="119" t="s">
        <v>165</v>
      </c>
      <c r="D271" s="119" t="s">
        <v>33</v>
      </c>
      <c r="E271" s="299" t="s">
        <v>1218</v>
      </c>
      <c r="F271" s="678" t="s">
        <v>1171</v>
      </c>
      <c r="G271" s="179">
        <f t="shared" si="33"/>
        <v>0</v>
      </c>
      <c r="H271" s="213">
        <v>0</v>
      </c>
      <c r="I271" s="214">
        <v>0</v>
      </c>
      <c r="J271" s="214">
        <v>0</v>
      </c>
      <c r="K271" s="130"/>
      <c r="L271" s="130"/>
      <c r="M271" s="130"/>
    </row>
    <row r="272" spans="1:13" ht="367.5" thickTop="1" thickBot="1" x14ac:dyDescent="0.25">
      <c r="A272" s="469" t="s">
        <v>413</v>
      </c>
      <c r="B272" s="469" t="s">
        <v>329</v>
      </c>
      <c r="C272" s="469" t="s">
        <v>165</v>
      </c>
      <c r="D272" s="698" t="s">
        <v>1456</v>
      </c>
      <c r="E272" s="477" t="s">
        <v>1507</v>
      </c>
      <c r="F272" s="682" t="s">
        <v>1687</v>
      </c>
      <c r="G272" s="474">
        <f t="shared" si="33"/>
        <v>583723.63</v>
      </c>
      <c r="H272" s="474">
        <f>'d3'!E298</f>
        <v>0</v>
      </c>
      <c r="I272" s="474">
        <f>'d3'!J298</f>
        <v>583723.63</v>
      </c>
      <c r="J272" s="474">
        <f>'d3'!K298</f>
        <v>0</v>
      </c>
      <c r="K272" s="130"/>
      <c r="L272" s="130"/>
      <c r="M272" s="130"/>
    </row>
    <row r="273" spans="1:13" ht="321.75" thickTop="1" thickBot="1" x14ac:dyDescent="0.25">
      <c r="A273" s="469" t="s">
        <v>1281</v>
      </c>
      <c r="B273" s="469" t="s">
        <v>499</v>
      </c>
      <c r="C273" s="469" t="s">
        <v>245</v>
      </c>
      <c r="D273" s="469" t="s">
        <v>500</v>
      </c>
      <c r="E273" s="478" t="s">
        <v>1798</v>
      </c>
      <c r="F273" s="682" t="s">
        <v>1683</v>
      </c>
      <c r="G273" s="478">
        <f t="shared" si="33"/>
        <v>12000000</v>
      </c>
      <c r="H273" s="480">
        <f>'d3'!E301</f>
        <v>12000000</v>
      </c>
      <c r="I273" s="489">
        <f>'d3'!J301</f>
        <v>0</v>
      </c>
      <c r="J273" s="489">
        <f>'d3'!K301</f>
        <v>0</v>
      </c>
      <c r="K273" s="130"/>
      <c r="L273" s="130"/>
      <c r="M273" s="130"/>
    </row>
    <row r="274" spans="1:13" ht="321.75" hidden="1" thickTop="1" thickBot="1" x14ac:dyDescent="0.25">
      <c r="A274" s="119" t="s">
        <v>1110</v>
      </c>
      <c r="B274" s="119" t="s">
        <v>1093</v>
      </c>
      <c r="C274" s="119" t="s">
        <v>1068</v>
      </c>
      <c r="D274" s="119" t="s">
        <v>1094</v>
      </c>
      <c r="E274" s="179" t="s">
        <v>1091</v>
      </c>
      <c r="F274" s="678" t="s">
        <v>819</v>
      </c>
      <c r="G274" s="207">
        <f>H274+I274</f>
        <v>0</v>
      </c>
      <c r="H274" s="213">
        <f>'d3'!E303</f>
        <v>0</v>
      </c>
      <c r="I274" s="214">
        <f>'d3'!J303</f>
        <v>0</v>
      </c>
      <c r="J274" s="214">
        <f>'d3'!K303</f>
        <v>0</v>
      </c>
      <c r="K274" s="130"/>
      <c r="L274" s="130"/>
      <c r="M274" s="130"/>
    </row>
    <row r="275" spans="1:13" ht="170.45" customHeight="1" thickTop="1" thickBot="1" x14ac:dyDescent="0.25">
      <c r="A275" s="514" t="s">
        <v>518</v>
      </c>
      <c r="B275" s="514"/>
      <c r="C275" s="514"/>
      <c r="D275" s="515" t="s">
        <v>535</v>
      </c>
      <c r="E275" s="515"/>
      <c r="F275" s="515"/>
      <c r="G275" s="516">
        <f>H275+I275</f>
        <v>710702295.86000001</v>
      </c>
      <c r="H275" s="516">
        <f>H276</f>
        <v>658457206.77999997</v>
      </c>
      <c r="I275" s="516">
        <f>I276</f>
        <v>52245089.080000006</v>
      </c>
      <c r="J275" s="516">
        <f>J276</f>
        <v>48547845.370000005</v>
      </c>
      <c r="K275" s="537" t="b">
        <f>H275='d3'!E305-'d3'!E307+'d7'!H277+H278</f>
        <v>1</v>
      </c>
      <c r="L275" s="537" t="b">
        <f>I275='d3'!J305-'d3'!J307+'d7'!I277+I278</f>
        <v>1</v>
      </c>
      <c r="M275" s="537" t="b">
        <f>J275='d3'!K305-'d3'!K307+'d7'!J277+J278</f>
        <v>1</v>
      </c>
    </row>
    <row r="276" spans="1:13" ht="170.45" customHeight="1" thickTop="1" thickBot="1" x14ac:dyDescent="0.25">
      <c r="A276" s="511" t="s">
        <v>519</v>
      </c>
      <c r="B276" s="511"/>
      <c r="C276" s="511"/>
      <c r="D276" s="512" t="s">
        <v>536</v>
      </c>
      <c r="E276" s="512"/>
      <c r="F276" s="512"/>
      <c r="G276" s="513">
        <f>SUM(G277:G323)</f>
        <v>710702295.86000001</v>
      </c>
      <c r="H276" s="513">
        <f>SUM(H277:H323)</f>
        <v>658457206.77999997</v>
      </c>
      <c r="I276" s="513">
        <f>SUM(I277:I323)</f>
        <v>52245089.080000006</v>
      </c>
      <c r="J276" s="513">
        <f>SUM(J277:J323)</f>
        <v>48547845.370000005</v>
      </c>
      <c r="K276" s="215"/>
      <c r="L276" s="130"/>
      <c r="M276" s="130"/>
    </row>
    <row r="277" spans="1:13" ht="207.75" customHeight="1" thickTop="1" thickBot="1" x14ac:dyDescent="0.25">
      <c r="A277" s="94" t="s">
        <v>520</v>
      </c>
      <c r="B277" s="94" t="s">
        <v>231</v>
      </c>
      <c r="C277" s="94" t="s">
        <v>229</v>
      </c>
      <c r="D277" s="469" t="s">
        <v>1515</v>
      </c>
      <c r="E277" s="477" t="s">
        <v>1565</v>
      </c>
      <c r="F277" s="682" t="s">
        <v>817</v>
      </c>
      <c r="G277" s="411">
        <f t="shared" si="33"/>
        <v>90000</v>
      </c>
      <c r="H277" s="411">
        <v>90000</v>
      </c>
      <c r="I277" s="411">
        <v>0</v>
      </c>
      <c r="J277" s="411">
        <v>0</v>
      </c>
      <c r="K277" s="130"/>
      <c r="L277" s="130"/>
      <c r="M277" s="130"/>
    </row>
    <row r="278" spans="1:13" ht="207.75" customHeight="1" thickTop="1" thickBot="1" x14ac:dyDescent="0.25">
      <c r="A278" s="94" t="s">
        <v>520</v>
      </c>
      <c r="B278" s="94" t="s">
        <v>231</v>
      </c>
      <c r="C278" s="94" t="s">
        <v>229</v>
      </c>
      <c r="D278" s="469" t="s">
        <v>1515</v>
      </c>
      <c r="E278" s="505" t="s">
        <v>1773</v>
      </c>
      <c r="F278" s="179"/>
      <c r="G278" s="411">
        <f t="shared" si="33"/>
        <v>80000</v>
      </c>
      <c r="H278" s="503">
        <v>80000</v>
      </c>
      <c r="I278" s="500">
        <v>0</v>
      </c>
      <c r="J278" s="500">
        <v>0</v>
      </c>
      <c r="K278" s="130"/>
      <c r="L278" s="130"/>
      <c r="M278" s="130"/>
    </row>
    <row r="279" spans="1:13" ht="276" thickTop="1" thickBot="1" x14ac:dyDescent="0.25">
      <c r="A279" s="94" t="s">
        <v>602</v>
      </c>
      <c r="B279" s="94" t="s">
        <v>352</v>
      </c>
      <c r="C279" s="94" t="s">
        <v>598</v>
      </c>
      <c r="D279" s="94" t="s">
        <v>599</v>
      </c>
      <c r="E279" s="505" t="s">
        <v>1774</v>
      </c>
      <c r="F279" s="411" t="s">
        <v>1775</v>
      </c>
      <c r="G279" s="411">
        <f t="shared" ref="G279" si="36">H279+I279</f>
        <v>10000</v>
      </c>
      <c r="H279" s="503">
        <f>'d3'!E308</f>
        <v>10000</v>
      </c>
      <c r="I279" s="500">
        <v>0</v>
      </c>
      <c r="J279" s="500">
        <v>0</v>
      </c>
      <c r="K279" s="130"/>
      <c r="L279" s="130"/>
      <c r="M279" s="130"/>
    </row>
    <row r="280" spans="1:13" ht="174.75" customHeight="1" thickTop="1" thickBot="1" x14ac:dyDescent="0.25">
      <c r="A280" s="94" t="s">
        <v>521</v>
      </c>
      <c r="B280" s="94" t="s">
        <v>42</v>
      </c>
      <c r="C280" s="94" t="s">
        <v>41</v>
      </c>
      <c r="D280" s="94" t="s">
        <v>242</v>
      </c>
      <c r="E280" s="505" t="s">
        <v>1112</v>
      </c>
      <c r="F280" s="683" t="s">
        <v>1056</v>
      </c>
      <c r="G280" s="411">
        <f t="shared" si="33"/>
        <v>30618</v>
      </c>
      <c r="H280" s="411">
        <f>'d3'!E309</f>
        <v>30618</v>
      </c>
      <c r="I280" s="411">
        <f>'d3'!J309</f>
        <v>0</v>
      </c>
      <c r="J280" s="411">
        <f>'d3'!K309</f>
        <v>0</v>
      </c>
      <c r="K280" s="130"/>
      <c r="L280" s="130"/>
      <c r="M280" s="130"/>
    </row>
    <row r="281" spans="1:13" ht="205.5" customHeight="1" thickTop="1" thickBot="1" x14ac:dyDescent="0.25">
      <c r="A281" s="94" t="s">
        <v>522</v>
      </c>
      <c r="B281" s="94" t="s">
        <v>366</v>
      </c>
      <c r="C281" s="94" t="s">
        <v>277</v>
      </c>
      <c r="D281" s="94" t="s">
        <v>367</v>
      </c>
      <c r="E281" s="505" t="s">
        <v>1223</v>
      </c>
      <c r="F281" s="683" t="s">
        <v>1174</v>
      </c>
      <c r="G281" s="411">
        <f t="shared" si="33"/>
        <v>105000000</v>
      </c>
      <c r="H281" s="503">
        <f>'d3'!E312</f>
        <v>105000000</v>
      </c>
      <c r="I281" s="411">
        <f>'d3'!J312</f>
        <v>0</v>
      </c>
      <c r="J281" s="411">
        <f>'d3'!K312</f>
        <v>0</v>
      </c>
      <c r="K281" s="130"/>
      <c r="L281" s="130"/>
      <c r="M281" s="130"/>
    </row>
    <row r="282" spans="1:13" ht="195.75" customHeight="1" thickTop="1" thickBot="1" x14ac:dyDescent="0.25">
      <c r="A282" s="94" t="s">
        <v>523</v>
      </c>
      <c r="B282" s="94" t="s">
        <v>280</v>
      </c>
      <c r="C282" s="94" t="s">
        <v>277</v>
      </c>
      <c r="D282" s="94" t="s">
        <v>281</v>
      </c>
      <c r="E282" s="505" t="s">
        <v>1112</v>
      </c>
      <c r="F282" s="683" t="s">
        <v>1056</v>
      </c>
      <c r="G282" s="411">
        <f t="shared" si="33"/>
        <v>208138</v>
      </c>
      <c r="H282" s="503">
        <v>208138</v>
      </c>
      <c r="I282" s="500">
        <v>0</v>
      </c>
      <c r="J282" s="500">
        <v>0</v>
      </c>
    </row>
    <row r="283" spans="1:13" ht="177.75" customHeight="1" thickTop="1" thickBot="1" x14ac:dyDescent="0.25">
      <c r="A283" s="94" t="s">
        <v>523</v>
      </c>
      <c r="B283" s="94" t="s">
        <v>280</v>
      </c>
      <c r="C283" s="94" t="s">
        <v>277</v>
      </c>
      <c r="D283" s="94" t="s">
        <v>281</v>
      </c>
      <c r="E283" s="505" t="s">
        <v>1219</v>
      </c>
      <c r="F283" s="683" t="s">
        <v>1175</v>
      </c>
      <c r="G283" s="411">
        <f t="shared" si="33"/>
        <v>70600240</v>
      </c>
      <c r="H283" s="503">
        <f>(30600240)+40000000</f>
        <v>70600240</v>
      </c>
      <c r="I283" s="500">
        <v>0</v>
      </c>
      <c r="J283" s="500">
        <v>0</v>
      </c>
      <c r="K283" s="472" t="b">
        <f>'d3'!E313='d7'!H282+'d7'!H283</f>
        <v>1</v>
      </c>
      <c r="L283" s="472" t="b">
        <f>'d3'!J313='d7'!I282+'d7'!I283</f>
        <v>1</v>
      </c>
      <c r="M283" s="472" t="b">
        <f>'d3'!K313='d7'!J282+'d7'!J283</f>
        <v>1</v>
      </c>
    </row>
    <row r="284" spans="1:13" ht="184.5" hidden="1" thickTop="1" thickBot="1" x14ac:dyDescent="0.25">
      <c r="A284" s="119" t="s">
        <v>1220</v>
      </c>
      <c r="B284" s="119" t="s">
        <v>1221</v>
      </c>
      <c r="C284" s="119" t="s">
        <v>277</v>
      </c>
      <c r="D284" s="119" t="s">
        <v>1222</v>
      </c>
      <c r="E284" s="195" t="s">
        <v>1219</v>
      </c>
      <c r="F284" s="681" t="s">
        <v>1175</v>
      </c>
      <c r="G284" s="179">
        <f t="shared" si="33"/>
        <v>0</v>
      </c>
      <c r="H284" s="196">
        <f>'d3'!E314</f>
        <v>0</v>
      </c>
      <c r="I284" s="211">
        <v>0</v>
      </c>
      <c r="J284" s="211">
        <v>0</v>
      </c>
      <c r="K284" s="130"/>
      <c r="L284" s="130"/>
      <c r="M284" s="130"/>
    </row>
    <row r="285" spans="1:13" ht="198.75" customHeight="1" thickTop="1" thickBot="1" x14ac:dyDescent="0.25">
      <c r="A285" s="94" t="s">
        <v>524</v>
      </c>
      <c r="B285" s="94" t="s">
        <v>291</v>
      </c>
      <c r="C285" s="94" t="s">
        <v>277</v>
      </c>
      <c r="D285" s="94" t="s">
        <v>292</v>
      </c>
      <c r="E285" s="505" t="s">
        <v>1112</v>
      </c>
      <c r="F285" s="683" t="s">
        <v>1056</v>
      </c>
      <c r="G285" s="411">
        <f t="shared" si="33"/>
        <v>800000</v>
      </c>
      <c r="H285" s="503">
        <v>800000</v>
      </c>
      <c r="I285" s="500">
        <v>0</v>
      </c>
      <c r="J285" s="500">
        <v>0</v>
      </c>
      <c r="K285" s="472" t="b">
        <f>'d3'!E315='d7'!H286+'d7'!H288+H287+H285</f>
        <v>1</v>
      </c>
      <c r="L285" s="472" t="b">
        <f>'d3'!J315='d7'!I286+'d7'!I288+I287+I285</f>
        <v>1</v>
      </c>
      <c r="M285" s="472" t="b">
        <f>'d3'!K315='d7'!J286+'d7'!J288+J287+J285</f>
        <v>1</v>
      </c>
    </row>
    <row r="286" spans="1:13" ht="162.75" hidden="1" customHeight="1" thickTop="1" thickBot="1" x14ac:dyDescent="0.25">
      <c r="A286" s="119" t="s">
        <v>524</v>
      </c>
      <c r="B286" s="119" t="s">
        <v>291</v>
      </c>
      <c r="C286" s="119" t="s">
        <v>277</v>
      </c>
      <c r="D286" s="94" t="s">
        <v>292</v>
      </c>
      <c r="E286" s="195" t="s">
        <v>1252</v>
      </c>
      <c r="F286" s="681" t="s">
        <v>1178</v>
      </c>
      <c r="G286" s="179">
        <f t="shared" si="33"/>
        <v>0</v>
      </c>
      <c r="H286" s="196"/>
      <c r="I286" s="211">
        <f>'d3'!J315</f>
        <v>0</v>
      </c>
      <c r="J286" s="211">
        <f>'d3'!K315</f>
        <v>0</v>
      </c>
    </row>
    <row r="287" spans="1:13" ht="184.5" hidden="1" thickTop="1" thickBot="1" x14ac:dyDescent="0.25">
      <c r="A287" s="119" t="s">
        <v>524</v>
      </c>
      <c r="B287" s="119" t="s">
        <v>291</v>
      </c>
      <c r="C287" s="119" t="s">
        <v>277</v>
      </c>
      <c r="D287" s="119" t="s">
        <v>292</v>
      </c>
      <c r="E287" s="195" t="s">
        <v>1218</v>
      </c>
      <c r="F287" s="681" t="s">
        <v>1171</v>
      </c>
      <c r="G287" s="179">
        <f t="shared" si="33"/>
        <v>0</v>
      </c>
      <c r="H287" s="196">
        <f>(68333)-68333</f>
        <v>0</v>
      </c>
      <c r="I287" s="211">
        <f>'d3'!J315-I289-I288</f>
        <v>0</v>
      </c>
      <c r="J287" s="211">
        <f>'d3'!K315-J289-J288</f>
        <v>0</v>
      </c>
      <c r="K287" s="197"/>
      <c r="L287" s="197"/>
      <c r="M287" s="197"/>
    </row>
    <row r="288" spans="1:13" ht="184.5" thickTop="1" thickBot="1" x14ac:dyDescent="0.25">
      <c r="A288" s="94" t="s">
        <v>524</v>
      </c>
      <c r="B288" s="94" t="s">
        <v>291</v>
      </c>
      <c r="C288" s="94" t="s">
        <v>277</v>
      </c>
      <c r="D288" s="94" t="s">
        <v>292</v>
      </c>
      <c r="E288" s="505" t="s">
        <v>1226</v>
      </c>
      <c r="F288" s="683" t="s">
        <v>1181</v>
      </c>
      <c r="G288" s="411">
        <f t="shared" si="33"/>
        <v>41726384.620000005</v>
      </c>
      <c r="H288" s="503">
        <f>(67965426.62)-26239042</f>
        <v>41726384.620000005</v>
      </c>
      <c r="I288" s="500">
        <v>0</v>
      </c>
      <c r="J288" s="500">
        <v>0</v>
      </c>
      <c r="K288" s="130"/>
      <c r="L288" s="130"/>
      <c r="M288" s="130"/>
    </row>
    <row r="289" spans="1:13" ht="186.75" customHeight="1" thickTop="1" thickBot="1" x14ac:dyDescent="0.25">
      <c r="A289" s="94" t="s">
        <v>525</v>
      </c>
      <c r="B289" s="94">
        <v>6030</v>
      </c>
      <c r="C289" s="94" t="s">
        <v>277</v>
      </c>
      <c r="D289" s="94" t="s">
        <v>284</v>
      </c>
      <c r="E289" s="505" t="s">
        <v>1112</v>
      </c>
      <c r="F289" s="683" t="s">
        <v>1056</v>
      </c>
      <c r="G289" s="411">
        <f t="shared" si="33"/>
        <v>421474713.98000002</v>
      </c>
      <c r="H289" s="503">
        <f>((350671588.98-7997881)+51099243.38)+23859456.62+3842306</f>
        <v>421474713.98000002</v>
      </c>
      <c r="I289" s="500">
        <v>0</v>
      </c>
      <c r="J289" s="500">
        <v>0</v>
      </c>
      <c r="K289" s="472" t="b">
        <f>H290+H289+H291='d3'!E316</f>
        <v>1</v>
      </c>
      <c r="L289" s="472" t="b">
        <f>I290+I289+I291='d3'!J316</f>
        <v>1</v>
      </c>
      <c r="M289" s="472" t="b">
        <f>J290+J289+J291='d3'!K316</f>
        <v>1</v>
      </c>
    </row>
    <row r="290" spans="1:13" ht="184.5" thickTop="1" thickBot="1" x14ac:dyDescent="0.25">
      <c r="A290" s="94" t="s">
        <v>525</v>
      </c>
      <c r="B290" s="94">
        <v>6030</v>
      </c>
      <c r="C290" s="94" t="s">
        <v>277</v>
      </c>
      <c r="D290" s="94" t="s">
        <v>284</v>
      </c>
      <c r="E290" s="503" t="s">
        <v>1781</v>
      </c>
      <c r="F290" s="687" t="s">
        <v>1383</v>
      </c>
      <c r="G290" s="411">
        <f t="shared" ref="G290:G299" si="37">H290+I290</f>
        <v>4155575</v>
      </c>
      <c r="H290" s="500">
        <f>(7997881)-3842306</f>
        <v>4155575</v>
      </c>
      <c r="I290" s="500">
        <v>0</v>
      </c>
      <c r="J290" s="500">
        <v>0</v>
      </c>
      <c r="K290" s="130"/>
      <c r="L290" s="130"/>
      <c r="M290" s="130"/>
    </row>
    <row r="291" spans="1:13" ht="230.25" thickTop="1" thickBot="1" x14ac:dyDescent="0.25">
      <c r="A291" s="94" t="s">
        <v>525</v>
      </c>
      <c r="B291" s="94">
        <v>6030</v>
      </c>
      <c r="C291" s="94" t="s">
        <v>277</v>
      </c>
      <c r="D291" s="94" t="s">
        <v>284</v>
      </c>
      <c r="E291" s="505" t="s">
        <v>1224</v>
      </c>
      <c r="F291" s="411" t="s">
        <v>1176</v>
      </c>
      <c r="G291" s="411">
        <f t="shared" si="37"/>
        <v>1200000</v>
      </c>
      <c r="H291" s="500">
        <v>1200000</v>
      </c>
      <c r="I291" s="500">
        <v>0</v>
      </c>
      <c r="J291" s="500">
        <v>0</v>
      </c>
      <c r="K291" s="130"/>
      <c r="L291" s="130"/>
      <c r="M291" s="130"/>
    </row>
    <row r="292" spans="1:13" ht="184.5" hidden="1" thickTop="1" thickBot="1" x14ac:dyDescent="0.25">
      <c r="A292" s="94" t="s">
        <v>1037</v>
      </c>
      <c r="B292" s="94" t="s">
        <v>1038</v>
      </c>
      <c r="C292" s="94" t="s">
        <v>1039</v>
      </c>
      <c r="D292" s="94" t="s">
        <v>1036</v>
      </c>
      <c r="E292" s="195" t="s">
        <v>1112</v>
      </c>
      <c r="F292" s="678" t="s">
        <v>1056</v>
      </c>
      <c r="G292" s="179">
        <f t="shared" si="37"/>
        <v>0</v>
      </c>
      <c r="H292" s="211"/>
      <c r="I292" s="211"/>
      <c r="J292" s="211"/>
      <c r="K292" s="130"/>
      <c r="L292" s="130"/>
      <c r="M292" s="130"/>
    </row>
    <row r="293" spans="1:13" ht="183.75" customHeight="1" thickTop="1" thickBot="1" x14ac:dyDescent="0.25">
      <c r="A293" s="94" t="s">
        <v>1037</v>
      </c>
      <c r="B293" s="94" t="s">
        <v>1038</v>
      </c>
      <c r="C293" s="94" t="s">
        <v>1039</v>
      </c>
      <c r="D293" s="94" t="s">
        <v>1036</v>
      </c>
      <c r="E293" s="505" t="s">
        <v>1523</v>
      </c>
      <c r="F293" s="683" t="s">
        <v>1250</v>
      </c>
      <c r="G293" s="411">
        <f t="shared" si="37"/>
        <v>1707209.18</v>
      </c>
      <c r="H293" s="500">
        <v>1707209.18</v>
      </c>
      <c r="I293" s="500">
        <v>0</v>
      </c>
      <c r="J293" s="500">
        <v>0</v>
      </c>
      <c r="K293" s="130"/>
      <c r="L293" s="130"/>
      <c r="M293" s="130"/>
    </row>
    <row r="294" spans="1:13" ht="232.5" customHeight="1" thickTop="1" thickBot="1" x14ac:dyDescent="0.25">
      <c r="A294" s="94" t="s">
        <v>1037</v>
      </c>
      <c r="B294" s="94" t="s">
        <v>1038</v>
      </c>
      <c r="C294" s="94" t="s">
        <v>1039</v>
      </c>
      <c r="D294" s="94" t="s">
        <v>1036</v>
      </c>
      <c r="E294" s="505" t="s">
        <v>1349</v>
      </c>
      <c r="F294" s="683" t="s">
        <v>1177</v>
      </c>
      <c r="G294" s="411">
        <f t="shared" si="37"/>
        <v>1158397</v>
      </c>
      <c r="H294" s="500">
        <v>1158397</v>
      </c>
      <c r="I294" s="500">
        <v>0</v>
      </c>
      <c r="J294" s="500">
        <v>0</v>
      </c>
      <c r="K294" s="130"/>
      <c r="L294" s="130"/>
      <c r="M294" s="130"/>
    </row>
    <row r="295" spans="1:13" ht="205.5" customHeight="1" thickTop="1" thickBot="1" x14ac:dyDescent="0.25">
      <c r="A295" s="94" t="s">
        <v>1037</v>
      </c>
      <c r="B295" s="94" t="s">
        <v>1038</v>
      </c>
      <c r="C295" s="94" t="s">
        <v>1039</v>
      </c>
      <c r="D295" s="94" t="s">
        <v>1036</v>
      </c>
      <c r="E295" s="505" t="s">
        <v>1224</v>
      </c>
      <c r="F295" s="683" t="s">
        <v>1176</v>
      </c>
      <c r="G295" s="411">
        <f t="shared" si="37"/>
        <v>543455</v>
      </c>
      <c r="H295" s="500">
        <v>543455</v>
      </c>
      <c r="I295" s="500">
        <v>0</v>
      </c>
      <c r="J295" s="500">
        <v>0</v>
      </c>
      <c r="K295" s="130"/>
      <c r="L295" s="130"/>
      <c r="M295" s="130"/>
    </row>
    <row r="296" spans="1:13" ht="184.5" thickTop="1" thickBot="1" x14ac:dyDescent="0.25">
      <c r="A296" s="94" t="s">
        <v>1355</v>
      </c>
      <c r="B296" s="94" t="s">
        <v>1354</v>
      </c>
      <c r="C296" s="94" t="s">
        <v>1039</v>
      </c>
      <c r="D296" s="94" t="s">
        <v>1742</v>
      </c>
      <c r="E296" s="505" t="s">
        <v>1112</v>
      </c>
      <c r="F296" s="683" t="s">
        <v>1056</v>
      </c>
      <c r="G296" s="411">
        <f t="shared" si="37"/>
        <v>2427391.2000000002</v>
      </c>
      <c r="H296" s="500">
        <v>0</v>
      </c>
      <c r="I296" s="500">
        <f>(1427391.2)+1000000</f>
        <v>2427391.2000000002</v>
      </c>
      <c r="J296" s="500">
        <f>(1427391.2)+1000000</f>
        <v>2427391.2000000002</v>
      </c>
      <c r="K296" s="472" t="b">
        <f>H296+H297='d3'!E318</f>
        <v>1</v>
      </c>
      <c r="L296" s="472" t="b">
        <f>I296+I297='d3'!J318</f>
        <v>1</v>
      </c>
      <c r="M296" s="472" t="b">
        <f>J296+J297='d3'!K318</f>
        <v>1</v>
      </c>
    </row>
    <row r="297" spans="1:13" ht="184.5" thickTop="1" thickBot="1" x14ac:dyDescent="0.25">
      <c r="A297" s="94" t="s">
        <v>1355</v>
      </c>
      <c r="B297" s="94" t="s">
        <v>1354</v>
      </c>
      <c r="C297" s="94" t="s">
        <v>1039</v>
      </c>
      <c r="D297" s="94" t="s">
        <v>1742</v>
      </c>
      <c r="E297" s="505" t="s">
        <v>1219</v>
      </c>
      <c r="F297" s="683" t="s">
        <v>1175</v>
      </c>
      <c r="G297" s="411">
        <f t="shared" si="37"/>
        <v>16631948.17</v>
      </c>
      <c r="H297" s="500">
        <v>0</v>
      </c>
      <c r="I297" s="500">
        <v>16631948.17</v>
      </c>
      <c r="J297" s="500">
        <v>16631948.17</v>
      </c>
      <c r="K297" s="130"/>
      <c r="L297" s="130"/>
      <c r="M297" s="130"/>
    </row>
    <row r="298" spans="1:13" ht="184.5" hidden="1" thickTop="1" thickBot="1" x14ac:dyDescent="0.25">
      <c r="A298" s="119" t="s">
        <v>526</v>
      </c>
      <c r="B298" s="119" t="s">
        <v>287</v>
      </c>
      <c r="C298" s="119" t="s">
        <v>289</v>
      </c>
      <c r="D298" s="312" t="s">
        <v>288</v>
      </c>
      <c r="E298" s="195" t="s">
        <v>1112</v>
      </c>
      <c r="F298" s="681" t="s">
        <v>1056</v>
      </c>
      <c r="G298" s="179">
        <f t="shared" si="37"/>
        <v>0</v>
      </c>
      <c r="H298" s="196">
        <f>'d3'!E322-H299</f>
        <v>0</v>
      </c>
      <c r="I298" s="211">
        <f>'d3'!J322-I299</f>
        <v>0</v>
      </c>
      <c r="J298" s="211">
        <f>'d3'!K322-J299</f>
        <v>0</v>
      </c>
      <c r="K298" s="194" t="b">
        <f>H298+H299='d3'!E322</f>
        <v>1</v>
      </c>
      <c r="L298" s="194" t="b">
        <f>I298+I299='d3'!J322</f>
        <v>1</v>
      </c>
      <c r="M298" s="194" t="b">
        <f>J298+J299='d3'!K322</f>
        <v>1</v>
      </c>
    </row>
    <row r="299" spans="1:13" ht="138.75" hidden="1" thickTop="1" thickBot="1" x14ac:dyDescent="0.25">
      <c r="A299" s="313" t="s">
        <v>526</v>
      </c>
      <c r="B299" s="313" t="s">
        <v>287</v>
      </c>
      <c r="C299" s="313" t="s">
        <v>289</v>
      </c>
      <c r="D299" s="314" t="s">
        <v>288</v>
      </c>
      <c r="E299" s="195" t="s">
        <v>1211</v>
      </c>
      <c r="F299" s="685" t="s">
        <v>414</v>
      </c>
      <c r="G299" s="179">
        <f t="shared" si="37"/>
        <v>0</v>
      </c>
      <c r="H299" s="315">
        <v>0</v>
      </c>
      <c r="I299" s="316">
        <v>0</v>
      </c>
      <c r="J299" s="316">
        <v>0</v>
      </c>
      <c r="K299" s="130"/>
      <c r="L299" s="130"/>
      <c r="M299" s="130"/>
    </row>
    <row r="300" spans="1:13" ht="138.75" hidden="1" thickTop="1" thickBot="1" x14ac:dyDescent="0.25">
      <c r="A300" s="119" t="s">
        <v>526</v>
      </c>
      <c r="B300" s="119" t="s">
        <v>287</v>
      </c>
      <c r="C300" s="119" t="s">
        <v>289</v>
      </c>
      <c r="D300" s="312" t="s">
        <v>288</v>
      </c>
      <c r="E300" s="196" t="s">
        <v>834</v>
      </c>
      <c r="F300" s="686" t="s">
        <v>847</v>
      </c>
      <c r="G300" s="179">
        <f t="shared" si="33"/>
        <v>0</v>
      </c>
      <c r="H300" s="196"/>
      <c r="I300" s="211"/>
      <c r="J300" s="211"/>
      <c r="K300" s="130"/>
      <c r="L300" s="130"/>
      <c r="M300" s="130"/>
    </row>
    <row r="301" spans="1:13" ht="184.5" thickTop="1" thickBot="1" x14ac:dyDescent="0.25">
      <c r="A301" s="469" t="s">
        <v>1533</v>
      </c>
      <c r="B301" s="469" t="s">
        <v>1534</v>
      </c>
      <c r="C301" s="469" t="s">
        <v>289</v>
      </c>
      <c r="D301" s="469" t="s">
        <v>1532</v>
      </c>
      <c r="E301" s="505" t="s">
        <v>1112</v>
      </c>
      <c r="F301" s="683" t="s">
        <v>1056</v>
      </c>
      <c r="G301" s="411">
        <f t="shared" si="33"/>
        <v>10000000</v>
      </c>
      <c r="H301" s="473">
        <v>0</v>
      </c>
      <c r="I301" s="531">
        <f>(10427391.2-427391.2)</f>
        <v>10000000</v>
      </c>
      <c r="J301" s="531">
        <f>(10427391.2-427391.2)</f>
        <v>10000000</v>
      </c>
      <c r="K301" s="130"/>
      <c r="L301" s="130"/>
      <c r="M301" s="130"/>
    </row>
    <row r="302" spans="1:13" ht="184.5" hidden="1" thickTop="1" thickBot="1" x14ac:dyDescent="0.25">
      <c r="A302" s="119" t="s">
        <v>527</v>
      </c>
      <c r="B302" s="119" t="s">
        <v>207</v>
      </c>
      <c r="C302" s="119" t="s">
        <v>208</v>
      </c>
      <c r="D302" s="119" t="s">
        <v>40</v>
      </c>
      <c r="E302" s="195" t="s">
        <v>1112</v>
      </c>
      <c r="F302" s="681" t="s">
        <v>1056</v>
      </c>
      <c r="G302" s="196">
        <f t="shared" si="33"/>
        <v>0</v>
      </c>
      <c r="H302" s="196"/>
      <c r="I302" s="196"/>
      <c r="J302" s="196"/>
      <c r="K302" s="130"/>
      <c r="L302" s="130"/>
      <c r="M302" s="130"/>
    </row>
    <row r="303" spans="1:13" ht="138.75" hidden="1" thickTop="1" thickBot="1" x14ac:dyDescent="0.25">
      <c r="A303" s="119" t="s">
        <v>528</v>
      </c>
      <c r="B303" s="119" t="s">
        <v>192</v>
      </c>
      <c r="C303" s="119" t="s">
        <v>165</v>
      </c>
      <c r="D303" s="119" t="s">
        <v>33</v>
      </c>
      <c r="E303" s="195" t="s">
        <v>1055</v>
      </c>
      <c r="F303" s="681" t="s">
        <v>1056</v>
      </c>
      <c r="G303" s="196">
        <f t="shared" ref="G303:G304" si="38">H303+I303</f>
        <v>0</v>
      </c>
      <c r="H303" s="196"/>
      <c r="I303" s="196"/>
      <c r="J303" s="196"/>
      <c r="K303" s="893" t="b">
        <f>'d3'!E326='d7'!H305+'d7'!H306+'d7'!H308+'d7'!H309+'d7'!H310+'d7'!H311+'d7'!H312+'d7'!H314+'d7'!H315+H303+H313+H304+H307</f>
        <v>1</v>
      </c>
      <c r="L303" s="894" t="b">
        <f>'d3'!J326='d7'!I305+'d7'!I306+'d7'!I308+'d7'!I309+'d7'!I310+'d7'!I311+'d7'!I312+'d7'!I314+'d7'!I315+I303+I313+I304+I307</f>
        <v>1</v>
      </c>
      <c r="M303" s="894" t="b">
        <f>'d3'!K326='d7'!J305+'d7'!J306+'d7'!J308+'d7'!J309+'d7'!J310+'d7'!J311+'d7'!J312+'d7'!J314+'d7'!J315+J303+J313+J304+J307</f>
        <v>1</v>
      </c>
    </row>
    <row r="304" spans="1:13" ht="138.75" thickTop="1" thickBot="1" x14ac:dyDescent="0.25">
      <c r="A304" s="94" t="s">
        <v>528</v>
      </c>
      <c r="B304" s="94" t="s">
        <v>192</v>
      </c>
      <c r="C304" s="94" t="s">
        <v>165</v>
      </c>
      <c r="D304" s="94" t="s">
        <v>33</v>
      </c>
      <c r="E304" s="505" t="s">
        <v>1523</v>
      </c>
      <c r="F304" s="683" t="s">
        <v>1250</v>
      </c>
      <c r="G304" s="503">
        <f t="shared" si="38"/>
        <v>91950</v>
      </c>
      <c r="H304" s="503">
        <v>0</v>
      </c>
      <c r="I304" s="503">
        <v>91950</v>
      </c>
      <c r="J304" s="503">
        <v>91950</v>
      </c>
      <c r="K304" s="893"/>
      <c r="L304" s="894"/>
      <c r="M304" s="894"/>
    </row>
    <row r="305" spans="1:13" ht="207.75" customHeight="1" thickTop="1" thickBot="1" x14ac:dyDescent="0.25">
      <c r="A305" s="94" t="s">
        <v>528</v>
      </c>
      <c r="B305" s="94" t="s">
        <v>192</v>
      </c>
      <c r="C305" s="94" t="s">
        <v>165</v>
      </c>
      <c r="D305" s="94" t="s">
        <v>33</v>
      </c>
      <c r="E305" s="505" t="s">
        <v>1223</v>
      </c>
      <c r="F305" s="683" t="s">
        <v>1174</v>
      </c>
      <c r="G305" s="503">
        <f t="shared" si="33"/>
        <v>2010000</v>
      </c>
      <c r="H305" s="503">
        <v>0</v>
      </c>
      <c r="I305" s="503">
        <v>2010000</v>
      </c>
      <c r="J305" s="503">
        <v>2010000</v>
      </c>
      <c r="K305" s="893"/>
      <c r="L305" s="894"/>
      <c r="M305" s="894"/>
    </row>
    <row r="306" spans="1:13" ht="184.5" thickTop="1" thickBot="1" x14ac:dyDescent="0.25">
      <c r="A306" s="469" t="s">
        <v>528</v>
      </c>
      <c r="B306" s="469" t="s">
        <v>192</v>
      </c>
      <c r="C306" s="469" t="s">
        <v>165</v>
      </c>
      <c r="D306" s="94" t="s">
        <v>33</v>
      </c>
      <c r="E306" s="477" t="s">
        <v>1219</v>
      </c>
      <c r="F306" s="682" t="s">
        <v>1175</v>
      </c>
      <c r="G306" s="473">
        <f t="shared" si="33"/>
        <v>6754928</v>
      </c>
      <c r="H306" s="473">
        <v>0</v>
      </c>
      <c r="I306" s="473">
        <f>((4032228)+1767600)+955100</f>
        <v>6754928</v>
      </c>
      <c r="J306" s="473">
        <f>((4032228)+1767600)+955100</f>
        <v>6754928</v>
      </c>
      <c r="K306" s="893"/>
      <c r="L306" s="894"/>
      <c r="M306" s="894"/>
    </row>
    <row r="307" spans="1:13" ht="184.5" hidden="1" thickTop="1" thickBot="1" x14ac:dyDescent="0.25">
      <c r="A307" s="119" t="s">
        <v>528</v>
      </c>
      <c r="B307" s="119" t="s">
        <v>192</v>
      </c>
      <c r="C307" s="119" t="s">
        <v>165</v>
      </c>
      <c r="D307" s="119" t="s">
        <v>33</v>
      </c>
      <c r="E307" s="196" t="s">
        <v>1382</v>
      </c>
      <c r="F307" s="679" t="s">
        <v>1383</v>
      </c>
      <c r="G307" s="196">
        <f t="shared" ref="G307" si="39">H307+I307</f>
        <v>0</v>
      </c>
      <c r="H307" s="196">
        <v>0</v>
      </c>
      <c r="I307" s="196">
        <f>(50400)-50400</f>
        <v>0</v>
      </c>
      <c r="J307" s="196">
        <f>(50400)-50400</f>
        <v>0</v>
      </c>
      <c r="K307" s="893"/>
      <c r="L307" s="894"/>
      <c r="M307" s="894"/>
    </row>
    <row r="308" spans="1:13" ht="230.25" thickTop="1" thickBot="1" x14ac:dyDescent="0.25">
      <c r="A308" s="94" t="s">
        <v>528</v>
      </c>
      <c r="B308" s="94" t="s">
        <v>192</v>
      </c>
      <c r="C308" s="94" t="s">
        <v>165</v>
      </c>
      <c r="D308" s="94" t="s">
        <v>33</v>
      </c>
      <c r="E308" s="505" t="s">
        <v>1349</v>
      </c>
      <c r="F308" s="411" t="s">
        <v>1177</v>
      </c>
      <c r="G308" s="503">
        <f t="shared" si="33"/>
        <v>3075000</v>
      </c>
      <c r="H308" s="503">
        <v>0</v>
      </c>
      <c r="I308" s="503">
        <f>(70000)+1500000+1505000</f>
        <v>3075000</v>
      </c>
      <c r="J308" s="503">
        <f>(70000)+1500000+1505000</f>
        <v>3075000</v>
      </c>
      <c r="K308" s="893"/>
      <c r="L308" s="894"/>
      <c r="M308" s="894"/>
    </row>
    <row r="309" spans="1:13" ht="230.25" thickTop="1" thickBot="1" x14ac:dyDescent="0.25">
      <c r="A309" s="94" t="s">
        <v>528</v>
      </c>
      <c r="B309" s="94" t="s">
        <v>192</v>
      </c>
      <c r="C309" s="94" t="s">
        <v>165</v>
      </c>
      <c r="D309" s="94" t="s">
        <v>33</v>
      </c>
      <c r="E309" s="505" t="s">
        <v>1224</v>
      </c>
      <c r="F309" s="411" t="s">
        <v>1176</v>
      </c>
      <c r="G309" s="503">
        <f t="shared" si="33"/>
        <v>221200</v>
      </c>
      <c r="H309" s="503">
        <v>0</v>
      </c>
      <c r="I309" s="503">
        <v>221200</v>
      </c>
      <c r="J309" s="503">
        <v>221200</v>
      </c>
      <c r="K309" s="893"/>
      <c r="L309" s="894"/>
      <c r="M309" s="894"/>
    </row>
    <row r="310" spans="1:13" ht="201.75" customHeight="1" thickTop="1" thickBot="1" x14ac:dyDescent="0.25">
      <c r="A310" s="94" t="s">
        <v>528</v>
      </c>
      <c r="B310" s="94" t="s">
        <v>192</v>
      </c>
      <c r="C310" s="94" t="s">
        <v>165</v>
      </c>
      <c r="D310" s="94" t="s">
        <v>33</v>
      </c>
      <c r="E310" s="505" t="s">
        <v>1799</v>
      </c>
      <c r="F310" s="411" t="s">
        <v>1251</v>
      </c>
      <c r="G310" s="503">
        <f t="shared" si="33"/>
        <v>5035428</v>
      </c>
      <c r="H310" s="503">
        <v>0</v>
      </c>
      <c r="I310" s="503">
        <v>5035428</v>
      </c>
      <c r="J310" s="503">
        <v>5035428</v>
      </c>
      <c r="K310" s="893"/>
      <c r="L310" s="894"/>
      <c r="M310" s="894"/>
    </row>
    <row r="311" spans="1:13" ht="138.75" hidden="1" thickTop="1" thickBot="1" x14ac:dyDescent="0.25">
      <c r="A311" s="119" t="s">
        <v>528</v>
      </c>
      <c r="B311" s="119" t="s">
        <v>192</v>
      </c>
      <c r="C311" s="119" t="s">
        <v>165</v>
      </c>
      <c r="D311" s="119" t="s">
        <v>33</v>
      </c>
      <c r="E311" s="195" t="s">
        <v>1225</v>
      </c>
      <c r="F311" s="678" t="s">
        <v>1178</v>
      </c>
      <c r="G311" s="196">
        <f t="shared" si="33"/>
        <v>0</v>
      </c>
      <c r="H311" s="196"/>
      <c r="I311" s="196"/>
      <c r="J311" s="196"/>
      <c r="K311" s="893"/>
      <c r="L311" s="894"/>
      <c r="M311" s="894"/>
    </row>
    <row r="312" spans="1:13" ht="138.75" hidden="1" thickTop="1" thickBot="1" x14ac:dyDescent="0.25">
      <c r="A312" s="119" t="s">
        <v>528</v>
      </c>
      <c r="B312" s="119" t="s">
        <v>192</v>
      </c>
      <c r="C312" s="119" t="s">
        <v>165</v>
      </c>
      <c r="D312" s="119" t="s">
        <v>33</v>
      </c>
      <c r="E312" s="195" t="s">
        <v>1179</v>
      </c>
      <c r="F312" s="678" t="s">
        <v>1180</v>
      </c>
      <c r="G312" s="196">
        <f t="shared" si="33"/>
        <v>0</v>
      </c>
      <c r="H312" s="196"/>
      <c r="I312" s="196"/>
      <c r="J312" s="196"/>
      <c r="K312" s="893"/>
      <c r="L312" s="894"/>
      <c r="M312" s="894"/>
    </row>
    <row r="313" spans="1:13" ht="138.75" hidden="1" thickTop="1" thickBot="1" x14ac:dyDescent="0.25">
      <c r="A313" s="119" t="s">
        <v>528</v>
      </c>
      <c r="B313" s="119" t="s">
        <v>192</v>
      </c>
      <c r="C313" s="119" t="s">
        <v>165</v>
      </c>
      <c r="D313" s="119" t="s">
        <v>33</v>
      </c>
      <c r="E313" s="299" t="s">
        <v>1218</v>
      </c>
      <c r="F313" s="678" t="s">
        <v>1171</v>
      </c>
      <c r="G313" s="196">
        <f t="shared" si="33"/>
        <v>0</v>
      </c>
      <c r="H313" s="196"/>
      <c r="I313" s="196"/>
      <c r="J313" s="196"/>
      <c r="K313" s="893"/>
      <c r="L313" s="894"/>
      <c r="M313" s="894"/>
    </row>
    <row r="314" spans="1:13" ht="138.75" thickTop="1" thickBot="1" x14ac:dyDescent="0.25">
      <c r="A314" s="94" t="s">
        <v>528</v>
      </c>
      <c r="B314" s="94" t="s">
        <v>192</v>
      </c>
      <c r="C314" s="94" t="s">
        <v>165</v>
      </c>
      <c r="D314" s="94" t="s">
        <v>33</v>
      </c>
      <c r="E314" s="505" t="s">
        <v>1226</v>
      </c>
      <c r="F314" s="411" t="s">
        <v>1181</v>
      </c>
      <c r="G314" s="503">
        <f t="shared" si="33"/>
        <v>2300000</v>
      </c>
      <c r="H314" s="503">
        <v>0</v>
      </c>
      <c r="I314" s="503">
        <v>2300000</v>
      </c>
      <c r="J314" s="503">
        <v>2300000</v>
      </c>
      <c r="K314" s="893"/>
      <c r="L314" s="894"/>
      <c r="M314" s="894"/>
    </row>
    <row r="315" spans="1:13" ht="138.75" hidden="1" thickTop="1" thickBot="1" x14ac:dyDescent="0.25">
      <c r="A315" s="119" t="s">
        <v>528</v>
      </c>
      <c r="B315" s="119" t="s">
        <v>192</v>
      </c>
      <c r="C315" s="119" t="s">
        <v>165</v>
      </c>
      <c r="D315" s="119" t="s">
        <v>33</v>
      </c>
      <c r="E315" s="716" t="s">
        <v>1161</v>
      </c>
      <c r="F315" s="678"/>
      <c r="G315" s="196">
        <f t="shared" si="33"/>
        <v>0</v>
      </c>
      <c r="H315" s="196"/>
      <c r="I315" s="196"/>
      <c r="J315" s="196"/>
      <c r="K315" s="130"/>
      <c r="L315" s="130"/>
      <c r="M315" s="130"/>
    </row>
    <row r="316" spans="1:13" ht="138.75" hidden="1" thickTop="1" thickBot="1" x14ac:dyDescent="0.25">
      <c r="A316" s="119" t="s">
        <v>528</v>
      </c>
      <c r="B316" s="119" t="s">
        <v>192</v>
      </c>
      <c r="C316" s="119" t="s">
        <v>165</v>
      </c>
      <c r="D316" s="119" t="s">
        <v>33</v>
      </c>
      <c r="E316" s="196" t="s">
        <v>835</v>
      </c>
      <c r="F316" s="678" t="s">
        <v>833</v>
      </c>
      <c r="G316" s="211">
        <f t="shared" si="33"/>
        <v>0</v>
      </c>
      <c r="H316" s="196"/>
      <c r="I316" s="211"/>
      <c r="J316" s="211"/>
      <c r="K316" s="130"/>
      <c r="L316" s="130"/>
      <c r="M316" s="130"/>
    </row>
    <row r="317" spans="1:13" ht="367.5" thickTop="1" thickBot="1" x14ac:dyDescent="0.25">
      <c r="A317" s="94" t="s">
        <v>529</v>
      </c>
      <c r="B317" s="94" t="s">
        <v>329</v>
      </c>
      <c r="C317" s="94" t="s">
        <v>165</v>
      </c>
      <c r="D317" s="717" t="s">
        <v>1456</v>
      </c>
      <c r="E317" s="505" t="s">
        <v>1507</v>
      </c>
      <c r="F317" s="411" t="s">
        <v>1687</v>
      </c>
      <c r="G317" s="411">
        <f t="shared" si="33"/>
        <v>3697243.71</v>
      </c>
      <c r="H317" s="411">
        <f>'d3'!E328</f>
        <v>0</v>
      </c>
      <c r="I317" s="411">
        <f>'d3'!J328</f>
        <v>3697243.71</v>
      </c>
      <c r="J317" s="411">
        <f>'d3'!K328</f>
        <v>0</v>
      </c>
      <c r="K317" s="130"/>
      <c r="L317" s="130"/>
      <c r="M317" s="130"/>
    </row>
    <row r="318" spans="1:13" ht="184.5" hidden="1" thickTop="1" thickBot="1" x14ac:dyDescent="0.25">
      <c r="A318" s="119" t="s">
        <v>1063</v>
      </c>
      <c r="B318" s="119" t="s">
        <v>251</v>
      </c>
      <c r="C318" s="119" t="s">
        <v>165</v>
      </c>
      <c r="D318" s="119" t="s">
        <v>249</v>
      </c>
      <c r="E318" s="195" t="s">
        <v>1112</v>
      </c>
      <c r="F318" s="678" t="s">
        <v>1056</v>
      </c>
      <c r="G318" s="211">
        <f t="shared" ref="G318" si="40">H318+I318</f>
        <v>0</v>
      </c>
      <c r="H318" s="196"/>
      <c r="I318" s="211"/>
      <c r="J318" s="211"/>
      <c r="K318" s="130"/>
      <c r="L318" s="130"/>
      <c r="M318" s="130"/>
    </row>
    <row r="319" spans="1:13" ht="321.75" thickTop="1" thickBot="1" x14ac:dyDescent="0.25">
      <c r="A319" s="94" t="s">
        <v>530</v>
      </c>
      <c r="B319" s="94" t="s">
        <v>499</v>
      </c>
      <c r="C319" s="94" t="s">
        <v>245</v>
      </c>
      <c r="D319" s="94" t="s">
        <v>500</v>
      </c>
      <c r="E319" s="411" t="s">
        <v>1798</v>
      </c>
      <c r="F319" s="682" t="s">
        <v>1683</v>
      </c>
      <c r="G319" s="411">
        <f t="shared" si="33"/>
        <v>1500000</v>
      </c>
      <c r="H319" s="503">
        <f>'d3'!E332</f>
        <v>1500000</v>
      </c>
      <c r="I319" s="500">
        <f>'d3'!J332</f>
        <v>0</v>
      </c>
      <c r="J319" s="500">
        <f>'d3'!K332</f>
        <v>0</v>
      </c>
      <c r="K319" s="130"/>
      <c r="L319" s="130"/>
      <c r="M319" s="130"/>
    </row>
    <row r="320" spans="1:13" ht="321.75" thickTop="1" thickBot="1" x14ac:dyDescent="0.25">
      <c r="A320" s="94" t="s">
        <v>531</v>
      </c>
      <c r="B320" s="94" t="s">
        <v>244</v>
      </c>
      <c r="C320" s="94" t="s">
        <v>245</v>
      </c>
      <c r="D320" s="469" t="s">
        <v>243</v>
      </c>
      <c r="E320" s="411" t="s">
        <v>1798</v>
      </c>
      <c r="F320" s="682" t="s">
        <v>1683</v>
      </c>
      <c r="G320" s="411">
        <f t="shared" si="33"/>
        <v>3072476</v>
      </c>
      <c r="H320" s="503">
        <f>'d3'!E333</f>
        <v>3072476</v>
      </c>
      <c r="I320" s="500">
        <f>'d3'!J333</f>
        <v>0</v>
      </c>
      <c r="J320" s="500">
        <f>'d3'!K333</f>
        <v>0</v>
      </c>
      <c r="K320" s="130"/>
      <c r="L320" s="130"/>
      <c r="M320" s="130"/>
    </row>
    <row r="321" spans="1:13" ht="276" hidden="1" thickTop="1" thickBot="1" x14ac:dyDescent="0.25">
      <c r="A321" s="39" t="s">
        <v>532</v>
      </c>
      <c r="B321" s="39" t="s">
        <v>533</v>
      </c>
      <c r="C321" s="39" t="s">
        <v>245</v>
      </c>
      <c r="D321" s="39" t="s">
        <v>534</v>
      </c>
      <c r="E321" s="199" t="s">
        <v>818</v>
      </c>
      <c r="F321" s="678" t="s">
        <v>819</v>
      </c>
      <c r="G321" s="71">
        <f t="shared" si="33"/>
        <v>0</v>
      </c>
      <c r="H321" s="199">
        <f>'d3'!E334</f>
        <v>0</v>
      </c>
      <c r="I321" s="212">
        <f>'d3'!J334</f>
        <v>0</v>
      </c>
      <c r="J321" s="212">
        <f>'d3'!K334</f>
        <v>0</v>
      </c>
      <c r="K321" s="130"/>
      <c r="L321" s="130"/>
      <c r="M321" s="130"/>
    </row>
    <row r="322" spans="1:13" ht="235.5" customHeight="1" thickTop="1" thickBot="1" x14ac:dyDescent="0.25">
      <c r="A322" s="94" t="s">
        <v>1273</v>
      </c>
      <c r="B322" s="94" t="s">
        <v>353</v>
      </c>
      <c r="C322" s="94" t="s">
        <v>42</v>
      </c>
      <c r="D322" s="94" t="s">
        <v>354</v>
      </c>
      <c r="E322" s="505" t="s">
        <v>1349</v>
      </c>
      <c r="F322" s="411" t="s">
        <v>1177</v>
      </c>
      <c r="G322" s="411">
        <f>H322+I322</f>
        <v>5000000</v>
      </c>
      <c r="H322" s="503">
        <f>'d3'!E337</f>
        <v>5000000</v>
      </c>
      <c r="I322" s="500">
        <f>'d3'!J337</f>
        <v>0</v>
      </c>
      <c r="J322" s="500">
        <f>'d3'!K337</f>
        <v>0</v>
      </c>
      <c r="K322" s="130"/>
      <c r="L322" s="130"/>
      <c r="M322" s="130"/>
    </row>
    <row r="323" spans="1:13" ht="223.5" customHeight="1" thickTop="1" thickBot="1" x14ac:dyDescent="0.25">
      <c r="A323" s="94" t="s">
        <v>1805</v>
      </c>
      <c r="B323" s="94" t="s">
        <v>497</v>
      </c>
      <c r="C323" s="94" t="s">
        <v>42</v>
      </c>
      <c r="D323" s="94" t="s">
        <v>498</v>
      </c>
      <c r="E323" s="505" t="s">
        <v>1349</v>
      </c>
      <c r="F323" s="411" t="s">
        <v>1177</v>
      </c>
      <c r="G323" s="411">
        <f>H323+I323</f>
        <v>100000</v>
      </c>
      <c r="H323" s="503">
        <f>'d3'!E338</f>
        <v>100000</v>
      </c>
      <c r="I323" s="500">
        <f>'d3'!J338</f>
        <v>0</v>
      </c>
      <c r="J323" s="500">
        <f>'d3'!K338</f>
        <v>0</v>
      </c>
      <c r="K323" s="130"/>
      <c r="L323" s="130"/>
      <c r="M323" s="130"/>
    </row>
    <row r="324" spans="1:13" ht="170.45" customHeight="1" thickTop="1" thickBot="1" x14ac:dyDescent="0.25">
      <c r="A324" s="514" t="s">
        <v>25</v>
      </c>
      <c r="B324" s="514"/>
      <c r="C324" s="514"/>
      <c r="D324" s="515" t="s">
        <v>848</v>
      </c>
      <c r="E324" s="515"/>
      <c r="F324" s="515"/>
      <c r="G324" s="516">
        <f>G325</f>
        <v>55025435</v>
      </c>
      <c r="H324" s="516">
        <f>H325</f>
        <v>1984185</v>
      </c>
      <c r="I324" s="516">
        <f>I325</f>
        <v>53041250</v>
      </c>
      <c r="J324" s="516">
        <f>J325</f>
        <v>53041250</v>
      </c>
      <c r="K324" s="130"/>
      <c r="L324" s="130"/>
      <c r="M324" s="130"/>
    </row>
    <row r="325" spans="1:13" ht="136.5" thickTop="1" thickBot="1" x14ac:dyDescent="0.25">
      <c r="A325" s="511" t="s">
        <v>26</v>
      </c>
      <c r="B325" s="511"/>
      <c r="C325" s="511"/>
      <c r="D325" s="512" t="s">
        <v>849</v>
      </c>
      <c r="E325" s="512"/>
      <c r="F325" s="512"/>
      <c r="G325" s="513">
        <f>SUM(G326:G348)</f>
        <v>55025435</v>
      </c>
      <c r="H325" s="513">
        <f>SUM(H326:H348)</f>
        <v>1984185</v>
      </c>
      <c r="I325" s="513">
        <f>SUM(I326:I348)</f>
        <v>53041250</v>
      </c>
      <c r="J325" s="513">
        <f>SUM(J326:J348)</f>
        <v>53041250</v>
      </c>
      <c r="K325" s="537" t="b">
        <f>H325='d3'!E340-'d3'!E342+H326-'d3'!F370</f>
        <v>1</v>
      </c>
      <c r="L325" s="538" t="b">
        <f>I325='d3'!J340+I326-'d3'!J370</f>
        <v>1</v>
      </c>
      <c r="M325" s="538" t="b">
        <f>J325='d3'!K340+J326-'d3'!K370</f>
        <v>1</v>
      </c>
    </row>
    <row r="326" spans="1:13" ht="138.75" hidden="1" thickTop="1" thickBot="1" x14ac:dyDescent="0.25">
      <c r="A326" s="119" t="s">
        <v>406</v>
      </c>
      <c r="B326" s="119" t="s">
        <v>231</v>
      </c>
      <c r="C326" s="119" t="s">
        <v>229</v>
      </c>
      <c r="D326" s="119" t="s">
        <v>230</v>
      </c>
      <c r="E326" s="195" t="s">
        <v>961</v>
      </c>
      <c r="F326" s="678" t="s">
        <v>817</v>
      </c>
      <c r="G326" s="179">
        <f t="shared" ref="G326" si="41">H326+I326</f>
        <v>0</v>
      </c>
      <c r="H326" s="179">
        <v>0</v>
      </c>
      <c r="I326" s="179">
        <v>0</v>
      </c>
      <c r="J326" s="179">
        <v>0</v>
      </c>
      <c r="K326" s="197"/>
      <c r="L326" s="197"/>
      <c r="M326" s="197"/>
    </row>
    <row r="327" spans="1:13" ht="276" hidden="1" thickTop="1" thickBot="1" x14ac:dyDescent="0.25">
      <c r="A327" s="119" t="s">
        <v>603</v>
      </c>
      <c r="B327" s="119" t="s">
        <v>352</v>
      </c>
      <c r="C327" s="119" t="s">
        <v>598</v>
      </c>
      <c r="D327" s="119" t="s">
        <v>599</v>
      </c>
      <c r="E327" s="195" t="s">
        <v>1151</v>
      </c>
      <c r="F327" s="678" t="s">
        <v>1152</v>
      </c>
      <c r="G327" s="179">
        <f t="shared" ref="G327:G332" si="42">H327+I327</f>
        <v>0</v>
      </c>
      <c r="H327" s="196">
        <f>'d3'!E343</f>
        <v>0</v>
      </c>
      <c r="I327" s="211">
        <v>0</v>
      </c>
      <c r="J327" s="211">
        <v>0</v>
      </c>
      <c r="K327" s="197"/>
      <c r="L327" s="197"/>
      <c r="M327" s="197"/>
    </row>
    <row r="328" spans="1:13" ht="177.75" customHeight="1" thickTop="1" thickBot="1" x14ac:dyDescent="0.25">
      <c r="A328" s="469" t="s">
        <v>879</v>
      </c>
      <c r="B328" s="469" t="s">
        <v>42</v>
      </c>
      <c r="C328" s="469" t="s">
        <v>41</v>
      </c>
      <c r="D328" s="469" t="s">
        <v>242</v>
      </c>
      <c r="E328" s="505" t="s">
        <v>1125</v>
      </c>
      <c r="F328" s="683" t="s">
        <v>1051</v>
      </c>
      <c r="G328" s="478">
        <f t="shared" si="42"/>
        <v>1684185</v>
      </c>
      <c r="H328" s="473">
        <f>'d3'!E344</f>
        <v>1684185</v>
      </c>
      <c r="I328" s="531">
        <f>'d3'!J344</f>
        <v>0</v>
      </c>
      <c r="J328" s="531">
        <f>'d3'!K344</f>
        <v>0</v>
      </c>
      <c r="K328" s="197"/>
      <c r="L328" s="197"/>
      <c r="M328" s="197"/>
    </row>
    <row r="329" spans="1:13" ht="321.75" thickTop="1" thickBot="1" x14ac:dyDescent="0.25">
      <c r="A329" s="94" t="s">
        <v>1358</v>
      </c>
      <c r="B329" s="94" t="s">
        <v>1359</v>
      </c>
      <c r="C329" s="94" t="s">
        <v>205</v>
      </c>
      <c r="D329" s="94" t="s">
        <v>1538</v>
      </c>
      <c r="E329" s="411" t="s">
        <v>1798</v>
      </c>
      <c r="F329" s="682" t="s">
        <v>1683</v>
      </c>
      <c r="G329" s="411">
        <f t="shared" ref="G329:G330" si="43">H329+I329</f>
        <v>10000000</v>
      </c>
      <c r="H329" s="503">
        <v>0</v>
      </c>
      <c r="I329" s="500">
        <v>10000000</v>
      </c>
      <c r="J329" s="500">
        <v>10000000</v>
      </c>
      <c r="K329" s="537" t="b">
        <f>H329+H330='d3'!E346</f>
        <v>1</v>
      </c>
      <c r="L329" s="538" t="b">
        <f>I329+I330='d3'!J346</f>
        <v>1</v>
      </c>
      <c r="M329" s="538" t="b">
        <f>J329+J330='d3'!K346</f>
        <v>1</v>
      </c>
    </row>
    <row r="330" spans="1:13" ht="198.75" customHeight="1" thickTop="1" thickBot="1" x14ac:dyDescent="0.25">
      <c r="A330" s="94" t="s">
        <v>1358</v>
      </c>
      <c r="B330" s="94" t="s">
        <v>1359</v>
      </c>
      <c r="C330" s="94" t="s">
        <v>205</v>
      </c>
      <c r="D330" s="94" t="s">
        <v>1538</v>
      </c>
      <c r="E330" s="505" t="s">
        <v>1507</v>
      </c>
      <c r="F330" s="682" t="s">
        <v>1687</v>
      </c>
      <c r="G330" s="411">
        <f t="shared" si="43"/>
        <v>11300000</v>
      </c>
      <c r="H330" s="503">
        <v>0</v>
      </c>
      <c r="I330" s="500">
        <f>(6300000)+6000000-1000000</f>
        <v>11300000</v>
      </c>
      <c r="J330" s="500">
        <f>(6300000)+6000000-1000000</f>
        <v>11300000</v>
      </c>
      <c r="K330" s="197"/>
      <c r="L330" s="197"/>
      <c r="M330" s="197"/>
    </row>
    <row r="331" spans="1:13" ht="138.75" hidden="1" thickTop="1" thickBot="1" x14ac:dyDescent="0.25">
      <c r="A331" s="119" t="s">
        <v>1114</v>
      </c>
      <c r="B331" s="119" t="s">
        <v>1080</v>
      </c>
      <c r="C331" s="119" t="s">
        <v>201</v>
      </c>
      <c r="D331" s="277" t="s">
        <v>1081</v>
      </c>
      <c r="E331" s="195" t="s">
        <v>1356</v>
      </c>
      <c r="F331" s="678" t="s">
        <v>1379</v>
      </c>
      <c r="G331" s="179">
        <f t="shared" si="42"/>
        <v>0</v>
      </c>
      <c r="H331" s="196">
        <f>'d3'!E350</f>
        <v>0</v>
      </c>
      <c r="I331" s="211">
        <f>'d3'!J350</f>
        <v>0</v>
      </c>
      <c r="J331" s="211">
        <f>'d3'!K350</f>
        <v>0</v>
      </c>
      <c r="K331" s="197"/>
      <c r="L331" s="197"/>
      <c r="M331" s="197"/>
    </row>
    <row r="332" spans="1:13" ht="138.75" thickTop="1" thickBot="1" x14ac:dyDescent="0.25">
      <c r="A332" s="94" t="s">
        <v>1555</v>
      </c>
      <c r="B332" s="94" t="s">
        <v>1459</v>
      </c>
      <c r="C332" s="94" t="s">
        <v>180</v>
      </c>
      <c r="D332" s="507" t="s">
        <v>1709</v>
      </c>
      <c r="E332" s="411" t="s">
        <v>1518</v>
      </c>
      <c r="F332" s="682" t="s">
        <v>1761</v>
      </c>
      <c r="G332" s="411">
        <f t="shared" si="42"/>
        <v>500000</v>
      </c>
      <c r="H332" s="411">
        <v>0</v>
      </c>
      <c r="I332" s="411">
        <v>500000</v>
      </c>
      <c r="J332" s="411">
        <v>500000</v>
      </c>
      <c r="K332" s="197"/>
      <c r="L332" s="197"/>
      <c r="M332" s="197"/>
    </row>
    <row r="333" spans="1:13" ht="184.5" thickTop="1" thickBot="1" x14ac:dyDescent="0.25">
      <c r="A333" s="94" t="s">
        <v>1544</v>
      </c>
      <c r="B333" s="94" t="s">
        <v>1545</v>
      </c>
      <c r="C333" s="94" t="s">
        <v>177</v>
      </c>
      <c r="D333" s="507" t="s">
        <v>1543</v>
      </c>
      <c r="E333" s="505" t="s">
        <v>1507</v>
      </c>
      <c r="F333" s="682" t="s">
        <v>1687</v>
      </c>
      <c r="G333" s="411">
        <f>H333+I333</f>
        <v>3689988</v>
      </c>
      <c r="H333" s="503">
        <v>0</v>
      </c>
      <c r="I333" s="500">
        <f>((1000000)+1836296)+853692</f>
        <v>3689988</v>
      </c>
      <c r="J333" s="500">
        <f>((1000000)+1836296)+853692</f>
        <v>3689988</v>
      </c>
      <c r="K333" s="197"/>
      <c r="L333" s="197"/>
      <c r="M333" s="197"/>
    </row>
    <row r="334" spans="1:13" ht="138.75" hidden="1" thickTop="1" thickBot="1" x14ac:dyDescent="0.25">
      <c r="A334" s="119" t="s">
        <v>1363</v>
      </c>
      <c r="B334" s="119" t="s">
        <v>1364</v>
      </c>
      <c r="C334" s="119" t="s">
        <v>177</v>
      </c>
      <c r="D334" s="277" t="s">
        <v>1362</v>
      </c>
      <c r="E334" s="195" t="s">
        <v>1356</v>
      </c>
      <c r="F334" s="678" t="s">
        <v>1379</v>
      </c>
      <c r="G334" s="179">
        <f t="shared" ref="G334" si="44">H334+I334</f>
        <v>0</v>
      </c>
      <c r="H334" s="196">
        <f>'d3'!E354</f>
        <v>0</v>
      </c>
      <c r="I334" s="211">
        <f>'d3'!J354</f>
        <v>0</v>
      </c>
      <c r="J334" s="211">
        <f>'d3'!K354</f>
        <v>0</v>
      </c>
      <c r="K334" s="197"/>
      <c r="L334" s="197"/>
      <c r="M334" s="197"/>
    </row>
    <row r="335" spans="1:13" ht="230.25" hidden="1" thickTop="1" thickBot="1" x14ac:dyDescent="0.25">
      <c r="A335" s="119" t="s">
        <v>422</v>
      </c>
      <c r="B335" s="119" t="s">
        <v>423</v>
      </c>
      <c r="C335" s="119" t="s">
        <v>190</v>
      </c>
      <c r="D335" s="119" t="s">
        <v>1062</v>
      </c>
      <c r="E335" s="195" t="s">
        <v>1356</v>
      </c>
      <c r="F335" s="678" t="s">
        <v>1379</v>
      </c>
      <c r="G335" s="179">
        <f>H335+I335</f>
        <v>0</v>
      </c>
      <c r="H335" s="179">
        <f>'d3'!E358</f>
        <v>0</v>
      </c>
      <c r="I335" s="179">
        <f>'d3'!J358</f>
        <v>0</v>
      </c>
      <c r="J335" s="179">
        <f>'d3'!K358</f>
        <v>0</v>
      </c>
      <c r="K335" s="130"/>
      <c r="L335" s="130"/>
      <c r="M335" s="130"/>
    </row>
    <row r="336" spans="1:13" ht="184.5" thickTop="1" thickBot="1" x14ac:dyDescent="0.25">
      <c r="A336" s="94" t="s">
        <v>1548</v>
      </c>
      <c r="B336" s="94" t="s">
        <v>1455</v>
      </c>
      <c r="C336" s="94" t="s">
        <v>190</v>
      </c>
      <c r="D336" s="94" t="s">
        <v>1549</v>
      </c>
      <c r="E336" s="505" t="s">
        <v>1507</v>
      </c>
      <c r="F336" s="682" t="s">
        <v>1687</v>
      </c>
      <c r="G336" s="411">
        <f>H336+I336</f>
        <v>3315815</v>
      </c>
      <c r="H336" s="411">
        <v>0</v>
      </c>
      <c r="I336" s="411">
        <f>(5000000)-1684185</f>
        <v>3315815</v>
      </c>
      <c r="J336" s="411">
        <f>(5000000)-1684185</f>
        <v>3315815</v>
      </c>
      <c r="K336" s="130"/>
      <c r="L336" s="130"/>
      <c r="M336" s="130"/>
    </row>
    <row r="337" spans="1:13" ht="184.5" hidden="1" thickTop="1" thickBot="1" x14ac:dyDescent="0.25">
      <c r="A337" s="94" t="s">
        <v>1560</v>
      </c>
      <c r="B337" s="94" t="s">
        <v>1354</v>
      </c>
      <c r="C337" s="94" t="s">
        <v>1039</v>
      </c>
      <c r="D337" s="94" t="s">
        <v>1529</v>
      </c>
      <c r="E337" s="505" t="s">
        <v>1507</v>
      </c>
      <c r="F337" s="678"/>
      <c r="G337" s="411">
        <f>H337+I337</f>
        <v>0</v>
      </c>
      <c r="H337" s="411">
        <v>0</v>
      </c>
      <c r="I337" s="411">
        <v>0</v>
      </c>
      <c r="J337" s="411">
        <v>0</v>
      </c>
      <c r="K337" s="130"/>
      <c r="L337" s="130"/>
      <c r="M337" s="130"/>
    </row>
    <row r="338" spans="1:13" ht="138.75" hidden="1" thickTop="1" thickBot="1" x14ac:dyDescent="0.25">
      <c r="A338" s="119" t="s">
        <v>303</v>
      </c>
      <c r="B338" s="119" t="s">
        <v>304</v>
      </c>
      <c r="C338" s="119" t="s">
        <v>298</v>
      </c>
      <c r="D338" s="119" t="s">
        <v>1277</v>
      </c>
      <c r="E338" s="195" t="s">
        <v>1210</v>
      </c>
      <c r="F338" s="678" t="s">
        <v>1054</v>
      </c>
      <c r="G338" s="179">
        <f t="shared" ref="G338:G348" si="45">H338+I338</f>
        <v>0</v>
      </c>
      <c r="H338" s="179">
        <v>0</v>
      </c>
      <c r="I338" s="179">
        <v>0</v>
      </c>
      <c r="J338" s="179">
        <v>0</v>
      </c>
      <c r="K338" s="130"/>
      <c r="L338" s="130"/>
      <c r="M338" s="130"/>
    </row>
    <row r="339" spans="1:13" ht="138.75" hidden="1" thickTop="1" thickBot="1" x14ac:dyDescent="0.25">
      <c r="A339" s="119" t="s">
        <v>305</v>
      </c>
      <c r="B339" s="119" t="s">
        <v>306</v>
      </c>
      <c r="C339" s="119" t="s">
        <v>298</v>
      </c>
      <c r="D339" s="119" t="s">
        <v>1115</v>
      </c>
      <c r="E339" s="195" t="s">
        <v>1048</v>
      </c>
      <c r="F339" s="678" t="s">
        <v>1049</v>
      </c>
      <c r="G339" s="179">
        <f t="shared" si="45"/>
        <v>0</v>
      </c>
      <c r="H339" s="179"/>
      <c r="I339" s="179"/>
      <c r="J339" s="179">
        <f>I339</f>
        <v>0</v>
      </c>
      <c r="K339" s="130"/>
      <c r="L339" s="130"/>
      <c r="M339" s="130"/>
    </row>
    <row r="340" spans="1:13" ht="138.75" hidden="1" thickTop="1" thickBot="1" x14ac:dyDescent="0.25">
      <c r="A340" s="119" t="s">
        <v>307</v>
      </c>
      <c r="B340" s="119" t="s">
        <v>308</v>
      </c>
      <c r="C340" s="119" t="s">
        <v>298</v>
      </c>
      <c r="D340" s="119" t="s">
        <v>1279</v>
      </c>
      <c r="E340" s="195" t="s">
        <v>1141</v>
      </c>
      <c r="F340" s="678" t="s">
        <v>1142</v>
      </c>
      <c r="G340" s="179">
        <f t="shared" si="45"/>
        <v>0</v>
      </c>
      <c r="H340" s="179">
        <v>0</v>
      </c>
      <c r="I340" s="179">
        <v>0</v>
      </c>
      <c r="J340" s="179">
        <v>0</v>
      </c>
      <c r="K340" s="130"/>
      <c r="L340" s="130"/>
      <c r="M340" s="130"/>
    </row>
    <row r="341" spans="1:13" ht="184.5" hidden="1" thickTop="1" thickBot="1" x14ac:dyDescent="0.25">
      <c r="A341" s="119" t="s">
        <v>307</v>
      </c>
      <c r="B341" s="119" t="s">
        <v>308</v>
      </c>
      <c r="C341" s="119" t="s">
        <v>298</v>
      </c>
      <c r="D341" s="469" t="s">
        <v>1525</v>
      </c>
      <c r="E341" s="195" t="s">
        <v>1243</v>
      </c>
      <c r="F341" s="678" t="s">
        <v>1244</v>
      </c>
      <c r="G341" s="179">
        <f t="shared" si="45"/>
        <v>0</v>
      </c>
      <c r="H341" s="179">
        <v>0</v>
      </c>
      <c r="I341" s="179">
        <v>0</v>
      </c>
      <c r="J341" s="179">
        <v>0</v>
      </c>
      <c r="K341" s="130"/>
      <c r="L341" s="130"/>
      <c r="M341" s="130"/>
    </row>
    <row r="342" spans="1:13" ht="184.5" thickTop="1" thickBot="1" x14ac:dyDescent="0.25">
      <c r="A342" s="469" t="s">
        <v>307</v>
      </c>
      <c r="B342" s="469" t="s">
        <v>308</v>
      </c>
      <c r="C342" s="469" t="s">
        <v>165</v>
      </c>
      <c r="D342" s="469" t="s">
        <v>1525</v>
      </c>
      <c r="E342" s="505" t="s">
        <v>1507</v>
      </c>
      <c r="F342" s="682" t="s">
        <v>1687</v>
      </c>
      <c r="G342" s="478">
        <f t="shared" si="45"/>
        <v>348938</v>
      </c>
      <c r="H342" s="478">
        <v>0</v>
      </c>
      <c r="I342" s="478">
        <f>(300000)+48938</f>
        <v>348938</v>
      </c>
      <c r="J342" s="478">
        <f>(300000)+48938</f>
        <v>348938</v>
      </c>
      <c r="K342" s="130"/>
      <c r="L342" s="130"/>
      <c r="M342" s="130"/>
    </row>
    <row r="343" spans="1:13" ht="184.5" thickTop="1" thickBot="1" x14ac:dyDescent="0.25">
      <c r="A343" s="469" t="s">
        <v>307</v>
      </c>
      <c r="B343" s="469" t="s">
        <v>308</v>
      </c>
      <c r="C343" s="469" t="s">
        <v>165</v>
      </c>
      <c r="D343" s="469" t="s">
        <v>1525</v>
      </c>
      <c r="E343" s="477" t="s">
        <v>1211</v>
      </c>
      <c r="F343" s="684" t="s">
        <v>414</v>
      </c>
      <c r="G343" s="478">
        <f t="shared" si="45"/>
        <v>22919809</v>
      </c>
      <c r="H343" s="478">
        <v>0</v>
      </c>
      <c r="I343" s="478">
        <f>((10000000+600000)+10000000+25000+2000000)+294809</f>
        <v>22919809</v>
      </c>
      <c r="J343" s="478">
        <f>((10000000+600000)+10000000+25000+2000000)+294809</f>
        <v>22919809</v>
      </c>
      <c r="K343" s="130"/>
      <c r="L343" s="130"/>
      <c r="M343" s="130"/>
    </row>
    <row r="344" spans="1:13" ht="138.75" hidden="1" thickTop="1" thickBot="1" x14ac:dyDescent="0.25">
      <c r="A344" s="119" t="s">
        <v>426</v>
      </c>
      <c r="B344" s="119" t="s">
        <v>341</v>
      </c>
      <c r="C344" s="119" t="s">
        <v>165</v>
      </c>
      <c r="D344" s="119" t="s">
        <v>256</v>
      </c>
      <c r="E344" s="195" t="s">
        <v>1034</v>
      </c>
      <c r="F344" s="678"/>
      <c r="G344" s="179">
        <f t="shared" si="45"/>
        <v>0</v>
      </c>
      <c r="H344" s="179">
        <f>'d3'!E367</f>
        <v>0</v>
      </c>
      <c r="I344" s="179">
        <f>'d3'!J367</f>
        <v>0</v>
      </c>
      <c r="J344" s="179">
        <f>'d3'!K367</f>
        <v>0</v>
      </c>
      <c r="K344" s="130"/>
      <c r="L344" s="130"/>
      <c r="M344" s="130"/>
    </row>
    <row r="345" spans="1:13" ht="184.5" thickTop="1" thickBot="1" x14ac:dyDescent="0.25">
      <c r="A345" s="469" t="s">
        <v>1789</v>
      </c>
      <c r="B345" s="469" t="s">
        <v>1534</v>
      </c>
      <c r="C345" s="469" t="s">
        <v>289</v>
      </c>
      <c r="D345" s="469" t="s">
        <v>1532</v>
      </c>
      <c r="E345" s="505" t="s">
        <v>1507</v>
      </c>
      <c r="F345" s="682" t="s">
        <v>1687</v>
      </c>
      <c r="G345" s="411">
        <f t="shared" si="45"/>
        <v>966700</v>
      </c>
      <c r="H345" s="411">
        <f>'d3'!E371</f>
        <v>0</v>
      </c>
      <c r="I345" s="411">
        <f>'d3'!J371</f>
        <v>966700</v>
      </c>
      <c r="J345" s="411">
        <f>'d3'!K371</f>
        <v>966700</v>
      </c>
      <c r="K345" s="130"/>
      <c r="L345" s="130"/>
      <c r="M345" s="130"/>
    </row>
    <row r="346" spans="1:13" ht="276" hidden="1" thickTop="1" thickBot="1" x14ac:dyDescent="0.7">
      <c r="A346" s="805" t="s">
        <v>927</v>
      </c>
      <c r="B346" s="805" t="s">
        <v>329</v>
      </c>
      <c r="C346" s="805" t="s">
        <v>165</v>
      </c>
      <c r="D346" s="144" t="s">
        <v>429</v>
      </c>
      <c r="E346" s="805" t="s">
        <v>1034</v>
      </c>
      <c r="F346" s="905"/>
      <c r="G346" s="179">
        <f t="shared" si="45"/>
        <v>0</v>
      </c>
      <c r="H346" s="772">
        <f>'d3'!E374</f>
        <v>0</v>
      </c>
      <c r="I346" s="772">
        <f>'d3'!J374</f>
        <v>0</v>
      </c>
      <c r="J346" s="772">
        <f>'d3'!K374</f>
        <v>0</v>
      </c>
      <c r="K346" s="130"/>
      <c r="L346" s="130"/>
      <c r="M346" s="130"/>
    </row>
    <row r="347" spans="1:13" ht="138.75" hidden="1" thickTop="1" thickBot="1" x14ac:dyDescent="0.25">
      <c r="A347" s="805"/>
      <c r="B347" s="805"/>
      <c r="C347" s="805"/>
      <c r="D347" s="145" t="s">
        <v>430</v>
      </c>
      <c r="E347" s="805"/>
      <c r="F347" s="905"/>
      <c r="G347" s="179">
        <f t="shared" si="45"/>
        <v>0</v>
      </c>
      <c r="H347" s="810"/>
      <c r="I347" s="810"/>
      <c r="J347" s="810"/>
      <c r="K347" s="130"/>
      <c r="L347" s="130"/>
      <c r="M347" s="130"/>
    </row>
    <row r="348" spans="1:13" ht="138.75" thickTop="1" thickBot="1" x14ac:dyDescent="0.25">
      <c r="A348" s="469" t="s">
        <v>1073</v>
      </c>
      <c r="B348" s="469" t="s">
        <v>251</v>
      </c>
      <c r="C348" s="469" t="s">
        <v>165</v>
      </c>
      <c r="D348" s="696" t="s">
        <v>249</v>
      </c>
      <c r="E348" s="505" t="s">
        <v>1507</v>
      </c>
      <c r="F348" s="682" t="s">
        <v>1687</v>
      </c>
      <c r="G348" s="478">
        <f t="shared" si="45"/>
        <v>300000</v>
      </c>
      <c r="H348" s="478">
        <v>300000</v>
      </c>
      <c r="I348" s="478">
        <v>0</v>
      </c>
      <c r="J348" s="478">
        <v>0</v>
      </c>
      <c r="K348" s="130"/>
      <c r="L348" s="130"/>
      <c r="M348" s="130"/>
    </row>
    <row r="349" spans="1:13" ht="136.5" thickTop="1" thickBot="1" x14ac:dyDescent="0.25">
      <c r="A349" s="514" t="s">
        <v>155</v>
      </c>
      <c r="B349" s="514"/>
      <c r="C349" s="514"/>
      <c r="D349" s="515" t="s">
        <v>850</v>
      </c>
      <c r="E349" s="515"/>
      <c r="F349" s="515"/>
      <c r="G349" s="516">
        <f>G350</f>
        <v>1344900</v>
      </c>
      <c r="H349" s="516">
        <f t="shared" ref="H349:J349" si="46">H350</f>
        <v>104900</v>
      </c>
      <c r="I349" s="516">
        <f t="shared" si="46"/>
        <v>1240000</v>
      </c>
      <c r="J349" s="516">
        <f t="shared" si="46"/>
        <v>1240000</v>
      </c>
      <c r="K349" s="538" t="b">
        <f>H349='d3'!E378-'d3'!E380+H351</f>
        <v>1</v>
      </c>
      <c r="L349" s="538" t="b">
        <f>I349='d3'!J378-'d3'!J380+'d7'!I351</f>
        <v>1</v>
      </c>
      <c r="M349" s="538" t="b">
        <f>J349='d3'!K378-'d3'!K380+'d7'!J351</f>
        <v>1</v>
      </c>
    </row>
    <row r="350" spans="1:13" ht="170.45" customHeight="1" thickTop="1" thickBot="1" x14ac:dyDescent="0.25">
      <c r="A350" s="511" t="s">
        <v>156</v>
      </c>
      <c r="B350" s="511"/>
      <c r="C350" s="511"/>
      <c r="D350" s="512" t="s">
        <v>855</v>
      </c>
      <c r="E350" s="512"/>
      <c r="F350" s="512"/>
      <c r="G350" s="513">
        <f>SUM(G351:G356)</f>
        <v>1344900</v>
      </c>
      <c r="H350" s="513">
        <f>SUM(H351:H356)</f>
        <v>104900</v>
      </c>
      <c r="I350" s="513">
        <f>SUM(I351:I356)</f>
        <v>1240000</v>
      </c>
      <c r="J350" s="513">
        <f>SUM(J351:J356)</f>
        <v>1240000</v>
      </c>
      <c r="K350" s="130"/>
      <c r="L350" s="130"/>
      <c r="M350" s="130"/>
    </row>
    <row r="351" spans="1:13" ht="138.75" hidden="1" thickTop="1" thickBot="1" x14ac:dyDescent="0.25">
      <c r="A351" s="119" t="s">
        <v>408</v>
      </c>
      <c r="B351" s="119" t="s">
        <v>231</v>
      </c>
      <c r="C351" s="119" t="s">
        <v>229</v>
      </c>
      <c r="D351" s="119" t="s">
        <v>230</v>
      </c>
      <c r="E351" s="195" t="s">
        <v>961</v>
      </c>
      <c r="F351" s="678" t="s">
        <v>817</v>
      </c>
      <c r="G351" s="179">
        <f>H351+I351</f>
        <v>0</v>
      </c>
      <c r="H351" s="179">
        <v>0</v>
      </c>
      <c r="I351" s="179"/>
      <c r="J351" s="179"/>
      <c r="K351" s="130"/>
      <c r="L351" s="130"/>
      <c r="M351" s="130"/>
    </row>
    <row r="352" spans="1:13" ht="276" thickTop="1" thickBot="1" x14ac:dyDescent="0.25">
      <c r="A352" s="94" t="s">
        <v>604</v>
      </c>
      <c r="B352" s="94" t="s">
        <v>352</v>
      </c>
      <c r="C352" s="94" t="s">
        <v>598</v>
      </c>
      <c r="D352" s="94" t="s">
        <v>599</v>
      </c>
      <c r="E352" s="505" t="s">
        <v>1774</v>
      </c>
      <c r="F352" s="683" t="s">
        <v>1775</v>
      </c>
      <c r="G352" s="411">
        <f t="shared" ref="G352:G356" si="47">H352+I352</f>
        <v>5000</v>
      </c>
      <c r="H352" s="503">
        <f>'d3'!E381</f>
        <v>5000</v>
      </c>
      <c r="I352" s="500">
        <v>0</v>
      </c>
      <c r="J352" s="500">
        <v>0</v>
      </c>
      <c r="K352" s="130"/>
      <c r="L352" s="130"/>
      <c r="M352" s="130"/>
    </row>
    <row r="353" spans="1:13" ht="206.25" customHeight="1" thickTop="1" thickBot="1" x14ac:dyDescent="0.25">
      <c r="A353" s="94" t="s">
        <v>1129</v>
      </c>
      <c r="B353" s="94" t="s">
        <v>42</v>
      </c>
      <c r="C353" s="94" t="s">
        <v>41</v>
      </c>
      <c r="D353" s="94" t="s">
        <v>242</v>
      </c>
      <c r="E353" s="505" t="s">
        <v>1507</v>
      </c>
      <c r="F353" s="683" t="s">
        <v>1687</v>
      </c>
      <c r="G353" s="411">
        <f t="shared" si="47"/>
        <v>99900</v>
      </c>
      <c r="H353" s="503">
        <f>'d3'!E382</f>
        <v>99900</v>
      </c>
      <c r="I353" s="500">
        <f>'d3'!J382</f>
        <v>0</v>
      </c>
      <c r="J353" s="500">
        <f>'d3'!K382</f>
        <v>0</v>
      </c>
      <c r="K353" s="130"/>
      <c r="L353" s="130"/>
      <c r="M353" s="130"/>
    </row>
    <row r="354" spans="1:13" ht="184.5" thickTop="1" thickBot="1" x14ac:dyDescent="0.25">
      <c r="A354" s="94" t="s">
        <v>1524</v>
      </c>
      <c r="B354" s="94" t="s">
        <v>308</v>
      </c>
      <c r="C354" s="94" t="s">
        <v>165</v>
      </c>
      <c r="D354" s="94" t="s">
        <v>1525</v>
      </c>
      <c r="E354" s="505" t="s">
        <v>1507</v>
      </c>
      <c r="F354" s="682" t="s">
        <v>1687</v>
      </c>
      <c r="G354" s="411">
        <f t="shared" si="47"/>
        <v>1140000</v>
      </c>
      <c r="H354" s="503">
        <v>0</v>
      </c>
      <c r="I354" s="500">
        <f>(500000)+640000</f>
        <v>1140000</v>
      </c>
      <c r="J354" s="500">
        <f>(500000)+640000</f>
        <v>1140000</v>
      </c>
      <c r="K354" s="130"/>
      <c r="L354" s="130"/>
      <c r="M354" s="130"/>
    </row>
    <row r="355" spans="1:13" ht="138.75" thickTop="1" thickBot="1" x14ac:dyDescent="0.25">
      <c r="A355" s="94" t="s">
        <v>867</v>
      </c>
      <c r="B355" s="94" t="s">
        <v>868</v>
      </c>
      <c r="C355" s="94" t="s">
        <v>298</v>
      </c>
      <c r="D355" s="94" t="s">
        <v>869</v>
      </c>
      <c r="E355" s="505" t="s">
        <v>1507</v>
      </c>
      <c r="F355" s="682" t="s">
        <v>1687</v>
      </c>
      <c r="G355" s="411">
        <f t="shared" si="47"/>
        <v>100000</v>
      </c>
      <c r="H355" s="503">
        <f>'d3'!E386</f>
        <v>0</v>
      </c>
      <c r="I355" s="500">
        <f>'d3'!J386</f>
        <v>100000</v>
      </c>
      <c r="J355" s="500">
        <f>'d3'!K386</f>
        <v>100000</v>
      </c>
      <c r="K355" s="130"/>
      <c r="L355" s="130"/>
      <c r="M355" s="130"/>
    </row>
    <row r="356" spans="1:13" ht="138.75" hidden="1" thickTop="1" thickBot="1" x14ac:dyDescent="0.25">
      <c r="A356" s="94" t="s">
        <v>1366</v>
      </c>
      <c r="B356" s="94" t="s">
        <v>1368</v>
      </c>
      <c r="C356" s="94" t="s">
        <v>298</v>
      </c>
      <c r="D356" s="94" t="s">
        <v>1367</v>
      </c>
      <c r="E356" s="505" t="s">
        <v>1507</v>
      </c>
      <c r="F356" s="678"/>
      <c r="G356" s="411">
        <f t="shared" si="47"/>
        <v>0</v>
      </c>
      <c r="H356" s="503">
        <f>'d3'!E387</f>
        <v>0</v>
      </c>
      <c r="I356" s="500">
        <f>'d3'!J387</f>
        <v>0</v>
      </c>
      <c r="J356" s="500">
        <f>'d3'!K387</f>
        <v>0</v>
      </c>
      <c r="K356" s="130"/>
      <c r="L356" s="130"/>
      <c r="M356" s="130"/>
    </row>
    <row r="357" spans="1:13" ht="170.45" customHeight="1" thickTop="1" thickBot="1" x14ac:dyDescent="0.25">
      <c r="A357" s="514" t="s">
        <v>433</v>
      </c>
      <c r="B357" s="514"/>
      <c r="C357" s="514"/>
      <c r="D357" s="515" t="s">
        <v>435</v>
      </c>
      <c r="E357" s="515"/>
      <c r="F357" s="515"/>
      <c r="G357" s="516">
        <f>G358</f>
        <v>214714552.28999999</v>
      </c>
      <c r="H357" s="516">
        <f t="shared" ref="H357:J357" si="48">H358</f>
        <v>207214552.28999999</v>
      </c>
      <c r="I357" s="516">
        <f t="shared" si="48"/>
        <v>7500000</v>
      </c>
      <c r="J357" s="516">
        <f t="shared" si="48"/>
        <v>7500000</v>
      </c>
      <c r="K357" s="130"/>
      <c r="L357" s="130"/>
      <c r="M357" s="130"/>
    </row>
    <row r="358" spans="1:13" ht="170.45" customHeight="1" thickTop="1" thickBot="1" x14ac:dyDescent="0.25">
      <c r="A358" s="511" t="s">
        <v>434</v>
      </c>
      <c r="B358" s="511"/>
      <c r="C358" s="511"/>
      <c r="D358" s="512" t="s">
        <v>436</v>
      </c>
      <c r="E358" s="512"/>
      <c r="F358" s="512"/>
      <c r="G358" s="513">
        <f>SUM(G359:G371)</f>
        <v>214714552.28999999</v>
      </c>
      <c r="H358" s="513">
        <f>SUM(H359:H371)</f>
        <v>207214552.28999999</v>
      </c>
      <c r="I358" s="513">
        <f>SUM(I359:I371)</f>
        <v>7500000</v>
      </c>
      <c r="J358" s="513">
        <f>SUM(J359:J371)</f>
        <v>7500000</v>
      </c>
      <c r="K358" s="537" t="b">
        <f>H358='d3'!E389-'d3'!E391+'d7'!H359+H360</f>
        <v>1</v>
      </c>
      <c r="L358" s="538" t="b">
        <f>I358='d3'!J389-'d3'!J391+'d7'!I359+I360</f>
        <v>1</v>
      </c>
      <c r="M358" s="538" t="b">
        <f>J358='d3'!K389-'d3'!K391+'d7'!J359+J360</f>
        <v>1</v>
      </c>
    </row>
    <row r="359" spans="1:13" ht="189.75" customHeight="1" thickTop="1" thickBot="1" x14ac:dyDescent="0.25">
      <c r="A359" s="469" t="s">
        <v>437</v>
      </c>
      <c r="B359" s="469" t="s">
        <v>231</v>
      </c>
      <c r="C359" s="469" t="s">
        <v>229</v>
      </c>
      <c r="D359" s="469" t="s">
        <v>1515</v>
      </c>
      <c r="E359" s="477" t="s">
        <v>1565</v>
      </c>
      <c r="F359" s="682" t="s">
        <v>817</v>
      </c>
      <c r="G359" s="478">
        <f>H359+I359</f>
        <v>55255</v>
      </c>
      <c r="H359" s="473">
        <v>55255</v>
      </c>
      <c r="I359" s="478">
        <v>0</v>
      </c>
      <c r="J359" s="478">
        <v>0</v>
      </c>
      <c r="K359" s="130"/>
      <c r="L359" s="130"/>
      <c r="M359" s="130"/>
    </row>
    <row r="360" spans="1:13" ht="184.5" thickTop="1" thickBot="1" x14ac:dyDescent="0.25">
      <c r="A360" s="469" t="s">
        <v>437</v>
      </c>
      <c r="B360" s="469" t="s">
        <v>231</v>
      </c>
      <c r="C360" s="469" t="s">
        <v>229</v>
      </c>
      <c r="D360" s="469" t="s">
        <v>1515</v>
      </c>
      <c r="E360" s="94" t="s">
        <v>1350</v>
      </c>
      <c r="F360" s="683" t="s">
        <v>1351</v>
      </c>
      <c r="G360" s="478">
        <f>H360+I360</f>
        <v>456240</v>
      </c>
      <c r="H360" s="473">
        <f>137340+18900+300000</f>
        <v>456240</v>
      </c>
      <c r="I360" s="478">
        <v>0</v>
      </c>
      <c r="J360" s="478">
        <v>0</v>
      </c>
      <c r="K360" s="130"/>
      <c r="L360" s="130"/>
      <c r="M360" s="130"/>
    </row>
    <row r="361" spans="1:13" ht="276" hidden="1" thickTop="1" thickBot="1" x14ac:dyDescent="0.25">
      <c r="A361" s="119" t="s">
        <v>605</v>
      </c>
      <c r="B361" s="119" t="s">
        <v>352</v>
      </c>
      <c r="C361" s="119" t="s">
        <v>598</v>
      </c>
      <c r="D361" s="119" t="s">
        <v>599</v>
      </c>
      <c r="E361" s="195" t="s">
        <v>1151</v>
      </c>
      <c r="F361" s="678" t="s">
        <v>1152</v>
      </c>
      <c r="G361" s="179">
        <f t="shared" ref="G361:G366" si="49">H361+I361</f>
        <v>0</v>
      </c>
      <c r="H361" s="196">
        <f>'d3'!E392</f>
        <v>0</v>
      </c>
      <c r="I361" s="211">
        <f>'d3'!J392</f>
        <v>0</v>
      </c>
      <c r="J361" s="211">
        <f>'d3'!K392</f>
        <v>0</v>
      </c>
      <c r="K361" s="130"/>
      <c r="L361" s="130"/>
      <c r="M361" s="130"/>
    </row>
    <row r="362" spans="1:13" ht="184.5" hidden="1" thickTop="1" thickBot="1" x14ac:dyDescent="0.25">
      <c r="A362" s="94" t="s">
        <v>1563</v>
      </c>
      <c r="B362" s="94" t="s">
        <v>308</v>
      </c>
      <c r="C362" s="94" t="s">
        <v>165</v>
      </c>
      <c r="D362" s="94" t="s">
        <v>1525</v>
      </c>
      <c r="E362" s="505" t="s">
        <v>1695</v>
      </c>
      <c r="F362" s="682" t="s">
        <v>1696</v>
      </c>
      <c r="G362" s="411">
        <f t="shared" si="49"/>
        <v>0</v>
      </c>
      <c r="H362" s="473">
        <v>0</v>
      </c>
      <c r="I362" s="531">
        <v>0</v>
      </c>
      <c r="J362" s="531">
        <v>0</v>
      </c>
      <c r="K362" s="130"/>
      <c r="L362" s="130"/>
      <c r="M362" s="130"/>
    </row>
    <row r="363" spans="1:13" ht="135" customHeight="1" thickTop="1" thickBot="1" x14ac:dyDescent="0.25">
      <c r="A363" s="94" t="s">
        <v>452</v>
      </c>
      <c r="B363" s="94" t="s">
        <v>401</v>
      </c>
      <c r="C363" s="94" t="s">
        <v>402</v>
      </c>
      <c r="D363" s="94" t="s">
        <v>403</v>
      </c>
      <c r="E363" s="94" t="s">
        <v>1561</v>
      </c>
      <c r="F363" s="682" t="s">
        <v>1682</v>
      </c>
      <c r="G363" s="411">
        <f t="shared" si="49"/>
        <v>1100000</v>
      </c>
      <c r="H363" s="503">
        <f>(600000)+500000</f>
        <v>1100000</v>
      </c>
      <c r="I363" s="500">
        <f>'d3'!J398</f>
        <v>0</v>
      </c>
      <c r="J363" s="500">
        <f>'d3'!K398</f>
        <v>0</v>
      </c>
      <c r="K363" s="537" t="b">
        <f>H363+H364='d3'!E398</f>
        <v>1</v>
      </c>
      <c r="L363" s="538" t="b">
        <f>I363+I364='d3'!J398</f>
        <v>1</v>
      </c>
      <c r="M363" s="538" t="b">
        <f>J363+J364='d3'!K398</f>
        <v>1</v>
      </c>
    </row>
    <row r="364" spans="1:13" ht="184.5" thickTop="1" thickBot="1" x14ac:dyDescent="0.25">
      <c r="A364" s="94" t="s">
        <v>452</v>
      </c>
      <c r="B364" s="94" t="s">
        <v>401</v>
      </c>
      <c r="C364" s="94" t="s">
        <v>402</v>
      </c>
      <c r="D364" s="94" t="s">
        <v>403</v>
      </c>
      <c r="E364" s="94" t="s">
        <v>1350</v>
      </c>
      <c r="F364" s="683" t="s">
        <v>1351</v>
      </c>
      <c r="G364" s="411">
        <f t="shared" si="49"/>
        <v>6200000</v>
      </c>
      <c r="H364" s="503">
        <f>(2000000)+4200000</f>
        <v>6200000</v>
      </c>
      <c r="I364" s="500">
        <v>0</v>
      </c>
      <c r="J364" s="500">
        <v>0</v>
      </c>
      <c r="K364" s="130"/>
      <c r="L364" s="130"/>
      <c r="M364" s="130"/>
    </row>
    <row r="365" spans="1:13" ht="138.75" thickTop="1" thickBot="1" x14ac:dyDescent="0.25">
      <c r="A365" s="94" t="s">
        <v>453</v>
      </c>
      <c r="B365" s="94" t="s">
        <v>285</v>
      </c>
      <c r="C365" s="94" t="s">
        <v>1182</v>
      </c>
      <c r="D365" s="94" t="s">
        <v>286</v>
      </c>
      <c r="E365" s="505" t="s">
        <v>1695</v>
      </c>
      <c r="F365" s="682" t="s">
        <v>1696</v>
      </c>
      <c r="G365" s="411">
        <f t="shared" si="49"/>
        <v>197518293.47999999</v>
      </c>
      <c r="H365" s="503">
        <f>'d3'!E400</f>
        <v>197518293.47999999</v>
      </c>
      <c r="I365" s="500">
        <f>'d3'!J400</f>
        <v>0</v>
      </c>
      <c r="J365" s="500">
        <f>'d3'!K400</f>
        <v>0</v>
      </c>
      <c r="K365" s="130"/>
      <c r="L365" s="130"/>
      <c r="M365" s="130"/>
    </row>
    <row r="366" spans="1:13" ht="184.5" thickTop="1" thickBot="1" x14ac:dyDescent="0.25">
      <c r="A366" s="94" t="s">
        <v>1734</v>
      </c>
      <c r="B366" s="94" t="s">
        <v>1735</v>
      </c>
      <c r="C366" s="94" t="s">
        <v>1182</v>
      </c>
      <c r="D366" s="94" t="s">
        <v>1736</v>
      </c>
      <c r="E366" s="505" t="s">
        <v>1695</v>
      </c>
      <c r="F366" s="682" t="s">
        <v>1696</v>
      </c>
      <c r="G366" s="411">
        <f t="shared" si="49"/>
        <v>7000000</v>
      </c>
      <c r="H366" s="693">
        <v>0</v>
      </c>
      <c r="I366" s="499">
        <f>(3000000)+4000000</f>
        <v>7000000</v>
      </c>
      <c r="J366" s="499">
        <f>(3000000)+4000000</f>
        <v>7000000</v>
      </c>
      <c r="K366" s="130"/>
      <c r="L366" s="130"/>
      <c r="M366" s="130"/>
    </row>
    <row r="367" spans="1:13" ht="184.5" thickTop="1" thickBot="1" x14ac:dyDescent="0.25">
      <c r="A367" s="689" t="s">
        <v>1012</v>
      </c>
      <c r="B367" s="689" t="s">
        <v>1013</v>
      </c>
      <c r="C367" s="689" t="s">
        <v>289</v>
      </c>
      <c r="D367" s="689" t="s">
        <v>1011</v>
      </c>
      <c r="E367" s="94" t="s">
        <v>1350</v>
      </c>
      <c r="F367" s="683" t="s">
        <v>1351</v>
      </c>
      <c r="G367" s="525">
        <f>H367+I367</f>
        <v>314763.81</v>
      </c>
      <c r="H367" s="693">
        <f>(25000)+289763.81</f>
        <v>314763.81</v>
      </c>
      <c r="I367" s="499">
        <v>0</v>
      </c>
      <c r="J367" s="499">
        <v>0</v>
      </c>
      <c r="K367" s="130"/>
      <c r="L367" s="130"/>
      <c r="M367" s="130"/>
    </row>
    <row r="368" spans="1:13" ht="138.75" hidden="1" customHeight="1" thickTop="1" thickBot="1" x14ac:dyDescent="0.25">
      <c r="A368" s="119" t="s">
        <v>1058</v>
      </c>
      <c r="B368" s="119" t="s">
        <v>192</v>
      </c>
      <c r="C368" s="119" t="s">
        <v>165</v>
      </c>
      <c r="D368" s="119" t="s">
        <v>1059</v>
      </c>
      <c r="E368" s="195" t="s">
        <v>1227</v>
      </c>
      <c r="F368" s="678" t="s">
        <v>473</v>
      </c>
      <c r="G368" s="179">
        <f t="shared" ref="G368:G369" si="50">H368+I368</f>
        <v>0</v>
      </c>
      <c r="H368" s="196">
        <f>'d3'!E404-H369</f>
        <v>0</v>
      </c>
      <c r="I368" s="211">
        <v>0</v>
      </c>
      <c r="J368" s="211">
        <v>0</v>
      </c>
      <c r="K368" s="889" t="b">
        <f>H368+H369='d3'!E404</f>
        <v>1</v>
      </c>
      <c r="L368" s="890" t="b">
        <f>I368+I369='d3'!J404</f>
        <v>1</v>
      </c>
      <c r="M368" s="890" t="b">
        <f>J368+J369='d3'!K404</f>
        <v>1</v>
      </c>
    </row>
    <row r="369" spans="1:13" ht="184.5" thickTop="1" thickBot="1" x14ac:dyDescent="0.25">
      <c r="A369" s="94" t="s">
        <v>1058</v>
      </c>
      <c r="B369" s="94" t="s">
        <v>192</v>
      </c>
      <c r="C369" s="94" t="s">
        <v>165</v>
      </c>
      <c r="D369" s="94" t="s">
        <v>1059</v>
      </c>
      <c r="E369" s="94" t="s">
        <v>1350</v>
      </c>
      <c r="F369" s="411" t="s">
        <v>1351</v>
      </c>
      <c r="G369" s="411">
        <f t="shared" si="50"/>
        <v>500000</v>
      </c>
      <c r="H369" s="503">
        <v>0</v>
      </c>
      <c r="I369" s="500">
        <v>500000</v>
      </c>
      <c r="J369" s="500">
        <v>500000</v>
      </c>
      <c r="K369" s="889"/>
      <c r="L369" s="890"/>
      <c r="M369" s="890"/>
    </row>
    <row r="370" spans="1:13" ht="174.75" customHeight="1" thickTop="1" thickBot="1" x14ac:dyDescent="0.25">
      <c r="A370" s="94" t="s">
        <v>1100</v>
      </c>
      <c r="B370" s="94" t="s">
        <v>1101</v>
      </c>
      <c r="C370" s="94" t="s">
        <v>1068</v>
      </c>
      <c r="D370" s="94" t="s">
        <v>1102</v>
      </c>
      <c r="E370" s="94" t="s">
        <v>1561</v>
      </c>
      <c r="F370" s="682" t="s">
        <v>1682</v>
      </c>
      <c r="G370" s="411">
        <f>H370+I370</f>
        <v>1200000</v>
      </c>
      <c r="H370" s="503">
        <f>'d3'!E407</f>
        <v>1200000</v>
      </c>
      <c r="I370" s="500">
        <f>'d3'!J407</f>
        <v>0</v>
      </c>
      <c r="J370" s="500">
        <f>'d3'!K407</f>
        <v>0</v>
      </c>
      <c r="K370" s="130"/>
      <c r="L370" s="130"/>
      <c r="M370" s="130"/>
    </row>
    <row r="371" spans="1:13" ht="174.75" customHeight="1" thickTop="1" thickBot="1" x14ac:dyDescent="0.25">
      <c r="A371" s="94" t="s">
        <v>1163</v>
      </c>
      <c r="B371" s="94" t="s">
        <v>497</v>
      </c>
      <c r="C371" s="94" t="s">
        <v>42</v>
      </c>
      <c r="D371" s="94" t="s">
        <v>498</v>
      </c>
      <c r="E371" s="94" t="s">
        <v>1737</v>
      </c>
      <c r="F371" s="682" t="s">
        <v>1770</v>
      </c>
      <c r="G371" s="411">
        <f>H371+I371</f>
        <v>370000</v>
      </c>
      <c r="H371" s="503">
        <v>370000</v>
      </c>
      <c r="I371" s="500">
        <v>0</v>
      </c>
      <c r="J371" s="500">
        <v>0</v>
      </c>
      <c r="K371" s="130"/>
      <c r="L371" s="130"/>
      <c r="M371" s="130"/>
    </row>
    <row r="372" spans="1:13" ht="170.45" customHeight="1" thickTop="1" thickBot="1" x14ac:dyDescent="0.25">
      <c r="A372" s="514" t="s">
        <v>161</v>
      </c>
      <c r="B372" s="514"/>
      <c r="C372" s="514"/>
      <c r="D372" s="515" t="s">
        <v>344</v>
      </c>
      <c r="E372" s="515"/>
      <c r="F372" s="515"/>
      <c r="G372" s="516">
        <f>G373</f>
        <v>22175000</v>
      </c>
      <c r="H372" s="516">
        <f t="shared" ref="H372:J372" si="51">H373</f>
        <v>22175000</v>
      </c>
      <c r="I372" s="516">
        <f t="shared" si="51"/>
        <v>0</v>
      </c>
      <c r="J372" s="516">
        <f t="shared" si="51"/>
        <v>0</v>
      </c>
      <c r="K372" s="472" t="b">
        <f>H372='d3'!E411</f>
        <v>1</v>
      </c>
      <c r="L372" s="506" t="b">
        <f>I372='d3'!J410</f>
        <v>1</v>
      </c>
      <c r="M372" s="506" t="b">
        <f>J372='d3'!K410</f>
        <v>1</v>
      </c>
    </row>
    <row r="373" spans="1:13" ht="170.45" customHeight="1" thickTop="1" thickBot="1" x14ac:dyDescent="0.25">
      <c r="A373" s="511" t="s">
        <v>162</v>
      </c>
      <c r="B373" s="511"/>
      <c r="C373" s="511"/>
      <c r="D373" s="512" t="s">
        <v>345</v>
      </c>
      <c r="E373" s="512"/>
      <c r="F373" s="512"/>
      <c r="G373" s="513">
        <f>SUM(G374:G387)</f>
        <v>22175000</v>
      </c>
      <c r="H373" s="513">
        <f>SUM(H374:H387)</f>
        <v>22175000</v>
      </c>
      <c r="I373" s="513">
        <f>SUM(I374:I387)</f>
        <v>0</v>
      </c>
      <c r="J373" s="513">
        <f>SUM(J374:J387)</f>
        <v>0</v>
      </c>
      <c r="K373" s="130"/>
      <c r="L373" s="130"/>
      <c r="M373" s="130"/>
    </row>
    <row r="374" spans="1:13" ht="138.75" hidden="1" thickTop="1" thickBot="1" x14ac:dyDescent="0.25">
      <c r="A374" s="119" t="s">
        <v>1159</v>
      </c>
      <c r="B374" s="119" t="s">
        <v>1080</v>
      </c>
      <c r="C374" s="119" t="s">
        <v>201</v>
      </c>
      <c r="D374" s="277" t="s">
        <v>1081</v>
      </c>
      <c r="E374" s="179" t="s">
        <v>1044</v>
      </c>
      <c r="F374" s="678" t="s">
        <v>1154</v>
      </c>
      <c r="G374" s="196">
        <f t="shared" ref="G374:G379" si="52">H374+I374</f>
        <v>0</v>
      </c>
      <c r="H374" s="179">
        <f>'d3'!E413</f>
        <v>0</v>
      </c>
      <c r="I374" s="179">
        <f>'d3'!J413</f>
        <v>0</v>
      </c>
      <c r="J374" s="179">
        <f>'d3'!K413</f>
        <v>0</v>
      </c>
      <c r="K374" s="130"/>
      <c r="L374" s="130"/>
      <c r="M374" s="130"/>
    </row>
    <row r="375" spans="1:13" ht="159.75" customHeight="1" thickTop="1" thickBot="1" x14ac:dyDescent="0.25">
      <c r="A375" s="94" t="s">
        <v>1326</v>
      </c>
      <c r="B375" s="94" t="s">
        <v>323</v>
      </c>
      <c r="C375" s="94" t="s">
        <v>186</v>
      </c>
      <c r="D375" s="507" t="s">
        <v>1702</v>
      </c>
      <c r="E375" s="411" t="s">
        <v>1685</v>
      </c>
      <c r="F375" s="682" t="s">
        <v>1686</v>
      </c>
      <c r="G375" s="503">
        <f t="shared" si="52"/>
        <v>3000000</v>
      </c>
      <c r="H375" s="411">
        <v>3000000</v>
      </c>
      <c r="I375" s="411">
        <f>'d3'!J414</f>
        <v>0</v>
      </c>
      <c r="J375" s="411">
        <f>'d3'!K414</f>
        <v>0</v>
      </c>
      <c r="K375" s="130"/>
      <c r="L375" s="130"/>
      <c r="M375" s="130"/>
    </row>
    <row r="376" spans="1:13" ht="168.75" customHeight="1" thickTop="1" thickBot="1" x14ac:dyDescent="0.25">
      <c r="A376" s="94" t="s">
        <v>941</v>
      </c>
      <c r="B376" s="94" t="s">
        <v>341</v>
      </c>
      <c r="C376" s="94" t="s">
        <v>165</v>
      </c>
      <c r="D376" s="94" t="s">
        <v>256</v>
      </c>
      <c r="E376" s="505" t="s">
        <v>1507</v>
      </c>
      <c r="F376" s="682" t="s">
        <v>1687</v>
      </c>
      <c r="G376" s="503">
        <f t="shared" si="52"/>
        <v>110000</v>
      </c>
      <c r="H376" s="411">
        <f>(50000)+60000</f>
        <v>110000</v>
      </c>
      <c r="I376" s="411">
        <v>0</v>
      </c>
      <c r="J376" s="411">
        <v>0</v>
      </c>
      <c r="K376" s="472" t="b">
        <f>H376+H377='d3'!E417</f>
        <v>1</v>
      </c>
      <c r="L376" s="506" t="b">
        <f>I376+I377='d3'!J417</f>
        <v>1</v>
      </c>
      <c r="M376" s="506" t="b">
        <f>J376+J377='d3'!K417</f>
        <v>1</v>
      </c>
    </row>
    <row r="377" spans="1:13" ht="138.75" hidden="1" customHeight="1" thickTop="1" thickBot="1" x14ac:dyDescent="0.25">
      <c r="A377" s="94" t="s">
        <v>941</v>
      </c>
      <c r="B377" s="94" t="s">
        <v>341</v>
      </c>
      <c r="C377" s="94" t="s">
        <v>165</v>
      </c>
      <c r="D377" s="94" t="s">
        <v>256</v>
      </c>
      <c r="E377" s="505" t="s">
        <v>1324</v>
      </c>
      <c r="F377" s="683" t="s">
        <v>1325</v>
      </c>
      <c r="G377" s="503">
        <f t="shared" si="52"/>
        <v>0</v>
      </c>
      <c r="H377" s="411">
        <f>((4900000)+1100000)-6000000</f>
        <v>0</v>
      </c>
      <c r="I377" s="411">
        <f>((0)+5000000-1000000)-4000000</f>
        <v>0</v>
      </c>
      <c r="J377" s="411">
        <f>((0)+5000000-1000000)-4000000</f>
        <v>0</v>
      </c>
      <c r="K377" s="194"/>
      <c r="L377" s="201"/>
      <c r="M377" s="201"/>
    </row>
    <row r="378" spans="1:13" ht="204.75" customHeight="1" thickTop="1" thickBot="1" x14ac:dyDescent="0.25">
      <c r="A378" s="94" t="s">
        <v>254</v>
      </c>
      <c r="B378" s="94" t="s">
        <v>255</v>
      </c>
      <c r="C378" s="94" t="s">
        <v>253</v>
      </c>
      <c r="D378" s="94" t="s">
        <v>252</v>
      </c>
      <c r="E378" s="505" t="s">
        <v>1512</v>
      </c>
      <c r="F378" s="682" t="s">
        <v>1688</v>
      </c>
      <c r="G378" s="503">
        <f t="shared" si="52"/>
        <v>13000000</v>
      </c>
      <c r="H378" s="411">
        <f>((((2000000)+6000000-2000000)+1000000)+1000000)+5000000</f>
        <v>13000000</v>
      </c>
      <c r="I378" s="411">
        <v>0</v>
      </c>
      <c r="J378" s="411">
        <v>0</v>
      </c>
      <c r="K378" s="194"/>
      <c r="L378" s="201"/>
      <c r="M378" s="201"/>
    </row>
    <row r="379" spans="1:13" ht="177.75" customHeight="1" thickTop="1" thickBot="1" x14ac:dyDescent="0.25">
      <c r="A379" s="94" t="s">
        <v>254</v>
      </c>
      <c r="B379" s="94" t="s">
        <v>255</v>
      </c>
      <c r="C379" s="94" t="s">
        <v>253</v>
      </c>
      <c r="D379" s="94" t="s">
        <v>252</v>
      </c>
      <c r="E379" s="505" t="s">
        <v>1513</v>
      </c>
      <c r="F379" s="682" t="s">
        <v>1689</v>
      </c>
      <c r="G379" s="503">
        <f t="shared" si="52"/>
        <v>6065000</v>
      </c>
      <c r="H379" s="411">
        <f>(4565000)+1500000</f>
        <v>6065000</v>
      </c>
      <c r="I379" s="411">
        <v>0</v>
      </c>
      <c r="J379" s="411">
        <v>0</v>
      </c>
      <c r="K379" s="472" t="b">
        <f>H379+H380+H378='d3'!E419</f>
        <v>1</v>
      </c>
      <c r="L379" s="506" t="b">
        <f>I379+I380+I378='d3'!J419</f>
        <v>1</v>
      </c>
      <c r="M379" s="506" t="b">
        <f>J379+J380+J378='d3'!K419</f>
        <v>1</v>
      </c>
    </row>
    <row r="380" spans="1:13" ht="138.75" hidden="1" thickTop="1" thickBot="1" x14ac:dyDescent="0.25">
      <c r="A380" s="119" t="s">
        <v>254</v>
      </c>
      <c r="B380" s="119" t="s">
        <v>255</v>
      </c>
      <c r="C380" s="119" t="s">
        <v>253</v>
      </c>
      <c r="D380" s="119" t="s">
        <v>252</v>
      </c>
      <c r="E380" s="195" t="s">
        <v>1211</v>
      </c>
      <c r="F380" s="679" t="s">
        <v>414</v>
      </c>
      <c r="G380" s="196">
        <f t="shared" ref="G380:G387" si="53">H380+I380</f>
        <v>0</v>
      </c>
      <c r="H380" s="179">
        <v>0</v>
      </c>
      <c r="I380" s="179">
        <v>0</v>
      </c>
      <c r="J380" s="179">
        <v>0</v>
      </c>
      <c r="K380" s="130"/>
      <c r="L380" s="130"/>
      <c r="M380" s="201"/>
    </row>
    <row r="381" spans="1:13" ht="184.5" hidden="1" thickTop="1" thickBot="1" x14ac:dyDescent="0.25">
      <c r="A381" s="119" t="s">
        <v>246</v>
      </c>
      <c r="B381" s="119" t="s">
        <v>248</v>
      </c>
      <c r="C381" s="119" t="s">
        <v>208</v>
      </c>
      <c r="D381" s="119" t="s">
        <v>247</v>
      </c>
      <c r="E381" s="179" t="s">
        <v>1133</v>
      </c>
      <c r="F381" s="678" t="s">
        <v>822</v>
      </c>
      <c r="G381" s="196">
        <f t="shared" si="53"/>
        <v>0</v>
      </c>
      <c r="H381" s="179"/>
      <c r="I381" s="179">
        <v>0</v>
      </c>
      <c r="J381" s="179">
        <v>0</v>
      </c>
      <c r="K381" s="194" t="b">
        <f>H381='d3'!E420</f>
        <v>1</v>
      </c>
      <c r="L381" s="201" t="b">
        <f>I381='d3'!J420</f>
        <v>1</v>
      </c>
      <c r="M381" s="201" t="b">
        <f>J381='d3'!K420</f>
        <v>1</v>
      </c>
    </row>
    <row r="382" spans="1:13" ht="138.75" hidden="1" thickTop="1" thickBot="1" x14ac:dyDescent="0.25">
      <c r="A382" s="119" t="s">
        <v>1153</v>
      </c>
      <c r="B382" s="119" t="s">
        <v>207</v>
      </c>
      <c r="C382" s="119" t="s">
        <v>208</v>
      </c>
      <c r="D382" s="119" t="s">
        <v>40</v>
      </c>
      <c r="E382" s="179" t="s">
        <v>1044</v>
      </c>
      <c r="F382" s="678" t="s">
        <v>1154</v>
      </c>
      <c r="G382" s="196">
        <f t="shared" si="53"/>
        <v>0</v>
      </c>
      <c r="H382" s="179">
        <f>'d3'!E421</f>
        <v>0</v>
      </c>
      <c r="I382" s="179">
        <f>'d3'!J421</f>
        <v>0</v>
      </c>
      <c r="J382" s="179">
        <f>'d3'!K421</f>
        <v>0</v>
      </c>
      <c r="K382" s="194"/>
      <c r="L382" s="201"/>
      <c r="M382" s="201"/>
    </row>
    <row r="383" spans="1:13" ht="138.75" hidden="1" thickTop="1" thickBot="1" x14ac:dyDescent="0.25">
      <c r="A383" s="119" t="s">
        <v>250</v>
      </c>
      <c r="B383" s="119" t="s">
        <v>251</v>
      </c>
      <c r="C383" s="119" t="s">
        <v>165</v>
      </c>
      <c r="D383" s="119" t="s">
        <v>249</v>
      </c>
      <c r="E383" s="179" t="s">
        <v>1044</v>
      </c>
      <c r="F383" s="678" t="s">
        <v>562</v>
      </c>
      <c r="G383" s="196">
        <f t="shared" si="53"/>
        <v>0</v>
      </c>
      <c r="H383" s="179"/>
      <c r="I383" s="179"/>
      <c r="J383" s="179"/>
    </row>
    <row r="384" spans="1:13" ht="138.75" hidden="1" thickTop="1" thickBot="1" x14ac:dyDescent="0.25">
      <c r="A384" s="39" t="s">
        <v>250</v>
      </c>
      <c r="B384" s="39" t="s">
        <v>251</v>
      </c>
      <c r="C384" s="39" t="s">
        <v>165</v>
      </c>
      <c r="D384" s="39" t="s">
        <v>249</v>
      </c>
      <c r="E384" s="198" t="s">
        <v>895</v>
      </c>
      <c r="F384" s="678" t="s">
        <v>896</v>
      </c>
      <c r="G384" s="199">
        <f t="shared" si="53"/>
        <v>0</v>
      </c>
      <c r="H384" s="71">
        <v>0</v>
      </c>
      <c r="I384" s="71">
        <v>0</v>
      </c>
      <c r="J384" s="71">
        <v>0</v>
      </c>
      <c r="K384" s="194"/>
      <c r="L384" s="201"/>
      <c r="M384" s="202"/>
    </row>
    <row r="385" spans="1:14" ht="195.75" hidden="1" customHeight="1" thickTop="1" thickBot="1" x14ac:dyDescent="0.25">
      <c r="A385" s="119" t="s">
        <v>250</v>
      </c>
      <c r="B385" s="119" t="s">
        <v>251</v>
      </c>
      <c r="C385" s="119" t="s">
        <v>165</v>
      </c>
      <c r="D385" s="119" t="s">
        <v>249</v>
      </c>
      <c r="E385" s="195" t="s">
        <v>1356</v>
      </c>
      <c r="F385" s="678" t="s">
        <v>1379</v>
      </c>
      <c r="G385" s="196">
        <f t="shared" si="53"/>
        <v>0</v>
      </c>
      <c r="H385" s="179"/>
      <c r="I385" s="179">
        <v>0</v>
      </c>
      <c r="J385" s="179">
        <v>0</v>
      </c>
      <c r="K385" s="194" t="b">
        <f>'d3'!E423=H383+H384+H385</f>
        <v>1</v>
      </c>
      <c r="L385" s="201" t="b">
        <f>'d3'!J423=I383+I384+I385</f>
        <v>1</v>
      </c>
      <c r="M385" s="201" t="b">
        <f>'d3'!K423=J383+J384+J385</f>
        <v>1</v>
      </c>
    </row>
    <row r="386" spans="1:14" ht="138.75" hidden="1" thickTop="1" thickBot="1" x14ac:dyDescent="0.25">
      <c r="A386" s="119" t="s">
        <v>1157</v>
      </c>
      <c r="B386" s="119" t="s">
        <v>1070</v>
      </c>
      <c r="C386" s="119" t="s">
        <v>1068</v>
      </c>
      <c r="D386" s="119" t="s">
        <v>1067</v>
      </c>
      <c r="E386" s="179" t="s">
        <v>1044</v>
      </c>
      <c r="F386" s="678" t="s">
        <v>1154</v>
      </c>
      <c r="G386" s="196">
        <f t="shared" ref="G386" si="54">H386+I386</f>
        <v>0</v>
      </c>
      <c r="H386" s="179">
        <f>'d3'!E426</f>
        <v>0</v>
      </c>
      <c r="I386" s="179">
        <f>'d3'!J426</f>
        <v>0</v>
      </c>
      <c r="J386" s="179">
        <f>'d3'!K426</f>
        <v>0</v>
      </c>
      <c r="K386" s="194"/>
      <c r="L386" s="201"/>
      <c r="M386" s="202"/>
    </row>
    <row r="387" spans="1:14" ht="138.75" hidden="1" thickTop="1" thickBot="1" x14ac:dyDescent="0.25">
      <c r="A387" s="119" t="s">
        <v>864</v>
      </c>
      <c r="B387" s="119" t="s">
        <v>353</v>
      </c>
      <c r="C387" s="119" t="s">
        <v>42</v>
      </c>
      <c r="D387" s="119" t="s">
        <v>354</v>
      </c>
      <c r="E387" s="195" t="s">
        <v>1141</v>
      </c>
      <c r="F387" s="678" t="s">
        <v>1142</v>
      </c>
      <c r="G387" s="196">
        <f t="shared" si="53"/>
        <v>0</v>
      </c>
      <c r="H387" s="179">
        <f>'d3'!E429</f>
        <v>0</v>
      </c>
      <c r="I387" s="179">
        <f>'d3'!J429</f>
        <v>0</v>
      </c>
      <c r="J387" s="179">
        <f>'d3'!K429</f>
        <v>0</v>
      </c>
      <c r="K387" s="194"/>
      <c r="L387" s="201"/>
      <c r="M387" s="202"/>
    </row>
    <row r="388" spans="1:14" ht="200.1" customHeight="1" thickTop="1" thickBot="1" x14ac:dyDescent="0.25">
      <c r="A388" s="514" t="s">
        <v>159</v>
      </c>
      <c r="B388" s="514"/>
      <c r="C388" s="514"/>
      <c r="D388" s="515" t="s">
        <v>845</v>
      </c>
      <c r="E388" s="515"/>
      <c r="F388" s="515"/>
      <c r="G388" s="516">
        <f>G389</f>
        <v>8723838</v>
      </c>
      <c r="H388" s="516">
        <f t="shared" ref="H388:J388" si="55">H389</f>
        <v>4372306</v>
      </c>
      <c r="I388" s="516">
        <f t="shared" si="55"/>
        <v>4351532</v>
      </c>
      <c r="J388" s="516">
        <f t="shared" si="55"/>
        <v>0</v>
      </c>
      <c r="K388" s="537" t="b">
        <f>H388='d3'!E431-'d3'!E433+H390</f>
        <v>1</v>
      </c>
      <c r="L388" s="538" t="b">
        <f>I388='d3'!J431-'d3'!J433+'d7'!I390</f>
        <v>1</v>
      </c>
      <c r="M388" s="538" t="b">
        <f>J388='d3'!K431-'d3'!K433+'d7'!J390</f>
        <v>1</v>
      </c>
    </row>
    <row r="389" spans="1:14" ht="196.5" customHeight="1" thickTop="1" thickBot="1" x14ac:dyDescent="0.25">
      <c r="A389" s="511" t="s">
        <v>160</v>
      </c>
      <c r="B389" s="511"/>
      <c r="C389" s="511"/>
      <c r="D389" s="512" t="s">
        <v>846</v>
      </c>
      <c r="E389" s="512"/>
      <c r="F389" s="512"/>
      <c r="G389" s="513">
        <f>SUM(G390:G395)</f>
        <v>8723838</v>
      </c>
      <c r="H389" s="513">
        <f>SUM(H390:H395)</f>
        <v>4372306</v>
      </c>
      <c r="I389" s="513">
        <f>SUM(I390:I395)</f>
        <v>4351532</v>
      </c>
      <c r="J389" s="513">
        <f>SUM(J390:J395)</f>
        <v>0</v>
      </c>
      <c r="K389" s="130"/>
      <c r="L389" s="130"/>
      <c r="M389" s="130"/>
    </row>
    <row r="390" spans="1:14" ht="198.75" customHeight="1" thickTop="1" thickBot="1" x14ac:dyDescent="0.25">
      <c r="A390" s="94" t="s">
        <v>411</v>
      </c>
      <c r="B390" s="94" t="s">
        <v>231</v>
      </c>
      <c r="C390" s="94" t="s">
        <v>229</v>
      </c>
      <c r="D390" s="469" t="s">
        <v>1515</v>
      </c>
      <c r="E390" s="477" t="s">
        <v>1565</v>
      </c>
      <c r="F390" s="682" t="s">
        <v>817</v>
      </c>
      <c r="G390" s="411">
        <f>H390+I390</f>
        <v>30000</v>
      </c>
      <c r="H390" s="503">
        <v>30000</v>
      </c>
      <c r="I390" s="411">
        <v>0</v>
      </c>
      <c r="J390" s="411">
        <v>0</v>
      </c>
      <c r="K390" s="130"/>
      <c r="L390" s="130"/>
      <c r="M390" s="130"/>
    </row>
    <row r="391" spans="1:14" ht="276" hidden="1" thickTop="1" thickBot="1" x14ac:dyDescent="0.25">
      <c r="A391" s="119" t="s">
        <v>606</v>
      </c>
      <c r="B391" s="119" t="s">
        <v>352</v>
      </c>
      <c r="C391" s="119" t="s">
        <v>598</v>
      </c>
      <c r="D391" s="119" t="s">
        <v>599</v>
      </c>
      <c r="E391" s="204" t="s">
        <v>841</v>
      </c>
      <c r="F391" s="678" t="s">
        <v>842</v>
      </c>
      <c r="G391" s="179">
        <f t="shared" ref="G391" si="56">H391+I391</f>
        <v>0</v>
      </c>
      <c r="H391" s="196">
        <f>'d3'!E434</f>
        <v>0</v>
      </c>
      <c r="I391" s="211"/>
      <c r="J391" s="211"/>
      <c r="K391" s="130"/>
      <c r="L391" s="130"/>
      <c r="M391" s="130"/>
    </row>
    <row r="392" spans="1:14" ht="218.25" customHeight="1" thickTop="1" thickBot="1" x14ac:dyDescent="0.25">
      <c r="A392" s="94" t="s">
        <v>1780</v>
      </c>
      <c r="B392" s="94" t="s">
        <v>283</v>
      </c>
      <c r="C392" s="94" t="s">
        <v>277</v>
      </c>
      <c r="D392" s="94" t="s">
        <v>1522</v>
      </c>
      <c r="E392" s="503" t="s">
        <v>1781</v>
      </c>
      <c r="F392" s="687" t="s">
        <v>1383</v>
      </c>
      <c r="G392" s="503">
        <f t="shared" ref="G392:G395" si="57">H392+I392</f>
        <v>3842306</v>
      </c>
      <c r="H392" s="503">
        <f>'d3'!E436</f>
        <v>3842306</v>
      </c>
      <c r="I392" s="500">
        <f>'d3'!J436</f>
        <v>0</v>
      </c>
      <c r="J392" s="500">
        <f>'d3'!K436</f>
        <v>0</v>
      </c>
      <c r="K392" s="130"/>
      <c r="L392" s="130"/>
      <c r="M392" s="130"/>
    </row>
    <row r="393" spans="1:14" ht="117" customHeight="1" thickTop="1" thickBot="1" x14ac:dyDescent="0.25">
      <c r="A393" s="94" t="s">
        <v>1028</v>
      </c>
      <c r="B393" s="94" t="s">
        <v>1029</v>
      </c>
      <c r="C393" s="94" t="s">
        <v>49</v>
      </c>
      <c r="D393" s="94" t="s">
        <v>1030</v>
      </c>
      <c r="E393" s="505" t="s">
        <v>1566</v>
      </c>
      <c r="F393" s="687" t="s">
        <v>1786</v>
      </c>
      <c r="G393" s="503">
        <f t="shared" si="57"/>
        <v>4201532</v>
      </c>
      <c r="H393" s="411">
        <f>'d3'!E439</f>
        <v>0</v>
      </c>
      <c r="I393" s="411">
        <v>4201532</v>
      </c>
      <c r="J393" s="411">
        <f>'d3'!K439</f>
        <v>0</v>
      </c>
      <c r="K393" s="472" t="b">
        <f>H393+H394='d3'!E439</f>
        <v>1</v>
      </c>
      <c r="L393" s="472" t="b">
        <f>I393+I394='d3'!J439</f>
        <v>1</v>
      </c>
      <c r="M393" s="472" t="b">
        <f>J393+J394='d3'!K439</f>
        <v>1</v>
      </c>
    </row>
    <row r="394" spans="1:14" ht="201.75" customHeight="1" thickTop="1" thickBot="1" x14ac:dyDescent="0.25">
      <c r="A394" s="94" t="s">
        <v>1028</v>
      </c>
      <c r="B394" s="94" t="s">
        <v>1029</v>
      </c>
      <c r="C394" s="94" t="s">
        <v>49</v>
      </c>
      <c r="D394" s="94" t="s">
        <v>1030</v>
      </c>
      <c r="E394" s="505" t="s">
        <v>1136</v>
      </c>
      <c r="F394" s="682" t="s">
        <v>1123</v>
      </c>
      <c r="G394" s="503">
        <f t="shared" si="57"/>
        <v>150000</v>
      </c>
      <c r="H394" s="411">
        <v>0</v>
      </c>
      <c r="I394" s="411">
        <v>150000</v>
      </c>
      <c r="J394" s="411">
        <v>0</v>
      </c>
      <c r="K394" s="130"/>
      <c r="L394" s="130"/>
      <c r="M394" s="130"/>
    </row>
    <row r="395" spans="1:14" ht="294.75" customHeight="1" thickTop="1" thickBot="1" x14ac:dyDescent="0.25">
      <c r="A395" s="94" t="s">
        <v>1121</v>
      </c>
      <c r="B395" s="94" t="s">
        <v>497</v>
      </c>
      <c r="C395" s="94" t="s">
        <v>42</v>
      </c>
      <c r="D395" s="94" t="s">
        <v>498</v>
      </c>
      <c r="E395" s="411" t="s">
        <v>1798</v>
      </c>
      <c r="F395" s="682" t="s">
        <v>1683</v>
      </c>
      <c r="G395" s="503">
        <f t="shared" si="57"/>
        <v>500000</v>
      </c>
      <c r="H395" s="411">
        <f>'d3'!E441</f>
        <v>500000</v>
      </c>
      <c r="I395" s="411">
        <f>'d3'!J441</f>
        <v>0</v>
      </c>
      <c r="J395" s="411">
        <f>'d3'!K441</f>
        <v>0</v>
      </c>
      <c r="K395" s="130"/>
      <c r="L395" s="130"/>
      <c r="M395" s="130"/>
    </row>
    <row r="396" spans="1:14" ht="200.1" customHeight="1" thickTop="1" thickBot="1" x14ac:dyDescent="0.25">
      <c r="A396" s="514" t="s">
        <v>157</v>
      </c>
      <c r="B396" s="514"/>
      <c r="C396" s="514"/>
      <c r="D396" s="515" t="s">
        <v>856</v>
      </c>
      <c r="E396" s="515"/>
      <c r="F396" s="515"/>
      <c r="G396" s="516">
        <f>G397</f>
        <v>520000</v>
      </c>
      <c r="H396" s="516">
        <f t="shared" ref="H396:J396" si="58">H397</f>
        <v>500000</v>
      </c>
      <c r="I396" s="516">
        <f t="shared" si="58"/>
        <v>20000</v>
      </c>
      <c r="J396" s="516">
        <f t="shared" si="58"/>
        <v>20000</v>
      </c>
      <c r="K396" s="537" t="b">
        <f>H396='d3'!E443-'d3'!E445+H398</f>
        <v>1</v>
      </c>
      <c r="L396" s="538" t="b">
        <f>I396='d3'!J443-'d3'!J445+I398</f>
        <v>1</v>
      </c>
      <c r="M396" s="538" t="b">
        <f>J396='d3'!K443-'d3'!K445+J398</f>
        <v>1</v>
      </c>
    </row>
    <row r="397" spans="1:14" ht="199.5" customHeight="1" thickTop="1" thickBot="1" x14ac:dyDescent="0.25">
      <c r="A397" s="511" t="s">
        <v>158</v>
      </c>
      <c r="B397" s="511"/>
      <c r="C397" s="511"/>
      <c r="D397" s="512" t="s">
        <v>857</v>
      </c>
      <c r="E397" s="512"/>
      <c r="F397" s="515"/>
      <c r="G397" s="513">
        <f>SUM(G398:G401)</f>
        <v>520000</v>
      </c>
      <c r="H397" s="513">
        <f>SUM(H398:H401)</f>
        <v>500000</v>
      </c>
      <c r="I397" s="513">
        <f>SUM(I398:I401)</f>
        <v>20000</v>
      </c>
      <c r="J397" s="513">
        <f>SUM(J398:J401)</f>
        <v>20000</v>
      </c>
      <c r="K397" s="130"/>
      <c r="L397" s="130"/>
      <c r="M397" s="130"/>
    </row>
    <row r="398" spans="1:14" ht="138.75" hidden="1" thickTop="1" thickBot="1" x14ac:dyDescent="0.25">
      <c r="A398" s="119" t="s">
        <v>407</v>
      </c>
      <c r="B398" s="119" t="s">
        <v>231</v>
      </c>
      <c r="C398" s="119" t="s">
        <v>229</v>
      </c>
      <c r="D398" s="119" t="s">
        <v>230</v>
      </c>
      <c r="E398" s="195" t="s">
        <v>961</v>
      </c>
      <c r="F398" s="678" t="s">
        <v>817</v>
      </c>
      <c r="G398" s="179">
        <f>H398+I398</f>
        <v>0</v>
      </c>
      <c r="H398" s="196"/>
      <c r="I398" s="179"/>
      <c r="J398" s="179"/>
      <c r="K398" s="130"/>
      <c r="L398" s="130"/>
      <c r="M398" s="130"/>
    </row>
    <row r="399" spans="1:14" ht="138.75" thickTop="1" thickBot="1" x14ac:dyDescent="1.2">
      <c r="A399" s="94" t="s">
        <v>300</v>
      </c>
      <c r="B399" s="94" t="s">
        <v>301</v>
      </c>
      <c r="C399" s="94" t="s">
        <v>302</v>
      </c>
      <c r="D399" s="94" t="s">
        <v>448</v>
      </c>
      <c r="E399" s="505" t="s">
        <v>1507</v>
      </c>
      <c r="F399" s="682" t="s">
        <v>1687</v>
      </c>
      <c r="G399" s="503">
        <f t="shared" ref="G399:G401" si="59">H399+I399</f>
        <v>500000</v>
      </c>
      <c r="H399" s="411">
        <f>(400000)+100000</f>
        <v>500000</v>
      </c>
      <c r="I399" s="411">
        <f>'d3'!J448</f>
        <v>0</v>
      </c>
      <c r="J399" s="411">
        <f>'d3'!K448</f>
        <v>0</v>
      </c>
      <c r="K399" s="614" t="b">
        <f>G409=G408+G399+G395+G393+G379+G378+G377+G376+G375+G370+G365+G364+G363+G362+G359+G355+G354+G343+G342+G336+G333+G332+G330+G329+G322+G320+G319+G306+G301+G296+G295+G294+G293+G290+G289+G288+G285+G283+G281+G280+G273+G261+G260+G258+G256+G254+G250+G249+G248+G241+G237+G235+G234+G233+G231+G229+G228+G227+G226+G224+G222+G215+G214+G213+G212+G211+G210+G207+G205+G202+G200+G196+G194+G193+G192+G191+G190+G189+G188+G187+G186+G184+G183+G182+G181+G180+G179+G178+G177+G176+G175+G173+G171+G170+G168+G166+G165+G164+G163+G162+G161+G160+G159+G158+G157+G144+G142+G138+G137+G135+G131+G130+G129+G127+G118+G116+G114+G110+G109+G91+G89+G87+G85+G81+G78+G74+G72+G68+G65+G61+G54+G53+G52+G50+G48+G47+G46+G45+G44+G41+G40+G39+G38+G36+G34+G32+G28+G26+G25+G17+G407+G51+G55+G31+G143+G113+G112+G96+G95+G94+G90+G84+G76+G75+G394+G367+G366+G371+G328+G348+G272+G255+G269+G297+G308+G304+G23+G43+G49+G104+G353+G404+G390+G33+G27+G24+G405+G392+G352+G360+G369+G401+G345+G317+G314+G310+G309+G305+G282+G279+G278+G277+G251+G245+G209+G203+G201+G150+G139+G132+G22+G225+G230+G242+G174+G154+G105+G86+G70+G66+G291+G56+G323</f>
        <v>1</v>
      </c>
      <c r="L399" s="614" t="b">
        <f>H409=H408+H399+H395+H393+H379+H378+H377+H376+H375+H370+H365+H364+H363+H362+H359+H355+H354+H343+H342+H336+H333+H332+H330+H329+H322+H320+H319+H306+H301+H296+H295+H294+H293+H290+H289+H288+H285+H283+H281+H280+H273+H261+H260+H258+H256+H254+H250+H249+H248+H241+H237+H235+H234+H233+H231+H229+H228+H227+H226+H224+H222+H215+H214+H213+H212+H211+H210+H207+H205+H202+H200+H196+H194+H193+H192+H191+H190+H189+H188+H187+H186+H184+H183+H182+H181+H180+H179+H178+H177+H176+H175+H173+H171+H170+H168+H166+H165+H164+H163+H162+H161+H160+H159+H158+H157+H144+H142+H138+H137+H135+H131+H130+H129+H127+H118+H116+H114+H110+H109+H91+H89+H87+H85+H81+H78+H74+H72+H68+H65+H61+H54+H53+H52+H50+H48+H47+H46+H45+H44+H41+H40+H39+H38+H36+H34+H32+H28+H26+H25+H17+H407+H51+H55+H31+H143+H113+H112+H96+H95+H94+H90+H84+H76+H75+H394+H367+H366+H371+H328+H348+H272+H255+H269+H297+H308+H304+H23+H43+H49+H104+H353+H404+H390+H33+H27+H24+H405+H392+H352+H360+H369+H401+H345+H317+H314+H310+H309+H305+H282+H279+H278+H277+H251+H245+H209+H203+H201+H150+H139+H132+H22+H225+H230+H242+H174+H154+H105+H86+H70+H66+H291+H56+H323</f>
        <v>1</v>
      </c>
      <c r="M399" s="614" t="b">
        <f>I409=I408+I399+I395+I393+I379+I378+I377+I376+I375+I370+I365+I364+I363+I362+I359+I355+I354+I343+I342+I336+I333+I332+I330+I329+I322+I320+I319+I306+I301+I296+I295+I294+I293+I290+I289+I288+I285+I283+I281+I280+I273+I261+I260+I258+I256+I254+I250+I249+I248+I241+I237+I235+I234+I233+I231+I229+I228+I227+I226+I224+I222+I215+I214+I213+I212+I211+I210+I207+I205+I202+I200+I196+I194+I193+I192+I191+I190+I189+I188+I187+I186+I184+I183+I182+I181+I180+I179+I178+I177+I176+I175+I173+I171+I170+I168+I166+I165+I164+I163+I162+I161+I160+I159+I158+I157+I144+I142+I138+I137+I135+I131+I130+I129+I127+I118+I116+I114+I110+I109+I91+I89+I87+I85+I81+I78+I74+I72+I68+I65+I61+I54+I53+I52+I50+I48+I47+I46+I45+I44+I41+I40+I39+I38+I36+I34+I32+I28+I26+I25+I17+I407+I51+I55+I31+I143+I113+I112+I96+I95+I94+I90+I84+I76+I75+I394+I367+I366+I371+I328+I348+I272+I255+I269+I297+I308+I304+I23+I43+I49+I104+I353+I404+I390+I33+I27+I24+I405+I392+I352+I360+I369+I401+I345+I317+I314+I310+I309+I305+I282+I279+I278+I277+I251+I245+I209+I203+I201+I150+I139+I132+I22+I225+I230+I242+I174+I154+I105+I86+I70+I66+I291+I56+I323</f>
        <v>1</v>
      </c>
      <c r="N399" s="614" t="b">
        <f>J409=J408+J399+J395+J393+J379+J378+J377+J376+J375+J370+J365+J364+J363+J362+J359+J355+J354+J343+J342+J336+J333+J332+J330+J329+J322+J320+J319+J306+J301+J296+J295+J294+J293+J290+J289+J288+J285+J283+J281+J280+J273+J261+J260+J258+J256+J254+J250+J249+J248+J241+J237+J235+J234+J233+J231+J229+J228+J227+J226+J224+J222+J215+J214+J213+J212+J211+J210+J207+J205+J202+J200+J196+J194+J193+J192+J191+J190+J189+J188+J187+J186+J184+J183+J182+J181+J180+J179+J178+J177+J176+J175+J173+J171+J170+J168+J166+J165+J164+J163+J162+J161+J160+J159+J158+J157+J144+J142+J138+J137+J135+J131+J130+J129+J127+J118+J116+J114+J110+J109+J91+J89+J87+J85+J81+J78+J74+J72+J68+J65+J61+J54+J53+J52+J50+J48+J47+J46+J45+J44+J41+J40+J39+J38+J36+J34+J32+J28+J26+J25+J17+J407+J51+J55+J31+J143+J113+J112+J96+J95+J94+J90+J84+J76+J75+J394+J367+J366+J371+J328+J348+J272+J255+J269+J297+J308+J304+J23+J43+J49+J104+J353+J404+J390+J33+J27+J24+J405+J392+J352+J360+J369+J401+J345+J317+J314+J310+J309+J305+J282+J279+J278+J277+J251+J245+J209+J203+J201+J150+J139+J132+J22+J225+J230+J242+J174+J154+J105+J86+J70+J66+J291+J56+J323</f>
        <v>1</v>
      </c>
    </row>
    <row r="400" spans="1:14" ht="138.75" hidden="1" thickTop="1" thickBot="1" x14ac:dyDescent="0.25">
      <c r="A400" s="119" t="s">
        <v>300</v>
      </c>
      <c r="B400" s="119" t="s">
        <v>301</v>
      </c>
      <c r="C400" s="119" t="s">
        <v>302</v>
      </c>
      <c r="D400" s="119" t="s">
        <v>448</v>
      </c>
      <c r="E400" s="195" t="s">
        <v>1087</v>
      </c>
      <c r="F400" s="678" t="s">
        <v>894</v>
      </c>
      <c r="G400" s="196">
        <f t="shared" si="59"/>
        <v>0</v>
      </c>
      <c r="H400" s="333"/>
      <c r="I400" s="179">
        <v>0</v>
      </c>
      <c r="J400" s="179">
        <v>0</v>
      </c>
      <c r="K400" s="130"/>
      <c r="L400" s="130"/>
      <c r="M400" s="130"/>
    </row>
    <row r="401" spans="1:17" ht="138.75" thickTop="1" thickBot="1" x14ac:dyDescent="0.25">
      <c r="A401" s="94" t="s">
        <v>358</v>
      </c>
      <c r="B401" s="94" t="s">
        <v>359</v>
      </c>
      <c r="C401" s="94" t="s">
        <v>165</v>
      </c>
      <c r="D401" s="94" t="s">
        <v>1787</v>
      </c>
      <c r="E401" s="505" t="s">
        <v>1507</v>
      </c>
      <c r="F401" s="683" t="s">
        <v>1687</v>
      </c>
      <c r="G401" s="503">
        <f t="shared" si="59"/>
        <v>20000</v>
      </c>
      <c r="H401" s="411">
        <f>'d3'!E450</f>
        <v>0</v>
      </c>
      <c r="I401" s="411">
        <f>'d3'!J450</f>
        <v>20000</v>
      </c>
      <c r="J401" s="411">
        <f>'d3'!K450</f>
        <v>20000</v>
      </c>
    </row>
    <row r="402" spans="1:17" ht="170.45" customHeight="1" thickTop="1" thickBot="1" x14ac:dyDescent="0.25">
      <c r="A402" s="514" t="s">
        <v>163</v>
      </c>
      <c r="B402" s="514"/>
      <c r="C402" s="514"/>
      <c r="D402" s="515" t="s">
        <v>27</v>
      </c>
      <c r="E402" s="515"/>
      <c r="F402" s="515"/>
      <c r="G402" s="516">
        <f>G403</f>
        <v>143301029.73999998</v>
      </c>
      <c r="H402" s="516">
        <f t="shared" ref="H402:J402" si="60">H403</f>
        <v>852309.64</v>
      </c>
      <c r="I402" s="516">
        <f t="shared" si="60"/>
        <v>142448720.09999999</v>
      </c>
      <c r="J402" s="516">
        <f t="shared" si="60"/>
        <v>142448720.09999999</v>
      </c>
      <c r="K402" s="130"/>
      <c r="L402" s="130"/>
      <c r="M402" s="130"/>
    </row>
    <row r="403" spans="1:17" ht="166.5" customHeight="1" thickTop="1" thickBot="1" x14ac:dyDescent="0.25">
      <c r="A403" s="511" t="s">
        <v>164</v>
      </c>
      <c r="B403" s="511"/>
      <c r="C403" s="511"/>
      <c r="D403" s="512" t="s">
        <v>39</v>
      </c>
      <c r="E403" s="512"/>
      <c r="F403" s="512"/>
      <c r="G403" s="513">
        <f>SUM(G404:G408)</f>
        <v>143301029.73999998</v>
      </c>
      <c r="H403" s="513">
        <f t="shared" ref="H403:J403" si="61">SUM(H404:H408)</f>
        <v>852309.64</v>
      </c>
      <c r="I403" s="513">
        <f>SUM(I404:I408)</f>
        <v>142448720.09999999</v>
      </c>
      <c r="J403" s="513">
        <f t="shared" si="61"/>
        <v>142448720.09999999</v>
      </c>
      <c r="K403" s="130"/>
      <c r="L403" s="130"/>
      <c r="M403" s="130"/>
    </row>
    <row r="404" spans="1:17" ht="187.5" customHeight="1" thickTop="1" thickBot="1" x14ac:dyDescent="0.25">
      <c r="A404" s="94" t="s">
        <v>409</v>
      </c>
      <c r="B404" s="94" t="s">
        <v>231</v>
      </c>
      <c r="C404" s="94" t="s">
        <v>229</v>
      </c>
      <c r="D404" s="94" t="s">
        <v>1515</v>
      </c>
      <c r="E404" s="505" t="s">
        <v>1565</v>
      </c>
      <c r="F404" s="683" t="s">
        <v>817</v>
      </c>
      <c r="G404" s="411">
        <f t="shared" ref="G404:G408" si="62">H404+I404</f>
        <v>20000</v>
      </c>
      <c r="H404" s="503">
        <v>20000</v>
      </c>
      <c r="I404" s="500">
        <v>0</v>
      </c>
      <c r="J404" s="500">
        <v>0</v>
      </c>
      <c r="K404" s="130"/>
      <c r="L404" s="130"/>
      <c r="M404" s="130"/>
    </row>
    <row r="405" spans="1:17" ht="187.5" customHeight="1" thickTop="1" thickBot="1" x14ac:dyDescent="0.25">
      <c r="A405" s="94" t="s">
        <v>409</v>
      </c>
      <c r="B405" s="94" t="s">
        <v>231</v>
      </c>
      <c r="C405" s="94" t="s">
        <v>229</v>
      </c>
      <c r="D405" s="94" t="s">
        <v>1515</v>
      </c>
      <c r="E405" s="505" t="s">
        <v>1773</v>
      </c>
      <c r="F405" s="179"/>
      <c r="G405" s="411">
        <f t="shared" si="62"/>
        <v>50000</v>
      </c>
      <c r="H405" s="503">
        <v>50000</v>
      </c>
      <c r="I405" s="500">
        <v>0</v>
      </c>
      <c r="J405" s="500">
        <v>0</v>
      </c>
      <c r="K405" s="130"/>
      <c r="L405" s="130"/>
      <c r="M405" s="130"/>
    </row>
    <row r="406" spans="1:17" ht="276" hidden="1" thickTop="1" thickBot="1" x14ac:dyDescent="1.2">
      <c r="A406" s="119" t="s">
        <v>607</v>
      </c>
      <c r="B406" s="119" t="s">
        <v>352</v>
      </c>
      <c r="C406" s="119" t="s">
        <v>598</v>
      </c>
      <c r="D406" s="119" t="s">
        <v>599</v>
      </c>
      <c r="E406" s="195" t="s">
        <v>1060</v>
      </c>
      <c r="F406" s="678" t="s">
        <v>1061</v>
      </c>
      <c r="G406" s="179">
        <f t="shared" si="62"/>
        <v>0</v>
      </c>
      <c r="H406" s="196">
        <f>'d3'!E455</f>
        <v>0</v>
      </c>
      <c r="I406" s="211">
        <v>0</v>
      </c>
      <c r="J406" s="211">
        <v>0</v>
      </c>
      <c r="O406" s="216"/>
    </row>
    <row r="407" spans="1:17" ht="144" customHeight="1" thickTop="1" thickBot="1" x14ac:dyDescent="1.2">
      <c r="A407" s="94">
        <v>3718600</v>
      </c>
      <c r="B407" s="94">
        <v>8600</v>
      </c>
      <c r="C407" s="94" t="s">
        <v>352</v>
      </c>
      <c r="D407" s="94" t="s">
        <v>441</v>
      </c>
      <c r="E407" s="505" t="s">
        <v>1507</v>
      </c>
      <c r="F407" s="682" t="s">
        <v>1687</v>
      </c>
      <c r="G407" s="411">
        <f t="shared" si="62"/>
        <v>782309.64</v>
      </c>
      <c r="H407" s="503">
        <f>'d3'!E460</f>
        <v>782309.64</v>
      </c>
      <c r="I407" s="500">
        <f>'d3'!J460</f>
        <v>0</v>
      </c>
      <c r="J407" s="500">
        <f>'d3'!K460</f>
        <v>0</v>
      </c>
      <c r="O407" s="216"/>
    </row>
    <row r="408" spans="1:17" ht="138.75" thickTop="1" thickBot="1" x14ac:dyDescent="1.2">
      <c r="A408" s="469" t="s">
        <v>1185</v>
      </c>
      <c r="B408" s="469" t="s">
        <v>1186</v>
      </c>
      <c r="C408" s="469" t="s">
        <v>165</v>
      </c>
      <c r="D408" s="469" t="s">
        <v>1043</v>
      </c>
      <c r="E408" s="477" t="s">
        <v>1507</v>
      </c>
      <c r="F408" s="682" t="s">
        <v>1687</v>
      </c>
      <c r="G408" s="478">
        <f t="shared" si="62"/>
        <v>142448720.09999999</v>
      </c>
      <c r="H408" s="473">
        <f>'d4'!F25</f>
        <v>0</v>
      </c>
      <c r="I408" s="531">
        <f>'d4'!G26</f>
        <v>142448720.09999999</v>
      </c>
      <c r="J408" s="531">
        <f>'d4'!H26</f>
        <v>142448720.09999999</v>
      </c>
      <c r="O408" s="216"/>
    </row>
    <row r="409" spans="1:17" ht="91.5" thickTop="1" thickBot="1" x14ac:dyDescent="1.2">
      <c r="A409" s="427" t="s">
        <v>371</v>
      </c>
      <c r="B409" s="427" t="s">
        <v>371</v>
      </c>
      <c r="C409" s="427" t="s">
        <v>371</v>
      </c>
      <c r="D409" s="428" t="s">
        <v>381</v>
      </c>
      <c r="E409" s="427" t="s">
        <v>371</v>
      </c>
      <c r="F409" s="427" t="s">
        <v>371</v>
      </c>
      <c r="G409" s="429">
        <f>G16+G64+G220+G123+G152+G199+G325+G373+G389+G397+G358+G350+G276+G244+G403</f>
        <v>5870318964.9599991</v>
      </c>
      <c r="H409" s="429">
        <f>H16+H64+H220+H123+H152+H199+H325+H373+H389+H397+H358+H350+H276+H244+H403</f>
        <v>5203427057.7999992</v>
      </c>
      <c r="I409" s="429">
        <f>I16+I64+I220+I123+I152+I199+I325+I373+I389+I397+I358+I350+I276+I244+I403</f>
        <v>666891907.15999997</v>
      </c>
      <c r="J409" s="429">
        <f>J16+J64+J220+J123+J152+J199+J325+J373+J389+J397+J358+J350+J276+J244+J403</f>
        <v>356371449.62</v>
      </c>
      <c r="K409" s="613" t="b">
        <f>G409=H409+I409</f>
        <v>1</v>
      </c>
      <c r="L409" s="612" t="b">
        <f>'d3'!K469-'d3'!K184-'d3'!J188-'d3'!J190+'d4'!P25=J409</f>
        <v>1</v>
      </c>
      <c r="M409" s="130"/>
    </row>
    <row r="410" spans="1:17" ht="31.7" customHeight="1" thickTop="1" x14ac:dyDescent="0.2">
      <c r="A410" s="800" t="s">
        <v>1579</v>
      </c>
      <c r="B410" s="801"/>
      <c r="C410" s="801"/>
      <c r="D410" s="801"/>
      <c r="E410" s="801"/>
      <c r="F410" s="801"/>
      <c r="G410" s="801"/>
      <c r="H410" s="801"/>
      <c r="I410" s="801"/>
      <c r="J410" s="801"/>
      <c r="L410" s="899"/>
      <c r="M410" s="899"/>
      <c r="N410" s="899"/>
      <c r="O410" s="899"/>
      <c r="P410" s="899"/>
    </row>
    <row r="411" spans="1:17" ht="4.7" customHeight="1" x14ac:dyDescent="0.2">
      <c r="A411" s="14"/>
      <c r="B411" s="15"/>
      <c r="C411" s="15"/>
      <c r="D411" s="15"/>
      <c r="E411" s="15"/>
      <c r="F411" s="15"/>
      <c r="G411" s="15"/>
      <c r="H411" s="15"/>
      <c r="I411" s="15"/>
      <c r="J411" s="15"/>
      <c r="L411" s="899"/>
      <c r="M411" s="899"/>
      <c r="N411" s="899"/>
      <c r="O411" s="899"/>
      <c r="P411" s="899"/>
    </row>
    <row r="412" spans="1:17" ht="45.75" x14ac:dyDescent="0.55000000000000004">
      <c r="A412" s="14"/>
      <c r="B412" s="15"/>
      <c r="C412" s="15"/>
      <c r="D412" s="843"/>
      <c r="E412" s="799"/>
      <c r="F412" s="2"/>
      <c r="G412" s="2"/>
      <c r="H412" s="430"/>
      <c r="I412" s="430"/>
      <c r="J412" s="430"/>
      <c r="K412" s="217"/>
      <c r="L412" s="899"/>
      <c r="M412" s="899"/>
      <c r="N412" s="899"/>
      <c r="O412" s="899"/>
      <c r="P412" s="899"/>
      <c r="Q412" s="219"/>
    </row>
    <row r="413" spans="1:17" ht="45.75" x14ac:dyDescent="0.55000000000000004">
      <c r="A413" s="74"/>
      <c r="B413" s="74"/>
      <c r="C413" s="74"/>
      <c r="D413" s="843" t="s">
        <v>1417</v>
      </c>
      <c r="E413" s="799"/>
      <c r="F413" s="2"/>
      <c r="G413" s="2" t="s">
        <v>1418</v>
      </c>
      <c r="H413" s="2"/>
      <c r="I413" s="2"/>
      <c r="J413" s="2"/>
      <c r="K413" s="185"/>
      <c r="L413" s="899"/>
      <c r="M413" s="899"/>
      <c r="N413" s="899"/>
      <c r="O413" s="899"/>
      <c r="P413" s="899"/>
      <c r="Q413" s="219"/>
    </row>
    <row r="414" spans="1:17" ht="45.75" hidden="1" x14ac:dyDescent="0.65">
      <c r="A414" s="74"/>
      <c r="B414" s="74"/>
      <c r="C414" s="74"/>
      <c r="D414" s="3" t="s">
        <v>1270</v>
      </c>
      <c r="E414" s="240"/>
      <c r="F414" s="3"/>
      <c r="G414" s="3" t="s">
        <v>1246</v>
      </c>
      <c r="H414" s="2"/>
      <c r="I414" s="2"/>
      <c r="J414" s="2"/>
      <c r="K414" s="185"/>
      <c r="L414" s="899"/>
      <c r="M414" s="899"/>
      <c r="N414" s="899"/>
      <c r="O414" s="899"/>
      <c r="P414" s="899"/>
      <c r="Q414" s="219"/>
    </row>
    <row r="415" spans="1:17" ht="45.75" hidden="1" x14ac:dyDescent="0.65">
      <c r="A415" s="74"/>
      <c r="B415" s="74"/>
      <c r="C415" s="74"/>
      <c r="D415" s="903" t="s">
        <v>1472</v>
      </c>
      <c r="E415" s="904"/>
      <c r="F415" s="3"/>
      <c r="G415" s="431" t="s">
        <v>1471</v>
      </c>
      <c r="H415" s="2"/>
      <c r="I415" s="2"/>
      <c r="J415" s="2"/>
      <c r="K415" s="185"/>
      <c r="L415" s="899"/>
      <c r="M415" s="899"/>
      <c r="N415" s="899"/>
      <c r="O415" s="899"/>
      <c r="P415" s="899"/>
      <c r="Q415" s="219"/>
    </row>
    <row r="416" spans="1:17" ht="117.75" customHeight="1" x14ac:dyDescent="0.65">
      <c r="A416" s="73"/>
      <c r="B416" s="73"/>
      <c r="C416" s="73"/>
      <c r="D416" s="902" t="s">
        <v>501</v>
      </c>
      <c r="E416" s="799"/>
      <c r="F416" s="3"/>
      <c r="G416" s="3" t="s">
        <v>1168</v>
      </c>
      <c r="H416" s="432"/>
      <c r="I416" s="433"/>
      <c r="J416" s="434"/>
      <c r="K416" s="115"/>
      <c r="L416" s="899"/>
      <c r="M416" s="899"/>
      <c r="N416" s="899"/>
      <c r="O416" s="899"/>
      <c r="P416" s="899"/>
      <c r="Q416" s="6"/>
    </row>
    <row r="417" spans="1:17" ht="45.75" customHeight="1" x14ac:dyDescent="0.65">
      <c r="D417" s="830"/>
      <c r="E417" s="830"/>
      <c r="F417" s="830"/>
      <c r="G417" s="830"/>
      <c r="H417" s="830"/>
      <c r="I417" s="830"/>
      <c r="J417" s="830"/>
      <c r="K417" s="115"/>
      <c r="L417" s="899"/>
      <c r="M417" s="899"/>
      <c r="N417" s="899"/>
      <c r="O417" s="899"/>
      <c r="P417" s="899"/>
      <c r="Q417" s="6"/>
    </row>
    <row r="418" spans="1:17" ht="12.75" customHeight="1" x14ac:dyDescent="0.2">
      <c r="E418" s="221"/>
      <c r="F418" s="222"/>
      <c r="L418" s="899"/>
      <c r="M418" s="899"/>
      <c r="N418" s="899"/>
      <c r="O418" s="899"/>
      <c r="P418" s="899"/>
    </row>
    <row r="419" spans="1:17" ht="12.75" customHeight="1" x14ac:dyDescent="0.2">
      <c r="E419" s="221"/>
      <c r="F419" s="222"/>
      <c r="L419" s="899"/>
      <c r="M419" s="899"/>
      <c r="N419" s="899"/>
      <c r="O419" s="899"/>
      <c r="P419" s="899"/>
    </row>
    <row r="420" spans="1:17" ht="62.45" customHeight="1" x14ac:dyDescent="0.8">
      <c r="A420" s="13"/>
      <c r="B420" s="13"/>
      <c r="C420" s="13"/>
      <c r="D420" s="13"/>
      <c r="E420" s="219"/>
      <c r="F420" s="218"/>
      <c r="I420" s="13"/>
      <c r="J420" s="224"/>
      <c r="L420" s="899"/>
      <c r="M420" s="899"/>
      <c r="N420" s="899"/>
      <c r="O420" s="899"/>
      <c r="P420" s="899"/>
    </row>
    <row r="421" spans="1:17" ht="45.75" customHeight="1" x14ac:dyDescent="0.2">
      <c r="E421" s="225"/>
      <c r="F421" s="220"/>
      <c r="L421" s="899"/>
      <c r="M421" s="899"/>
      <c r="N421" s="899"/>
      <c r="O421" s="899"/>
      <c r="P421" s="899"/>
    </row>
    <row r="422" spans="1:17" ht="45.75" customHeight="1" x14ac:dyDescent="0.2">
      <c r="A422" s="13"/>
      <c r="B422" s="13"/>
      <c r="C422" s="13"/>
      <c r="D422" s="13"/>
      <c r="E422" s="219"/>
      <c r="F422" s="218"/>
      <c r="I422" s="13"/>
      <c r="J422" s="13"/>
      <c r="L422" s="899"/>
      <c r="M422" s="899"/>
      <c r="N422" s="899"/>
      <c r="O422" s="899"/>
      <c r="P422" s="899"/>
    </row>
    <row r="423" spans="1:17" ht="45.75" customHeight="1" x14ac:dyDescent="0.2">
      <c r="E423" s="225"/>
      <c r="F423" s="220"/>
      <c r="L423" s="899"/>
      <c r="M423" s="899"/>
      <c r="N423" s="899"/>
      <c r="O423" s="899"/>
      <c r="P423" s="899"/>
    </row>
    <row r="424" spans="1:17" ht="45.75" customHeight="1" x14ac:dyDescent="0.2">
      <c r="E424" s="225"/>
      <c r="F424" s="220"/>
      <c r="L424" s="899"/>
      <c r="M424" s="899"/>
      <c r="N424" s="899"/>
      <c r="O424" s="899"/>
      <c r="P424" s="899"/>
    </row>
    <row r="425" spans="1:17" ht="45.75" customHeight="1" x14ac:dyDescent="0.2">
      <c r="E425" s="225"/>
      <c r="F425" s="220"/>
      <c r="L425" s="899"/>
      <c r="M425" s="899"/>
      <c r="N425" s="899"/>
      <c r="O425" s="899"/>
      <c r="P425" s="899"/>
    </row>
    <row r="426" spans="1:17" ht="45.75" customHeight="1" x14ac:dyDescent="0.2">
      <c r="A426" s="13"/>
      <c r="B426" s="13"/>
      <c r="C426" s="13"/>
      <c r="D426" s="13"/>
      <c r="E426" s="225"/>
      <c r="F426" s="220"/>
      <c r="G426" s="13"/>
      <c r="H426" s="13"/>
      <c r="I426" s="13"/>
      <c r="J426" s="13"/>
      <c r="L426" s="899"/>
      <c r="M426" s="899"/>
      <c r="N426" s="899"/>
      <c r="O426" s="899"/>
      <c r="P426" s="899"/>
    </row>
    <row r="427" spans="1:17" ht="45.75" customHeight="1" x14ac:dyDescent="0.2">
      <c r="A427" s="13"/>
      <c r="B427" s="13"/>
      <c r="C427" s="13"/>
      <c r="D427" s="13"/>
      <c r="E427" s="225"/>
      <c r="F427" s="220"/>
      <c r="G427" s="13"/>
      <c r="H427" s="13"/>
      <c r="I427" s="13"/>
      <c r="J427" s="13"/>
      <c r="L427" s="899"/>
      <c r="M427" s="899"/>
      <c r="N427" s="899"/>
      <c r="O427" s="899"/>
      <c r="P427" s="899"/>
    </row>
    <row r="428" spans="1:17" ht="45.75" customHeight="1" x14ac:dyDescent="0.2">
      <c r="A428" s="13"/>
      <c r="B428" s="13"/>
      <c r="C428" s="13"/>
      <c r="D428" s="13"/>
      <c r="E428" s="225"/>
      <c r="F428" s="220"/>
      <c r="G428" s="13"/>
      <c r="H428" s="13"/>
      <c r="I428" s="13"/>
      <c r="J428" s="13"/>
      <c r="L428" s="899"/>
      <c r="M428" s="899"/>
      <c r="N428" s="899"/>
      <c r="O428" s="899"/>
      <c r="P428" s="899"/>
    </row>
    <row r="429" spans="1:17" ht="45.75" customHeight="1" x14ac:dyDescent="0.2">
      <c r="A429" s="13"/>
      <c r="B429" s="13"/>
      <c r="C429" s="13"/>
      <c r="D429" s="13"/>
      <c r="E429" s="225"/>
      <c r="F429" s="220"/>
      <c r="G429" s="13"/>
      <c r="H429" s="13"/>
      <c r="I429" s="13"/>
      <c r="J429" s="13"/>
      <c r="L429" s="899"/>
      <c r="M429" s="899"/>
      <c r="N429" s="899"/>
      <c r="O429" s="899"/>
      <c r="P429" s="899"/>
    </row>
    <row r="430" spans="1:17" ht="12.75" customHeight="1" x14ac:dyDescent="0.2">
      <c r="L430" s="899"/>
      <c r="M430" s="899"/>
      <c r="N430" s="899"/>
      <c r="O430" s="899"/>
      <c r="P430" s="899"/>
    </row>
    <row r="431" spans="1:17" ht="12.75" customHeight="1" x14ac:dyDescent="0.2">
      <c r="L431" s="899"/>
      <c r="M431" s="899"/>
      <c r="N431" s="899"/>
      <c r="O431" s="899"/>
      <c r="P431" s="899"/>
    </row>
    <row r="432" spans="1:17" ht="12.75" customHeight="1" x14ac:dyDescent="0.2">
      <c r="L432" s="899"/>
      <c r="M432" s="899"/>
      <c r="N432" s="899"/>
      <c r="O432" s="899"/>
      <c r="P432" s="899"/>
    </row>
    <row r="433" spans="12:16" ht="12.75" customHeight="1" x14ac:dyDescent="0.2">
      <c r="L433" s="899"/>
      <c r="M433" s="899"/>
      <c r="N433" s="899"/>
      <c r="O433" s="899"/>
      <c r="P433" s="899"/>
    </row>
    <row r="434" spans="12:16" ht="12.75" customHeight="1" x14ac:dyDescent="0.2">
      <c r="L434" s="899"/>
      <c r="M434" s="899"/>
      <c r="N434" s="899"/>
      <c r="O434" s="899"/>
      <c r="P434" s="899"/>
    </row>
    <row r="435" spans="12:16" ht="12.75" customHeight="1" x14ac:dyDescent="0.2">
      <c r="L435" s="899"/>
      <c r="M435" s="899"/>
      <c r="N435" s="899"/>
      <c r="O435" s="899"/>
      <c r="P435" s="899"/>
    </row>
    <row r="436" spans="12:16" ht="12.75" customHeight="1" x14ac:dyDescent="0.2">
      <c r="L436" s="899"/>
      <c r="M436" s="899"/>
      <c r="N436" s="899"/>
      <c r="O436" s="899"/>
      <c r="P436" s="899"/>
    </row>
    <row r="437" spans="12:16" ht="12.75" customHeight="1" x14ac:dyDescent="0.2">
      <c r="L437" s="899"/>
      <c r="M437" s="899"/>
      <c r="N437" s="899"/>
      <c r="O437" s="899"/>
      <c r="P437" s="899"/>
    </row>
    <row r="438" spans="12:16" ht="12.75" customHeight="1" x14ac:dyDescent="0.2">
      <c r="L438" s="899"/>
      <c r="M438" s="899"/>
      <c r="N438" s="899"/>
      <c r="O438" s="899"/>
      <c r="P438" s="899"/>
    </row>
    <row r="439" spans="12:16" ht="12.75" customHeight="1" x14ac:dyDescent="0.2">
      <c r="L439" s="899"/>
      <c r="M439" s="899"/>
      <c r="N439" s="899"/>
      <c r="O439" s="899"/>
      <c r="P439" s="899"/>
    </row>
    <row r="440" spans="12:16" ht="12.75" customHeight="1" x14ac:dyDescent="0.2">
      <c r="L440" s="899"/>
      <c r="M440" s="899"/>
      <c r="N440" s="899"/>
      <c r="O440" s="899"/>
      <c r="P440" s="899"/>
    </row>
    <row r="441" spans="12:16" ht="12.75" customHeight="1" x14ac:dyDescent="0.2">
      <c r="L441" s="899"/>
      <c r="M441" s="899"/>
      <c r="N441" s="899"/>
      <c r="O441" s="899"/>
      <c r="P441" s="899"/>
    </row>
    <row r="442" spans="12:16" ht="12.75" customHeight="1" x14ac:dyDescent="0.2">
      <c r="L442" s="899"/>
      <c r="M442" s="899"/>
      <c r="N442" s="899"/>
      <c r="O442" s="899"/>
      <c r="P442" s="899"/>
    </row>
    <row r="443" spans="12:16" ht="12.75" customHeight="1" x14ac:dyDescent="0.2">
      <c r="L443" s="899"/>
      <c r="M443" s="899"/>
      <c r="N443" s="899"/>
      <c r="O443" s="899"/>
      <c r="P443" s="899"/>
    </row>
    <row r="444" spans="12:16" ht="12.75" customHeight="1" x14ac:dyDescent="0.2">
      <c r="L444" s="899"/>
      <c r="M444" s="899"/>
      <c r="N444" s="899"/>
      <c r="O444" s="899"/>
      <c r="P444" s="899"/>
    </row>
    <row r="445" spans="12:16" ht="12.75" customHeight="1" x14ac:dyDescent="0.2">
      <c r="L445" s="899"/>
      <c r="M445" s="899"/>
      <c r="N445" s="899"/>
      <c r="O445" s="899"/>
      <c r="P445" s="899"/>
    </row>
    <row r="446" spans="12:16" ht="12.75" customHeight="1" x14ac:dyDescent="0.2">
      <c r="L446" s="899"/>
      <c r="M446" s="899"/>
      <c r="N446" s="899"/>
      <c r="O446" s="899"/>
      <c r="P446" s="899"/>
    </row>
    <row r="447" spans="12:16" ht="12.75" customHeight="1" x14ac:dyDescent="0.2">
      <c r="L447" s="899"/>
      <c r="M447" s="899"/>
      <c r="N447" s="899"/>
      <c r="O447" s="899"/>
      <c r="P447" s="899"/>
    </row>
    <row r="448" spans="12:16" ht="12.75" customHeight="1" x14ac:dyDescent="0.2">
      <c r="L448" s="899"/>
      <c r="M448" s="899"/>
      <c r="N448" s="899"/>
      <c r="O448" s="899"/>
      <c r="P448" s="899"/>
    </row>
    <row r="449" spans="12:16" ht="12.75" customHeight="1" x14ac:dyDescent="0.2">
      <c r="L449" s="899"/>
      <c r="M449" s="899"/>
      <c r="N449" s="899"/>
      <c r="O449" s="899"/>
      <c r="P449" s="899"/>
    </row>
    <row r="450" spans="12:16" ht="12.75" customHeight="1" x14ac:dyDescent="0.2">
      <c r="L450" s="899"/>
      <c r="M450" s="899"/>
      <c r="N450" s="899"/>
      <c r="O450" s="899"/>
      <c r="P450" s="899"/>
    </row>
    <row r="451" spans="12:16" ht="12.75" customHeight="1" x14ac:dyDescent="0.2">
      <c r="L451" s="899"/>
      <c r="M451" s="899"/>
      <c r="N451" s="899"/>
      <c r="O451" s="899"/>
      <c r="P451" s="899"/>
    </row>
    <row r="452" spans="12:16" ht="12.75" customHeight="1" x14ac:dyDescent="0.2">
      <c r="L452" s="899"/>
      <c r="M452" s="899"/>
      <c r="N452" s="899"/>
      <c r="O452" s="899"/>
      <c r="P452" s="899"/>
    </row>
    <row r="453" spans="12:16" ht="12.75" customHeight="1" x14ac:dyDescent="0.2">
      <c r="L453" s="899"/>
      <c r="M453" s="899"/>
      <c r="N453" s="899"/>
      <c r="O453" s="899"/>
      <c r="P453" s="899"/>
    </row>
    <row r="454" spans="12:16" ht="12.75" customHeight="1" x14ac:dyDescent="0.2">
      <c r="L454" s="899"/>
      <c r="M454" s="899"/>
      <c r="N454" s="899"/>
      <c r="O454" s="899"/>
      <c r="P454" s="899"/>
    </row>
    <row r="455" spans="12:16" ht="12.75" customHeight="1" x14ac:dyDescent="0.2">
      <c r="L455" s="899"/>
      <c r="M455" s="899"/>
      <c r="N455" s="899"/>
      <c r="O455" s="899"/>
      <c r="P455" s="899"/>
    </row>
    <row r="456" spans="12:16" ht="12.75" customHeight="1" x14ac:dyDescent="0.2">
      <c r="L456" s="899"/>
      <c r="M456" s="899"/>
      <c r="N456" s="899"/>
      <c r="O456" s="899"/>
      <c r="P456" s="899"/>
    </row>
    <row r="457" spans="12:16" ht="12.75" customHeight="1" x14ac:dyDescent="0.2">
      <c r="L457" s="899"/>
      <c r="M457" s="899"/>
      <c r="N457" s="899"/>
      <c r="O457" s="899"/>
      <c r="P457" s="899"/>
    </row>
    <row r="458" spans="12:16" ht="12.75" customHeight="1" x14ac:dyDescent="0.2">
      <c r="L458" s="899"/>
      <c r="M458" s="899"/>
      <c r="N458" s="899"/>
      <c r="O458" s="899"/>
      <c r="P458" s="899"/>
    </row>
    <row r="459" spans="12:16" ht="12.75" customHeight="1" x14ac:dyDescent="0.2">
      <c r="L459" s="899"/>
      <c r="M459" s="899"/>
      <c r="N459" s="899"/>
      <c r="O459" s="899"/>
      <c r="P459" s="899"/>
    </row>
    <row r="460" spans="12:16" ht="12.75" customHeight="1" x14ac:dyDescent="0.2">
      <c r="L460" s="899"/>
      <c r="M460" s="899"/>
      <c r="N460" s="899"/>
      <c r="O460" s="899"/>
      <c r="P460" s="899"/>
    </row>
    <row r="461" spans="12:16" ht="12.75" customHeight="1" x14ac:dyDescent="0.2">
      <c r="L461" s="899"/>
      <c r="M461" s="899"/>
      <c r="N461" s="899"/>
      <c r="O461" s="899"/>
      <c r="P461" s="899"/>
    </row>
    <row r="462" spans="12:16" ht="12.75" customHeight="1" x14ac:dyDescent="0.2">
      <c r="L462" s="899"/>
      <c r="M462" s="899"/>
      <c r="N462" s="899"/>
      <c r="O462" s="899"/>
      <c r="P462" s="899"/>
    </row>
    <row r="463" spans="12:16" ht="12.75" customHeight="1" x14ac:dyDescent="0.2">
      <c r="L463" s="899"/>
      <c r="M463" s="899"/>
      <c r="N463" s="899"/>
      <c r="O463" s="899"/>
      <c r="P463" s="899"/>
    </row>
  </sheetData>
  <mergeCells count="52">
    <mergeCell ref="L410:P463"/>
    <mergeCell ref="G147:G148"/>
    <mergeCell ref="H147:H148"/>
    <mergeCell ref="I147:I148"/>
    <mergeCell ref="J147:J148"/>
    <mergeCell ref="D417:J417"/>
    <mergeCell ref="A410:J410"/>
    <mergeCell ref="D416:E416"/>
    <mergeCell ref="D412:E412"/>
    <mergeCell ref="D413:E413"/>
    <mergeCell ref="D415:E415"/>
    <mergeCell ref="A346:A347"/>
    <mergeCell ref="B346:B347"/>
    <mergeCell ref="C346:C347"/>
    <mergeCell ref="E346:E347"/>
    <mergeCell ref="F346:F347"/>
    <mergeCell ref="I1:J1"/>
    <mergeCell ref="I2:J2"/>
    <mergeCell ref="I3:J3"/>
    <mergeCell ref="A5:J5"/>
    <mergeCell ref="A8:J8"/>
    <mergeCell ref="A6:J6"/>
    <mergeCell ref="A7:J7"/>
    <mergeCell ref="A9:J9"/>
    <mergeCell ref="A10:J10"/>
    <mergeCell ref="F12:F13"/>
    <mergeCell ref="G12:G13"/>
    <mergeCell ref="A12:A13"/>
    <mergeCell ref="B12:B13"/>
    <mergeCell ref="C12:C13"/>
    <mergeCell ref="D12:D13"/>
    <mergeCell ref="E12:E13"/>
    <mergeCell ref="H12:H13"/>
    <mergeCell ref="I12:J12"/>
    <mergeCell ref="K109:K110"/>
    <mergeCell ref="L109:L110"/>
    <mergeCell ref="L25:L28"/>
    <mergeCell ref="M25:M28"/>
    <mergeCell ref="K25:K28"/>
    <mergeCell ref="M109:M110"/>
    <mergeCell ref="H346:H347"/>
    <mergeCell ref="K186:K189"/>
    <mergeCell ref="K303:K314"/>
    <mergeCell ref="L303:L314"/>
    <mergeCell ref="M303:M314"/>
    <mergeCell ref="L186:L189"/>
    <mergeCell ref="K368:K369"/>
    <mergeCell ref="L368:L369"/>
    <mergeCell ref="M368:M369"/>
    <mergeCell ref="M186:M189"/>
    <mergeCell ref="I346:I347"/>
    <mergeCell ref="J346:J347"/>
  </mergeCells>
  <phoneticPr fontId="205" type="noConversion"/>
  <pageMargins left="0.23622047244094491" right="0.27559055118110237" top="0.27559055118110237" bottom="0.15748031496062992" header="0.23622047244094491" footer="0.27559055118110237"/>
  <pageSetup paperSize="9" scale="16" orientation="landscape" verticalDpi="300" r:id="rId1"/>
  <headerFooter alignWithMargins="0">
    <oddFooter>&amp;C&amp;"Times New Roman Cyr,курсив"Сторінка &amp;P з &amp;N</oddFooter>
  </headerFooter>
  <rowBreaks count="3" manualBreakCount="3">
    <brk id="258" max="9" man="1"/>
    <brk id="398" max="9" man="1"/>
    <brk id="41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9"/>
  <sheetViews>
    <sheetView view="pageBreakPreview" topLeftCell="A4" zoomScale="85" zoomScaleNormal="85" zoomScaleSheetLayoutView="85" workbookViewId="0">
      <selection activeCell="D35" sqref="D35"/>
    </sheetView>
  </sheetViews>
  <sheetFormatPr defaultColWidth="9.140625" defaultRowHeight="12.75" x14ac:dyDescent="0.2"/>
  <cols>
    <col min="1" max="1" width="18.140625" style="93" customWidth="1"/>
    <col min="2" max="2" width="108.42578125" style="93" customWidth="1"/>
    <col min="3" max="3" width="4" style="93" hidden="1" customWidth="1"/>
    <col min="4" max="4" width="22.85546875" style="93" customWidth="1"/>
    <col min="5" max="5" width="14.7109375" style="93" customWidth="1"/>
    <col min="6" max="6" width="22" style="93" bestFit="1" customWidth="1"/>
    <col min="7" max="7" width="19" style="93" bestFit="1" customWidth="1"/>
    <col min="8" max="9" width="12.5703125" style="93" bestFit="1" customWidth="1"/>
    <col min="10" max="10" width="52.5703125" style="93" customWidth="1"/>
    <col min="11" max="16384" width="9.140625" style="93"/>
  </cols>
  <sheetData>
    <row r="1" spans="1:9" ht="16.5" customHeight="1" x14ac:dyDescent="0.2">
      <c r="A1" s="435"/>
      <c r="B1" s="435"/>
      <c r="C1" s="741" t="s">
        <v>566</v>
      </c>
      <c r="D1" s="741"/>
      <c r="E1" s="436"/>
      <c r="F1" s="436"/>
      <c r="G1" s="435"/>
      <c r="H1" s="435"/>
      <c r="I1" s="435"/>
    </row>
    <row r="2" spans="1:9" ht="16.5" customHeight="1" x14ac:dyDescent="0.2">
      <c r="A2" s="435"/>
      <c r="B2" s="435"/>
      <c r="C2" s="916" t="s">
        <v>1352</v>
      </c>
      <c r="D2" s="917"/>
      <c r="E2" s="917"/>
      <c r="F2" s="917"/>
      <c r="G2" s="435"/>
      <c r="H2" s="435"/>
      <c r="I2" s="435"/>
    </row>
    <row r="3" spans="1:9" ht="17.45" customHeight="1" x14ac:dyDescent="0.2">
      <c r="A3" s="435"/>
      <c r="B3" s="435"/>
      <c r="C3" s="741" t="s">
        <v>1718</v>
      </c>
      <c r="D3" s="906"/>
      <c r="E3" s="435"/>
      <c r="F3" s="435"/>
      <c r="G3" s="435"/>
      <c r="H3" s="435"/>
      <c r="I3" s="435"/>
    </row>
    <row r="4" spans="1:9" ht="12.75" customHeight="1" x14ac:dyDescent="0.2">
      <c r="A4" s="435"/>
      <c r="B4" s="435"/>
      <c r="C4" s="741"/>
      <c r="D4" s="744"/>
      <c r="E4" s="435"/>
      <c r="F4" s="435"/>
      <c r="G4" s="435"/>
      <c r="H4" s="435"/>
      <c r="I4" s="435"/>
    </row>
    <row r="5" spans="1:9" ht="16.5" x14ac:dyDescent="0.25">
      <c r="A5" s="932" t="s">
        <v>544</v>
      </c>
      <c r="B5" s="932"/>
      <c r="C5" s="932"/>
      <c r="D5" s="744"/>
      <c r="E5" s="918"/>
      <c r="F5" s="919"/>
      <c r="G5" s="919"/>
      <c r="H5" s="919"/>
      <c r="I5" s="735"/>
    </row>
    <row r="6" spans="1:9" ht="16.5" x14ac:dyDescent="0.25">
      <c r="A6" s="932" t="s">
        <v>543</v>
      </c>
      <c r="B6" s="932"/>
      <c r="C6" s="932"/>
      <c r="D6" s="744"/>
      <c r="E6" s="437"/>
      <c r="F6" s="438"/>
      <c r="G6" s="438"/>
      <c r="H6" s="438"/>
      <c r="I6" s="372"/>
    </row>
    <row r="7" spans="1:9" ht="16.5" x14ac:dyDescent="0.25">
      <c r="A7" s="922" t="s">
        <v>124</v>
      </c>
      <c r="B7" s="922"/>
      <c r="C7" s="922"/>
      <c r="D7" s="923"/>
      <c r="E7" s="918"/>
      <c r="F7" s="918"/>
      <c r="G7" s="918"/>
      <c r="H7" s="918"/>
      <c r="I7" s="742"/>
    </row>
    <row r="8" spans="1:9" ht="16.5" x14ac:dyDescent="0.2">
      <c r="A8" s="922" t="s">
        <v>1500</v>
      </c>
      <c r="B8" s="922"/>
      <c r="C8" s="922"/>
      <c r="D8" s="923"/>
      <c r="E8" s="920"/>
      <c r="F8" s="920"/>
      <c r="G8" s="920"/>
      <c r="H8" s="920"/>
      <c r="I8" s="921"/>
    </row>
    <row r="9" spans="1:9" ht="16.5" x14ac:dyDescent="0.2">
      <c r="A9" s="439"/>
      <c r="B9" s="439"/>
      <c r="C9" s="439"/>
      <c r="D9" s="440"/>
      <c r="E9" s="441"/>
      <c r="F9" s="441"/>
      <c r="G9" s="441"/>
      <c r="H9" s="441"/>
      <c r="I9" s="442"/>
    </row>
    <row r="10" spans="1:9" ht="16.5" x14ac:dyDescent="0.2">
      <c r="A10" s="400">
        <v>2256400000</v>
      </c>
      <c r="B10" s="443"/>
      <c r="C10" s="444"/>
      <c r="D10" s="440"/>
      <c r="E10" s="445"/>
      <c r="F10" s="445"/>
      <c r="G10" s="445"/>
      <c r="H10" s="441"/>
      <c r="I10" s="442"/>
    </row>
    <row r="11" spans="1:9" ht="16.5" x14ac:dyDescent="0.2">
      <c r="A11" s="419" t="s">
        <v>474</v>
      </c>
      <c r="B11" s="370"/>
      <c r="C11" s="444"/>
      <c r="D11" s="440"/>
      <c r="E11" s="445"/>
      <c r="F11" s="445"/>
      <c r="G11" s="445"/>
      <c r="H11" s="441"/>
      <c r="I11" s="442"/>
    </row>
    <row r="12" spans="1:9" ht="17.25" thickBot="1" x14ac:dyDescent="0.25">
      <c r="A12" s="446"/>
      <c r="B12" s="446"/>
      <c r="C12" s="447"/>
      <c r="D12" s="447" t="s">
        <v>394</v>
      </c>
      <c r="E12" s="445"/>
      <c r="F12" s="445"/>
      <c r="G12" s="448"/>
      <c r="H12" s="435"/>
      <c r="I12" s="435"/>
    </row>
    <row r="13" spans="1:9" s="226" customFormat="1" ht="50.25" customHeight="1" thickTop="1" thickBot="1" x14ac:dyDescent="0.25">
      <c r="A13" s="451" t="s">
        <v>125</v>
      </c>
      <c r="B13" s="911" t="s">
        <v>126</v>
      </c>
      <c r="C13" s="913"/>
      <c r="D13" s="913"/>
      <c r="E13" s="72"/>
      <c r="F13" s="72"/>
      <c r="G13" s="72"/>
    </row>
    <row r="14" spans="1:9" s="226" customFormat="1" ht="39.75" customHeight="1" thickTop="1" thickBot="1" x14ac:dyDescent="0.25">
      <c r="A14" s="587" t="s">
        <v>127</v>
      </c>
      <c r="B14" s="907" t="s">
        <v>1570</v>
      </c>
      <c r="C14" s="908"/>
      <c r="D14" s="588">
        <v>200</v>
      </c>
      <c r="E14" s="72"/>
      <c r="F14" s="72"/>
      <c r="G14" s="72"/>
    </row>
    <row r="15" spans="1:9" s="226" customFormat="1" ht="40.700000000000003" customHeight="1" thickTop="1" thickBot="1" x14ac:dyDescent="0.25">
      <c r="A15" s="587" t="s">
        <v>128</v>
      </c>
      <c r="B15" s="907" t="s">
        <v>1571</v>
      </c>
      <c r="C15" s="908"/>
      <c r="D15" s="588">
        <v>3500000</v>
      </c>
      <c r="E15" s="72"/>
      <c r="F15" s="72"/>
      <c r="G15" s="72"/>
    </row>
    <row r="16" spans="1:9" s="226" customFormat="1" ht="66" customHeight="1" thickTop="1" thickBot="1" x14ac:dyDescent="0.25">
      <c r="A16" s="587" t="s">
        <v>129</v>
      </c>
      <c r="B16" s="907" t="s">
        <v>1572</v>
      </c>
      <c r="C16" s="908"/>
      <c r="D16" s="588">
        <v>1858195</v>
      </c>
      <c r="E16" s="72"/>
      <c r="F16" s="72"/>
      <c r="G16" s="72"/>
    </row>
    <row r="17" spans="1:7" s="226" customFormat="1" ht="52.5" customHeight="1" thickTop="1" thickBot="1" x14ac:dyDescent="0.25">
      <c r="A17" s="587" t="s">
        <v>939</v>
      </c>
      <c r="B17" s="907" t="s">
        <v>1573</v>
      </c>
      <c r="C17" s="908"/>
      <c r="D17" s="588">
        <v>1070685</v>
      </c>
      <c r="E17" s="72"/>
      <c r="F17" s="72"/>
      <c r="G17" s="72"/>
    </row>
    <row r="18" spans="1:7" s="226" customFormat="1" ht="56.25" customHeight="1" thickTop="1" thickBot="1" x14ac:dyDescent="0.25">
      <c r="A18" s="587" t="s">
        <v>130</v>
      </c>
      <c r="B18" s="907" t="s">
        <v>131</v>
      </c>
      <c r="C18" s="908"/>
      <c r="D18" s="588">
        <v>720</v>
      </c>
      <c r="E18" s="72"/>
      <c r="F18" s="72"/>
      <c r="G18" s="72"/>
    </row>
    <row r="19" spans="1:7" s="226" customFormat="1" ht="54.75" customHeight="1" thickTop="1" thickBot="1" x14ac:dyDescent="0.25">
      <c r="A19" s="587" t="s">
        <v>1116</v>
      </c>
      <c r="B19" s="907" t="s">
        <v>1117</v>
      </c>
      <c r="C19" s="908"/>
      <c r="D19" s="588">
        <v>175200</v>
      </c>
      <c r="E19" s="72"/>
      <c r="F19" s="72"/>
      <c r="G19" s="72"/>
    </row>
    <row r="20" spans="1:7" s="226" customFormat="1" ht="41.25" customHeight="1" thickTop="1" thickBot="1" x14ac:dyDescent="0.25">
      <c r="A20" s="587" t="s">
        <v>1118</v>
      </c>
      <c r="B20" s="907" t="s">
        <v>1119</v>
      </c>
      <c r="C20" s="908"/>
      <c r="D20" s="588">
        <v>500000</v>
      </c>
      <c r="E20" s="933"/>
      <c r="F20" s="934"/>
      <c r="G20" s="72"/>
    </row>
    <row r="21" spans="1:7" s="226" customFormat="1" ht="27" customHeight="1" thickTop="1" thickBot="1" x14ac:dyDescent="0.25">
      <c r="A21" s="227"/>
      <c r="B21" s="928" t="s">
        <v>132</v>
      </c>
      <c r="C21" s="908"/>
      <c r="D21" s="589">
        <f>SUM(D14:D20)</f>
        <v>7105000</v>
      </c>
      <c r="E21" s="72"/>
      <c r="F21" s="72"/>
      <c r="G21" s="72"/>
    </row>
    <row r="22" spans="1:7" s="226" customFormat="1" ht="18.75" hidden="1" thickTop="1" thickBot="1" x14ac:dyDescent="0.25">
      <c r="A22" s="227"/>
      <c r="B22" s="927" t="s">
        <v>428</v>
      </c>
      <c r="C22" s="910"/>
      <c r="D22" s="300"/>
      <c r="E22" s="72"/>
      <c r="F22" s="72"/>
      <c r="G22" s="72"/>
    </row>
    <row r="23" spans="1:7" s="226" customFormat="1" ht="27" customHeight="1" thickTop="1" thickBot="1" x14ac:dyDescent="0.25">
      <c r="A23" s="227"/>
      <c r="B23" s="930" t="s">
        <v>1574</v>
      </c>
      <c r="C23" s="931"/>
      <c r="D23" s="700">
        <v>3652670.54</v>
      </c>
      <c r="E23" s="72"/>
      <c r="F23" s="72"/>
      <c r="G23" s="72"/>
    </row>
    <row r="24" spans="1:7" s="226" customFormat="1" ht="26.45" customHeight="1" thickTop="1" thickBot="1" x14ac:dyDescent="0.25">
      <c r="A24" s="449" t="s">
        <v>371</v>
      </c>
      <c r="B24" s="914" t="s">
        <v>478</v>
      </c>
      <c r="C24" s="915"/>
      <c r="D24" s="450">
        <f>D21+D23</f>
        <v>10757670.539999999</v>
      </c>
      <c r="E24" s="591" t="b">
        <f>D24='d1'!E111+D23</f>
        <v>1</v>
      </c>
      <c r="G24" s="72"/>
    </row>
    <row r="25" spans="1:7" s="226" customFormat="1" ht="47.25" customHeight="1" thickTop="1" thickBot="1" x14ac:dyDescent="0.25">
      <c r="A25" s="451" t="s">
        <v>125</v>
      </c>
      <c r="B25" s="911" t="s">
        <v>133</v>
      </c>
      <c r="C25" s="912"/>
      <c r="D25" s="912"/>
      <c r="E25" s="72"/>
      <c r="F25" s="72"/>
      <c r="G25" s="72"/>
    </row>
    <row r="26" spans="1:7" s="226" customFormat="1" ht="43.5" customHeight="1" thickTop="1" thickBot="1" x14ac:dyDescent="0.25">
      <c r="A26" s="587" t="s">
        <v>134</v>
      </c>
      <c r="B26" s="907" t="s">
        <v>135</v>
      </c>
      <c r="C26" s="908"/>
      <c r="D26" s="588">
        <v>60000</v>
      </c>
      <c r="E26" s="72"/>
      <c r="F26" s="72"/>
      <c r="G26" s="72"/>
    </row>
    <row r="27" spans="1:7" s="226" customFormat="1" ht="44.45" customHeight="1" thickTop="1" thickBot="1" x14ac:dyDescent="0.25">
      <c r="A27" s="587" t="s">
        <v>136</v>
      </c>
      <c r="B27" s="907" t="s">
        <v>137</v>
      </c>
      <c r="C27" s="908"/>
      <c r="D27" s="588">
        <f>54900+18000+50000</f>
        <v>122900</v>
      </c>
      <c r="E27" s="72"/>
      <c r="F27" s="72"/>
      <c r="G27" s="72"/>
    </row>
    <row r="28" spans="1:7" s="226" customFormat="1" ht="44.45" hidden="1" customHeight="1" thickTop="1" thickBot="1" x14ac:dyDescent="0.25">
      <c r="A28" s="227" t="s">
        <v>454</v>
      </c>
      <c r="B28" s="909" t="s">
        <v>398</v>
      </c>
      <c r="C28" s="910"/>
      <c r="D28" s="311">
        <v>0</v>
      </c>
      <c r="E28" s="72"/>
      <c r="F28" s="72"/>
      <c r="G28" s="72"/>
    </row>
    <row r="29" spans="1:7" s="226" customFormat="1" ht="32.25" customHeight="1" thickTop="1" thickBot="1" x14ac:dyDescent="0.25">
      <c r="A29" s="587" t="s">
        <v>138</v>
      </c>
      <c r="B29" s="907" t="s">
        <v>140</v>
      </c>
      <c r="C29" s="908"/>
      <c r="D29" s="588">
        <f>(300000)-50000</f>
        <v>250000</v>
      </c>
      <c r="E29" s="72"/>
      <c r="F29" s="72"/>
      <c r="G29" s="72"/>
    </row>
    <row r="30" spans="1:7" s="226" customFormat="1" ht="55.5" customHeight="1" thickTop="1" thickBot="1" x14ac:dyDescent="0.25">
      <c r="A30" s="587" t="s">
        <v>139</v>
      </c>
      <c r="B30" s="907" t="s">
        <v>1274</v>
      </c>
      <c r="C30" s="908"/>
      <c r="D30" s="588">
        <f>(1577362-54900+17000+100000+6038+200000)+95550</f>
        <v>1941050</v>
      </c>
      <c r="E30" s="72"/>
      <c r="F30" s="72"/>
      <c r="G30" s="72"/>
    </row>
    <row r="31" spans="1:7" s="226" customFormat="1" ht="17.25" hidden="1" thickTop="1" thickBot="1" x14ac:dyDescent="0.25">
      <c r="A31" s="227" t="s">
        <v>141</v>
      </c>
      <c r="B31" s="909" t="s">
        <v>1090</v>
      </c>
      <c r="C31" s="910"/>
      <c r="D31" s="311">
        <v>0</v>
      </c>
      <c r="E31" s="72"/>
      <c r="F31" s="72"/>
      <c r="G31" s="72"/>
    </row>
    <row r="32" spans="1:7" s="226" customFormat="1" ht="66.75" customHeight="1" thickTop="1" thickBot="1" x14ac:dyDescent="0.25">
      <c r="A32" s="701" t="s">
        <v>928</v>
      </c>
      <c r="B32" s="702" t="s">
        <v>929</v>
      </c>
      <c r="C32" s="343"/>
      <c r="D32" s="703">
        <f>(583723.63)+3697243.71</f>
        <v>4280967.34</v>
      </c>
      <c r="E32" s="72"/>
      <c r="F32" s="72"/>
      <c r="G32" s="72"/>
    </row>
    <row r="33" spans="1:7" s="226" customFormat="1" ht="17.25" hidden="1" thickTop="1" thickBot="1" x14ac:dyDescent="0.25">
      <c r="A33" s="227" t="s">
        <v>455</v>
      </c>
      <c r="B33" s="909" t="s">
        <v>142</v>
      </c>
      <c r="C33" s="910"/>
      <c r="D33" s="311">
        <f>(20000)-20000</f>
        <v>0</v>
      </c>
      <c r="E33" s="72"/>
      <c r="F33" s="72"/>
      <c r="G33" s="72"/>
    </row>
    <row r="34" spans="1:7" s="226" customFormat="1" ht="17.25" hidden="1" thickTop="1" thickBot="1" x14ac:dyDescent="0.25">
      <c r="A34" s="227" t="s">
        <v>455</v>
      </c>
      <c r="B34" s="909" t="s">
        <v>142</v>
      </c>
      <c r="C34" s="910"/>
      <c r="D34" s="311"/>
      <c r="E34" s="72"/>
      <c r="F34" s="72"/>
      <c r="G34" s="72"/>
    </row>
    <row r="35" spans="1:7" s="226" customFormat="1" ht="138" customHeight="1" thickTop="1" thickBot="1" x14ac:dyDescent="0.25">
      <c r="A35" s="587" t="s">
        <v>456</v>
      </c>
      <c r="B35" s="929" t="s">
        <v>1120</v>
      </c>
      <c r="C35" s="744"/>
      <c r="D35" s="590">
        <f>((60000+4716600)+2973396.91)-3647243.71</f>
        <v>4102753.2</v>
      </c>
      <c r="E35" s="72"/>
      <c r="F35" s="72"/>
      <c r="G35" s="72"/>
    </row>
    <row r="36" spans="1:7" s="226" customFormat="1" ht="27.75" customHeight="1" thickTop="1" thickBot="1" x14ac:dyDescent="0.25">
      <c r="A36" s="449" t="s">
        <v>371</v>
      </c>
      <c r="B36" s="914" t="s">
        <v>478</v>
      </c>
      <c r="C36" s="915"/>
      <c r="D36" s="450">
        <f>SUM(D26:D35)</f>
        <v>10757670.539999999</v>
      </c>
      <c r="E36" s="591" t="b">
        <f>D24=D36</f>
        <v>1</v>
      </c>
      <c r="F36" s="591" t="b">
        <f>D36='d3'!J36+'d3'!J212+'d3'!J298+'d3'!J328+'d3'!J374</f>
        <v>1</v>
      </c>
      <c r="G36" s="591" t="b">
        <f>D36='d7'!G317+'d7'!G272+'d7'!G197+'d7'!G39+'d7'!G346</f>
        <v>1</v>
      </c>
    </row>
    <row r="37" spans="1:7" s="228" customFormat="1" ht="27.75" customHeight="1" thickTop="1" x14ac:dyDescent="0.2">
      <c r="A37" s="452"/>
      <c r="B37" s="453"/>
      <c r="C37" s="378"/>
      <c r="D37" s="454"/>
      <c r="E37" s="10"/>
      <c r="F37" s="10"/>
    </row>
    <row r="38" spans="1:7" ht="15.75" x14ac:dyDescent="0.25">
      <c r="A38" s="435"/>
      <c r="B38" s="731" t="s">
        <v>1417</v>
      </c>
      <c r="C38" s="732"/>
      <c r="D38" s="247" t="s">
        <v>1418</v>
      </c>
      <c r="E38" s="268"/>
      <c r="F38" s="289"/>
    </row>
    <row r="39" spans="1:7" ht="15.75" hidden="1" x14ac:dyDescent="0.25">
      <c r="A39" s="435"/>
      <c r="B39" s="245" t="s">
        <v>1245</v>
      </c>
      <c r="C39" s="246"/>
      <c r="D39" s="245" t="s">
        <v>1246</v>
      </c>
      <c r="E39" s="268"/>
      <c r="F39" s="289"/>
    </row>
    <row r="40" spans="1:7" ht="30" hidden="1" x14ac:dyDescent="0.25">
      <c r="A40" s="435"/>
      <c r="B40" s="455" t="s">
        <v>1472</v>
      </c>
      <c r="C40" s="246"/>
      <c r="D40" s="342" t="s">
        <v>1471</v>
      </c>
      <c r="E40" s="268"/>
      <c r="F40" s="289"/>
    </row>
    <row r="41" spans="1:7" ht="15" x14ac:dyDescent="0.25">
      <c r="A41" s="435"/>
      <c r="B41" s="245"/>
      <c r="C41" s="245"/>
      <c r="D41" s="245"/>
      <c r="E41" s="11"/>
    </row>
    <row r="42" spans="1:7" ht="22.7" customHeight="1" x14ac:dyDescent="0.65">
      <c r="A42" s="456" t="s">
        <v>503</v>
      </c>
      <c r="B42" s="731" t="s">
        <v>501</v>
      </c>
      <c r="C42" s="732"/>
      <c r="D42" s="245" t="s">
        <v>1168</v>
      </c>
      <c r="E42" s="184"/>
    </row>
    <row r="43" spans="1:7" ht="18.75" x14ac:dyDescent="0.2">
      <c r="A43" s="229"/>
      <c r="B43" s="229"/>
      <c r="C43" s="229"/>
    </row>
    <row r="44" spans="1:7" ht="18.75" x14ac:dyDescent="0.2">
      <c r="A44" s="926"/>
      <c r="B44" s="926"/>
      <c r="C44" s="230"/>
    </row>
    <row r="50" spans="1:4" ht="16.5" x14ac:dyDescent="0.2">
      <c r="A50" s="925"/>
      <c r="B50" s="231"/>
      <c r="C50" s="232"/>
      <c r="D50" s="233"/>
    </row>
    <row r="51" spans="1:4" ht="16.5" x14ac:dyDescent="0.2">
      <c r="A51" s="925"/>
      <c r="B51" s="234"/>
      <c r="C51" s="232"/>
      <c r="D51" s="233"/>
    </row>
    <row r="52" spans="1:4" ht="16.5" x14ac:dyDescent="0.2">
      <c r="A52" s="925"/>
      <c r="B52" s="235"/>
      <c r="C52" s="232"/>
      <c r="D52" s="233"/>
    </row>
    <row r="53" spans="1:4" ht="16.5" x14ac:dyDescent="0.2">
      <c r="A53" s="925"/>
      <c r="B53" s="231"/>
      <c r="C53" s="232"/>
      <c r="D53" s="233"/>
    </row>
    <row r="54" spans="1:4" ht="16.5" x14ac:dyDescent="0.2">
      <c r="A54" s="925"/>
      <c r="B54" s="231" t="s">
        <v>1330</v>
      </c>
      <c r="C54" s="232"/>
      <c r="D54" s="233"/>
    </row>
    <row r="85" spans="6:6" x14ac:dyDescent="0.2">
      <c r="F85" s="924"/>
    </row>
    <row r="86" spans="6:6" x14ac:dyDescent="0.2">
      <c r="F86" s="725"/>
    </row>
    <row r="122" spans="4:6" x14ac:dyDescent="0.2">
      <c r="D122" s="93">
        <f>SUM(D123:D135)+D142</f>
        <v>88281</v>
      </c>
      <c r="F122" s="93">
        <f>G122+H122</f>
        <v>0</v>
      </c>
    </row>
    <row r="124" spans="4:6" x14ac:dyDescent="0.2">
      <c r="F124" s="93">
        <f t="shared" ref="F124:F134" si="0">G124+H124</f>
        <v>0</v>
      </c>
    </row>
    <row r="125" spans="4:6" x14ac:dyDescent="0.2">
      <c r="F125" s="93">
        <f t="shared" si="0"/>
        <v>0</v>
      </c>
    </row>
    <row r="126" spans="4:6" x14ac:dyDescent="0.2">
      <c r="F126" s="93">
        <f t="shared" si="0"/>
        <v>0</v>
      </c>
    </row>
    <row r="127" spans="4:6" x14ac:dyDescent="0.2">
      <c r="F127" s="93">
        <f t="shared" si="0"/>
        <v>0</v>
      </c>
    </row>
    <row r="128" spans="4:6" x14ac:dyDescent="0.2">
      <c r="F128" s="93">
        <f t="shared" si="0"/>
        <v>0</v>
      </c>
    </row>
    <row r="129" spans="1:10" x14ac:dyDescent="0.2">
      <c r="F129" s="93">
        <f t="shared" si="0"/>
        <v>0</v>
      </c>
    </row>
    <row r="130" spans="1:10" x14ac:dyDescent="0.2">
      <c r="F130" s="93">
        <f t="shared" si="0"/>
        <v>0</v>
      </c>
    </row>
    <row r="131" spans="1:10" x14ac:dyDescent="0.2">
      <c r="F131" s="93">
        <f t="shared" si="0"/>
        <v>0</v>
      </c>
    </row>
    <row r="132" spans="1:10" x14ac:dyDescent="0.2">
      <c r="F132" s="93">
        <f t="shared" si="0"/>
        <v>0</v>
      </c>
    </row>
    <row r="133" spans="1:10" x14ac:dyDescent="0.2">
      <c r="F133" s="93">
        <f t="shared" si="0"/>
        <v>0</v>
      </c>
    </row>
    <row r="134" spans="1:10" x14ac:dyDescent="0.2">
      <c r="F134" s="93">
        <f t="shared" si="0"/>
        <v>0</v>
      </c>
    </row>
    <row r="136" spans="1:10" x14ac:dyDescent="0.2">
      <c r="F136" s="93">
        <f>G137+H137</f>
        <v>0</v>
      </c>
    </row>
    <row r="137" spans="1:10" x14ac:dyDescent="0.2">
      <c r="F137" s="93">
        <f t="shared" ref="F137" si="1">G137+H137</f>
        <v>0</v>
      </c>
    </row>
    <row r="138" spans="1:10" x14ac:dyDescent="0.2">
      <c r="F138" s="93">
        <f>G138+H138</f>
        <v>0</v>
      </c>
    </row>
    <row r="139" spans="1:10" x14ac:dyDescent="0.2">
      <c r="F139" s="93">
        <f>G139+H139</f>
        <v>0</v>
      </c>
    </row>
    <row r="140" spans="1:10" x14ac:dyDescent="0.2">
      <c r="F140" s="93">
        <f>G140+H140</f>
        <v>0</v>
      </c>
    </row>
    <row r="141" spans="1:10" x14ac:dyDescent="0.2">
      <c r="F141" s="93">
        <f>G141+H141</f>
        <v>0</v>
      </c>
    </row>
    <row r="142" spans="1:10" x14ac:dyDescent="0.2">
      <c r="A142" s="93">
        <v>41057700</v>
      </c>
      <c r="B142" s="93" t="s">
        <v>1191</v>
      </c>
      <c r="D142" s="93">
        <v>88281</v>
      </c>
    </row>
    <row r="143" spans="1:10" x14ac:dyDescent="0.2">
      <c r="G143" s="93" t="b">
        <f>C143=C139+C138+C137+C117+C111+C105+C99+C98+C94+C93+C92+C91+C88+C87+C86+C85+C83+C82+C80+C78+C77+C76+C73+C72+C71+C69+C68+C64+C63+C62+C59+C58+C57+C55+C54+C50+C49+C48+C47+C46+C45+C44+C43+C42+C41+C35+C33+C30+C28+C26+C23+C21+C20+C19+C18+C103+C102+C36+C52+C128+C127+C109+C142</f>
        <v>1</v>
      </c>
      <c r="H143" s="93" t="e">
        <f>D143=D139+D138+D137+D117+D111+D105+D99+D98+D94+D93+D92+D91+D88+D87+D86+D85+D83+D82+D80+D78+D77+D76+D73+D72+D71+D69+D68+D64+D63+D62+D59+D58+D57+D55+D54+D50+D49+D48+D47+D46+D45+D44+D43+D42+D41+D35+D33+D30+D28+D26+D23+D21+D20+D19+D18+D103+D102+D36+D52+D128+D127+D109+D142</f>
        <v>#VALUE!</v>
      </c>
      <c r="I143" s="93" t="b">
        <f>E143=E139+E138+E137+E117+E111+E105+E99+E98+E94+E93+E92+E91+E88+E87+E86+E85+E83+E82+E80+E78+E77+E76+E73+E72+E71+E69+E68+E64+E63+E62+E59+E58+E57+E55+E54+E50+E49+E48+E47+E46+E45+E44+E43+E42+E41+E35+E33+E30+E28+E26+E23+E21+E20+E19+E18+E103+E102+E36+E52+E128+E127+E109+E142</f>
        <v>0</v>
      </c>
      <c r="J143" s="93" t="b">
        <f>F143=F139+F138+F137+F117+F111+F105+F99+F98+F94+F93+F92+F91+F88+F87+F86+F85+F83+F82+F80+F78+F77+F76+F73+F72+F71+F69+F68+F64+F63+F62+F59+F58+F57+F55+F54+F50+F49+F48+F47+F46+F45+F44+F43+F42+F41+F35+F33+F30+F28+F26+F23+F21+F20+F19+F18+F103+F102+F36+F52+F128+F127+F109+F142</f>
        <v>0</v>
      </c>
    </row>
    <row r="144" spans="1:10" x14ac:dyDescent="0.2">
      <c r="G144" s="93" t="b">
        <f>(3453807039-'d2'!C41+7423154+961639+622418100+3715400+4544686)+16400+4309689+6350319+16579700+88281=C143</f>
        <v>0</v>
      </c>
    </row>
    <row r="147" spans="6:9" ht="46.5" x14ac:dyDescent="0.2">
      <c r="I147" s="12"/>
    </row>
    <row r="150" spans="6:9" ht="46.5" x14ac:dyDescent="0.2">
      <c r="F150" s="12">
        <f>G150+H150</f>
        <v>0</v>
      </c>
      <c r="I150" s="12"/>
    </row>
    <row r="169" spans="10:10" ht="90" x14ac:dyDescent="0.2">
      <c r="J169" s="236" t="b">
        <f>F169=G169+H169</f>
        <v>1</v>
      </c>
    </row>
  </sheetData>
  <mergeCells count="40">
    <mergeCell ref="E20:F20"/>
    <mergeCell ref="B17:C17"/>
    <mergeCell ref="B19:C19"/>
    <mergeCell ref="B20:C20"/>
    <mergeCell ref="B34:C34"/>
    <mergeCell ref="B16:C16"/>
    <mergeCell ref="B15:C15"/>
    <mergeCell ref="B14:C14"/>
    <mergeCell ref="A5:D5"/>
    <mergeCell ref="A7:D7"/>
    <mergeCell ref="A6:D6"/>
    <mergeCell ref="F85:F86"/>
    <mergeCell ref="A50:A54"/>
    <mergeCell ref="A44:B44"/>
    <mergeCell ref="B22:C22"/>
    <mergeCell ref="B21:C21"/>
    <mergeCell ref="B36:C36"/>
    <mergeCell ref="B35:C35"/>
    <mergeCell ref="B33:C33"/>
    <mergeCell ref="B31:C31"/>
    <mergeCell ref="B30:C30"/>
    <mergeCell ref="B23:C23"/>
    <mergeCell ref="B42:C42"/>
    <mergeCell ref="B38:C38"/>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6"/>
  <sheetViews>
    <sheetView view="pageBreakPreview" topLeftCell="A32" zoomScaleNormal="85" zoomScaleSheetLayoutView="100" workbookViewId="0">
      <selection activeCell="E50" sqref="E50"/>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57"/>
      <c r="B1" s="457"/>
      <c r="C1" s="457"/>
      <c r="D1" s="457"/>
      <c r="E1" s="457"/>
      <c r="F1" s="457" t="s">
        <v>567</v>
      </c>
      <c r="G1"/>
      <c r="H1"/>
      <c r="I1"/>
    </row>
    <row r="2" spans="1:10" x14ac:dyDescent="0.2">
      <c r="A2" s="457"/>
      <c r="B2" s="457"/>
      <c r="C2" s="457"/>
      <c r="D2" s="457"/>
      <c r="E2" s="457"/>
      <c r="F2" s="457" t="s">
        <v>901</v>
      </c>
      <c r="G2"/>
      <c r="H2"/>
      <c r="I2"/>
    </row>
    <row r="3" spans="1:10" x14ac:dyDescent="0.2">
      <c r="A3" s="457"/>
      <c r="B3" s="457"/>
      <c r="C3" s="457"/>
      <c r="D3" s="457"/>
      <c r="E3" s="457"/>
      <c r="F3" s="726" t="s">
        <v>1719</v>
      </c>
      <c r="G3" s="727"/>
      <c r="H3" s="727"/>
      <c r="I3" s="727"/>
    </row>
    <row r="4" spans="1:10" ht="15.75" x14ac:dyDescent="0.25">
      <c r="A4" s="728" t="s">
        <v>546</v>
      </c>
      <c r="B4" s="729"/>
      <c r="C4" s="729"/>
      <c r="D4" s="729"/>
      <c r="E4" s="729"/>
      <c r="F4" s="729"/>
      <c r="G4"/>
      <c r="H4"/>
      <c r="I4"/>
    </row>
    <row r="5" spans="1:10" ht="15.75" x14ac:dyDescent="0.25">
      <c r="A5" s="728" t="s">
        <v>545</v>
      </c>
      <c r="B5" s="729"/>
      <c r="C5" s="729"/>
      <c r="D5" s="729"/>
      <c r="E5" s="729"/>
      <c r="F5" s="729"/>
      <c r="G5"/>
      <c r="H5"/>
      <c r="I5"/>
    </row>
    <row r="6" spans="1:10" ht="15.75" x14ac:dyDescent="0.25">
      <c r="A6" s="728" t="s">
        <v>854</v>
      </c>
      <c r="B6" s="729"/>
      <c r="C6" s="729"/>
      <c r="D6" s="729"/>
      <c r="E6" s="729"/>
      <c r="F6" s="729"/>
      <c r="G6"/>
      <c r="H6"/>
      <c r="I6"/>
    </row>
    <row r="7" spans="1:10" ht="15.75" x14ac:dyDescent="0.25">
      <c r="A7"/>
      <c r="B7"/>
      <c r="C7" s="728" t="s">
        <v>1501</v>
      </c>
      <c r="D7" s="729"/>
      <c r="E7" s="729"/>
      <c r="F7"/>
      <c r="G7"/>
      <c r="H7"/>
      <c r="I7"/>
    </row>
    <row r="8" spans="1:10" ht="12.75" customHeight="1" x14ac:dyDescent="0.25">
      <c r="A8" s="458"/>
      <c r="B8" s="458"/>
      <c r="C8" s="458"/>
      <c r="D8" s="458"/>
      <c r="E8" s="458"/>
      <c r="F8" s="458"/>
      <c r="G8" s="458"/>
      <c r="H8" s="458"/>
      <c r="I8" s="458"/>
      <c r="J8" s="237"/>
    </row>
    <row r="9" spans="1:10" x14ac:dyDescent="0.2">
      <c r="A9" s="730">
        <v>2256400000</v>
      </c>
      <c r="B9" s="729"/>
      <c r="C9" s="377"/>
      <c r="D9" s="377"/>
      <c r="E9" s="377"/>
      <c r="F9" s="377"/>
      <c r="G9"/>
      <c r="H9"/>
      <c r="I9"/>
    </row>
    <row r="10" spans="1:10" x14ac:dyDescent="0.2">
      <c r="A10" s="722" t="s">
        <v>474</v>
      </c>
      <c r="B10" s="723"/>
      <c r="C10" s="377"/>
      <c r="D10" s="377"/>
      <c r="E10" s="377"/>
      <c r="F10" s="377"/>
      <c r="G10"/>
      <c r="H10"/>
      <c r="I10"/>
    </row>
    <row r="11" spans="1:10" ht="13.5" thickBot="1" x14ac:dyDescent="0.25">
      <c r="A11" s="419"/>
      <c r="B11" s="419"/>
      <c r="C11" s="377"/>
      <c r="D11" s="377"/>
      <c r="E11" s="377"/>
      <c r="F11" s="377"/>
      <c r="G11"/>
      <c r="H11"/>
      <c r="I11"/>
    </row>
    <row r="12" spans="1:10" ht="48" customHeight="1" thickTop="1" thickBot="1" x14ac:dyDescent="0.25">
      <c r="A12" s="459" t="s">
        <v>309</v>
      </c>
      <c r="B12" s="460" t="s">
        <v>310</v>
      </c>
      <c r="C12" s="460" t="s">
        <v>20</v>
      </c>
      <c r="D12" s="460" t="s">
        <v>16</v>
      </c>
      <c r="E12" s="459" t="s">
        <v>311</v>
      </c>
      <c r="F12" s="461" t="s">
        <v>395</v>
      </c>
      <c r="G12" s="19"/>
      <c r="H12"/>
      <c r="I12"/>
    </row>
    <row r="13" spans="1:10" ht="17.25" hidden="1" thickTop="1" thickBot="1" x14ac:dyDescent="0.25">
      <c r="A13" s="674">
        <v>1</v>
      </c>
      <c r="B13" s="675" t="s">
        <v>1028</v>
      </c>
      <c r="C13" s="675" t="s">
        <v>1029</v>
      </c>
      <c r="D13" s="675" t="s">
        <v>49</v>
      </c>
      <c r="E13" s="676" t="s">
        <v>1679</v>
      </c>
      <c r="F13" s="677"/>
      <c r="G13" s="19"/>
      <c r="H13"/>
      <c r="I13"/>
    </row>
    <row r="14" spans="1:10" ht="24.75" customHeight="1" thickTop="1" thickBot="1" x14ac:dyDescent="0.25">
      <c r="A14" s="674">
        <v>1</v>
      </c>
      <c r="B14" s="675" t="s">
        <v>1028</v>
      </c>
      <c r="C14" s="675" t="s">
        <v>1029</v>
      </c>
      <c r="D14" s="675" t="s">
        <v>49</v>
      </c>
      <c r="E14" s="676" t="s">
        <v>1282</v>
      </c>
      <c r="F14" s="677">
        <v>200000</v>
      </c>
      <c r="G14" s="18"/>
    </row>
    <row r="15" spans="1:10" ht="54.75" customHeight="1" thickTop="1" thickBot="1" x14ac:dyDescent="0.25">
      <c r="A15" s="674">
        <v>2</v>
      </c>
      <c r="B15" s="675" t="s">
        <v>1028</v>
      </c>
      <c r="C15" s="675" t="s">
        <v>1029</v>
      </c>
      <c r="D15" s="675" t="s">
        <v>49</v>
      </c>
      <c r="E15" s="676" t="s">
        <v>1720</v>
      </c>
      <c r="F15" s="677">
        <v>300000</v>
      </c>
      <c r="G15" s="18"/>
    </row>
    <row r="16" spans="1:10" ht="27.75" customHeight="1" thickTop="1" thickBot="1" x14ac:dyDescent="0.25">
      <c r="A16" s="674">
        <v>3</v>
      </c>
      <c r="B16" s="675" t="s">
        <v>1028</v>
      </c>
      <c r="C16" s="675" t="s">
        <v>1029</v>
      </c>
      <c r="D16" s="675" t="s">
        <v>49</v>
      </c>
      <c r="E16" s="676" t="s">
        <v>1721</v>
      </c>
      <c r="F16" s="677">
        <v>250000</v>
      </c>
      <c r="G16" s="18"/>
    </row>
    <row r="17" spans="1:7" ht="32.25" customHeight="1" thickTop="1" thickBot="1" x14ac:dyDescent="0.25">
      <c r="A17" s="674">
        <v>4</v>
      </c>
      <c r="B17" s="675" t="s">
        <v>1028</v>
      </c>
      <c r="C17" s="675" t="s">
        <v>1029</v>
      </c>
      <c r="D17" s="675" t="s">
        <v>49</v>
      </c>
      <c r="E17" s="676" t="s">
        <v>1722</v>
      </c>
      <c r="F17" s="677">
        <v>801500</v>
      </c>
      <c r="G17" s="18"/>
    </row>
    <row r="18" spans="1:7" ht="51" customHeight="1" thickTop="1" thickBot="1" x14ac:dyDescent="0.25">
      <c r="A18" s="674">
        <v>5</v>
      </c>
      <c r="B18" s="675" t="s">
        <v>1028</v>
      </c>
      <c r="C18" s="675" t="s">
        <v>1029</v>
      </c>
      <c r="D18" s="675" t="s">
        <v>49</v>
      </c>
      <c r="E18" s="676" t="s">
        <v>1674</v>
      </c>
      <c r="F18" s="677">
        <v>90000</v>
      </c>
      <c r="G18" s="18"/>
    </row>
    <row r="19" spans="1:7" ht="63" customHeight="1" thickTop="1" thickBot="1" x14ac:dyDescent="0.25">
      <c r="A19" s="674">
        <v>6</v>
      </c>
      <c r="B19" s="675" t="s">
        <v>1028</v>
      </c>
      <c r="C19" s="675" t="s">
        <v>1029</v>
      </c>
      <c r="D19" s="675" t="s">
        <v>49</v>
      </c>
      <c r="E19" s="676" t="s">
        <v>1723</v>
      </c>
      <c r="F19" s="677">
        <v>80000</v>
      </c>
      <c r="G19" s="18"/>
    </row>
    <row r="20" spans="1:7" ht="54" customHeight="1" thickTop="1" thickBot="1" x14ac:dyDescent="0.25">
      <c r="A20" s="674">
        <v>7</v>
      </c>
      <c r="B20" s="675" t="s">
        <v>1028</v>
      </c>
      <c r="C20" s="675" t="s">
        <v>1029</v>
      </c>
      <c r="D20" s="675" t="s">
        <v>49</v>
      </c>
      <c r="E20" s="676" t="s">
        <v>1724</v>
      </c>
      <c r="F20" s="677">
        <v>250000</v>
      </c>
      <c r="G20" s="18"/>
    </row>
    <row r="21" spans="1:7" ht="82.5" customHeight="1" thickTop="1" thickBot="1" x14ac:dyDescent="0.25">
      <c r="A21" s="674">
        <v>8</v>
      </c>
      <c r="B21" s="675" t="s">
        <v>1028</v>
      </c>
      <c r="C21" s="675" t="s">
        <v>1029</v>
      </c>
      <c r="D21" s="675" t="s">
        <v>49</v>
      </c>
      <c r="E21" s="690" t="s">
        <v>1725</v>
      </c>
      <c r="F21" s="677">
        <v>110000</v>
      </c>
      <c r="G21" s="18"/>
    </row>
    <row r="22" spans="1:7" ht="48.75" customHeight="1" thickTop="1" thickBot="1" x14ac:dyDescent="0.25">
      <c r="A22" s="674">
        <v>9</v>
      </c>
      <c r="B22" s="675" t="s">
        <v>1028</v>
      </c>
      <c r="C22" s="675" t="s">
        <v>1029</v>
      </c>
      <c r="D22" s="675" t="s">
        <v>49</v>
      </c>
      <c r="E22" s="690" t="s">
        <v>1726</v>
      </c>
      <c r="F22" s="677">
        <v>100000</v>
      </c>
      <c r="G22" s="18"/>
    </row>
    <row r="23" spans="1:7" ht="33" thickTop="1" thickBot="1" x14ac:dyDescent="0.25">
      <c r="A23" s="674">
        <v>10</v>
      </c>
      <c r="B23" s="675" t="s">
        <v>1028</v>
      </c>
      <c r="C23" s="675" t="s">
        <v>1029</v>
      </c>
      <c r="D23" s="675" t="s">
        <v>49</v>
      </c>
      <c r="E23" s="676" t="s">
        <v>1675</v>
      </c>
      <c r="F23" s="677">
        <v>90000</v>
      </c>
      <c r="G23" s="18"/>
    </row>
    <row r="24" spans="1:7" ht="68.25" customHeight="1" thickTop="1" thickBot="1" x14ac:dyDescent="0.25">
      <c r="A24" s="674">
        <v>11</v>
      </c>
      <c r="B24" s="675" t="s">
        <v>1028</v>
      </c>
      <c r="C24" s="675" t="s">
        <v>1029</v>
      </c>
      <c r="D24" s="675" t="s">
        <v>49</v>
      </c>
      <c r="E24" s="690" t="s">
        <v>1727</v>
      </c>
      <c r="F24" s="677">
        <v>1120000</v>
      </c>
      <c r="G24" s="18"/>
    </row>
    <row r="25" spans="1:7" ht="48.75" thickTop="1" thickBot="1" x14ac:dyDescent="0.25">
      <c r="A25" s="674">
        <v>12</v>
      </c>
      <c r="B25" s="675" t="s">
        <v>1028</v>
      </c>
      <c r="C25" s="675" t="s">
        <v>1029</v>
      </c>
      <c r="D25" s="675" t="s">
        <v>49</v>
      </c>
      <c r="E25" s="690" t="s">
        <v>1728</v>
      </c>
      <c r="F25" s="677">
        <v>150000</v>
      </c>
      <c r="G25" s="18"/>
    </row>
    <row r="26" spans="1:7" ht="58.5" customHeight="1" thickTop="1" thickBot="1" x14ac:dyDescent="0.25">
      <c r="A26" s="674">
        <v>13</v>
      </c>
      <c r="B26" s="675" t="s">
        <v>1028</v>
      </c>
      <c r="C26" s="675" t="s">
        <v>1029</v>
      </c>
      <c r="D26" s="675" t="s">
        <v>49</v>
      </c>
      <c r="E26" s="690" t="s">
        <v>1676</v>
      </c>
      <c r="F26" s="677">
        <v>20032</v>
      </c>
      <c r="G26" s="18"/>
    </row>
    <row r="27" spans="1:7" ht="101.25" customHeight="1" thickTop="1" thickBot="1" x14ac:dyDescent="0.25">
      <c r="A27" s="674">
        <v>14</v>
      </c>
      <c r="B27" s="675" t="s">
        <v>1028</v>
      </c>
      <c r="C27" s="675" t="s">
        <v>1029</v>
      </c>
      <c r="D27" s="675" t="s">
        <v>49</v>
      </c>
      <c r="E27" s="676" t="s">
        <v>1733</v>
      </c>
      <c r="F27" s="677">
        <v>150000</v>
      </c>
      <c r="G27" s="18"/>
    </row>
    <row r="28" spans="1:7" ht="59.25" customHeight="1" thickTop="1" thickBot="1" x14ac:dyDescent="0.25">
      <c r="A28" s="674">
        <v>15</v>
      </c>
      <c r="B28" s="675" t="s">
        <v>1028</v>
      </c>
      <c r="C28" s="675" t="s">
        <v>1029</v>
      </c>
      <c r="D28" s="675" t="s">
        <v>49</v>
      </c>
      <c r="E28" s="676" t="s">
        <v>1677</v>
      </c>
      <c r="F28" s="677">
        <v>60000</v>
      </c>
      <c r="G28" s="18"/>
    </row>
    <row r="29" spans="1:7" ht="71.25" customHeight="1" thickTop="1" thickBot="1" x14ac:dyDescent="0.25">
      <c r="A29" s="674">
        <v>16</v>
      </c>
      <c r="B29" s="675" t="s">
        <v>1028</v>
      </c>
      <c r="C29" s="675" t="s">
        <v>1029</v>
      </c>
      <c r="D29" s="675" t="s">
        <v>49</v>
      </c>
      <c r="E29" s="676" t="s">
        <v>1729</v>
      </c>
      <c r="F29" s="677">
        <v>100000</v>
      </c>
      <c r="G29" s="18"/>
    </row>
    <row r="30" spans="1:7" ht="39.75" customHeight="1" thickTop="1" thickBot="1" x14ac:dyDescent="0.25">
      <c r="A30" s="674">
        <v>17</v>
      </c>
      <c r="B30" s="675" t="s">
        <v>1028</v>
      </c>
      <c r="C30" s="675" t="s">
        <v>1029</v>
      </c>
      <c r="D30" s="675" t="s">
        <v>49</v>
      </c>
      <c r="E30" s="676" t="s">
        <v>1730</v>
      </c>
      <c r="F30" s="677">
        <v>50000</v>
      </c>
      <c r="G30" s="18"/>
    </row>
    <row r="31" spans="1:7" ht="72" customHeight="1" thickTop="1" thickBot="1" x14ac:dyDescent="0.25">
      <c r="A31" s="674">
        <v>18</v>
      </c>
      <c r="B31" s="675" t="s">
        <v>1028</v>
      </c>
      <c r="C31" s="675" t="s">
        <v>1029</v>
      </c>
      <c r="D31" s="675" t="s">
        <v>49</v>
      </c>
      <c r="E31" s="676" t="s">
        <v>1731</v>
      </c>
      <c r="F31" s="677">
        <v>80000</v>
      </c>
      <c r="G31" s="18"/>
    </row>
    <row r="32" spans="1:7" ht="34.5" customHeight="1" thickTop="1" thickBot="1" x14ac:dyDescent="0.25">
      <c r="A32" s="674">
        <v>19</v>
      </c>
      <c r="B32" s="675" t="s">
        <v>1028</v>
      </c>
      <c r="C32" s="675" t="s">
        <v>1029</v>
      </c>
      <c r="D32" s="675" t="s">
        <v>49</v>
      </c>
      <c r="E32" s="676" t="s">
        <v>1678</v>
      </c>
      <c r="F32" s="677">
        <v>200000</v>
      </c>
      <c r="G32" s="18"/>
    </row>
    <row r="33" spans="1:8" ht="77.25" customHeight="1" thickTop="1" thickBot="1" x14ac:dyDescent="0.25">
      <c r="A33" s="674">
        <v>20</v>
      </c>
      <c r="B33" s="675" t="s">
        <v>1028</v>
      </c>
      <c r="C33" s="675" t="s">
        <v>1029</v>
      </c>
      <c r="D33" s="675" t="s">
        <v>49</v>
      </c>
      <c r="E33" s="676" t="s">
        <v>1732</v>
      </c>
      <c r="F33" s="677">
        <v>150000</v>
      </c>
      <c r="G33" s="18"/>
    </row>
    <row r="34" spans="1:8" ht="17.25" thickTop="1" thickBot="1" x14ac:dyDescent="0.25">
      <c r="A34" s="462" t="s">
        <v>371</v>
      </c>
      <c r="B34" s="462" t="s">
        <v>371</v>
      </c>
      <c r="C34" s="462" t="s">
        <v>371</v>
      </c>
      <c r="D34" s="462" t="s">
        <v>371</v>
      </c>
      <c r="E34" s="462" t="s">
        <v>381</v>
      </c>
      <c r="F34" s="463">
        <f>SUM(F14:F33)</f>
        <v>4351532</v>
      </c>
      <c r="G34" s="548" t="b">
        <f>F34='d3'!P439</f>
        <v>1</v>
      </c>
      <c r="H34" s="548" t="b">
        <f>F34='d7'!G393+'d7'!G394</f>
        <v>1</v>
      </c>
    </row>
    <row r="35" spans="1:8" ht="16.5" thickTop="1" x14ac:dyDescent="0.2">
      <c r="A35" s="464"/>
      <c r="B35" s="464"/>
      <c r="C35" s="464"/>
      <c r="D35" s="464"/>
      <c r="E35" s="464"/>
      <c r="F35" s="465"/>
    </row>
    <row r="36" spans="1:8" ht="15.75" hidden="1" customHeight="1" x14ac:dyDescent="0.25">
      <c r="A36" s="417"/>
      <c r="B36" s="1"/>
      <c r="C36" s="418"/>
      <c r="D36" s="1"/>
      <c r="E36" s="1"/>
      <c r="F36" s="1"/>
    </row>
    <row r="37" spans="1:8" ht="27" hidden="1" customHeight="1" x14ac:dyDescent="0.2">
      <c r="A37" s="724" t="s">
        <v>501</v>
      </c>
      <c r="B37" s="724"/>
      <c r="C37" s="724"/>
      <c r="D37" s="724"/>
      <c r="E37" s="417"/>
      <c r="F37" s="466" t="s">
        <v>502</v>
      </c>
    </row>
    <row r="38" spans="1:8" ht="15.75" hidden="1" x14ac:dyDescent="0.2">
      <c r="A38" s="467"/>
      <c r="B38" s="467"/>
      <c r="C38" s="467"/>
      <c r="D38" s="467"/>
      <c r="E38" s="417"/>
      <c r="F38" s="468"/>
    </row>
    <row r="39" spans="1:8" ht="15.75" x14ac:dyDescent="0.25">
      <c r="A39" s="417"/>
      <c r="B39" s="731" t="s">
        <v>1417</v>
      </c>
      <c r="C39" s="732"/>
      <c r="D39" s="247"/>
      <c r="E39" s="1"/>
      <c r="F39" s="247" t="s">
        <v>1418</v>
      </c>
    </row>
    <row r="40" spans="1:8" ht="15.75" hidden="1" x14ac:dyDescent="0.25">
      <c r="A40" s="417"/>
      <c r="B40" s="245" t="s">
        <v>1270</v>
      </c>
      <c r="C40" s="248"/>
      <c r="D40" s="245"/>
      <c r="E40" s="245"/>
      <c r="F40" s="245" t="s">
        <v>1246</v>
      </c>
    </row>
    <row r="41" spans="1:8" ht="15.75" hidden="1" x14ac:dyDescent="0.2">
      <c r="A41" s="417"/>
      <c r="B41" s="733" t="s">
        <v>1472</v>
      </c>
      <c r="C41" s="733"/>
      <c r="D41" s="733"/>
      <c r="E41" s="733"/>
      <c r="F41" s="342" t="s">
        <v>1471</v>
      </c>
    </row>
    <row r="42" spans="1:8" ht="15.75" x14ac:dyDescent="0.25">
      <c r="A42" s="467"/>
      <c r="B42" s="245"/>
      <c r="C42" s="245"/>
      <c r="D42" s="245"/>
      <c r="E42" s="245"/>
      <c r="F42" s="245"/>
    </row>
    <row r="43" spans="1:8" ht="15.75" x14ac:dyDescent="0.25">
      <c r="A43" s="467"/>
      <c r="B43" s="731" t="s">
        <v>501</v>
      </c>
      <c r="C43" s="732"/>
      <c r="D43" s="245"/>
      <c r="E43" s="245"/>
      <c r="F43" s="245" t="s">
        <v>1168</v>
      </c>
    </row>
    <row r="92" spans="7:7" x14ac:dyDescent="0.2">
      <c r="G92" s="725"/>
    </row>
    <row r="93" spans="7:7" x14ac:dyDescent="0.2">
      <c r="G93" s="725"/>
    </row>
    <row r="127" spans="4:4" x14ac:dyDescent="0.2">
      <c r="D127" s="13">
        <f>SUM(D128:D140)+D147</f>
        <v>88281</v>
      </c>
    </row>
    <row r="147" spans="1:10" x14ac:dyDescent="0.2">
      <c r="A147" s="13">
        <v>41057700</v>
      </c>
      <c r="B147" s="13" t="s">
        <v>1191</v>
      </c>
      <c r="D147" s="13">
        <v>88281</v>
      </c>
    </row>
    <row r="148" spans="1:10" x14ac:dyDescent="0.2">
      <c r="G148" s="13" t="e">
        <f>C148=C144+C143+C142+C122+C116+C110+C104+C103+C99+C98+C97+C96+C93+C92+C91+C90+C88+C87+C85+C83+C82+C81+C78+C77+C76+C74+C73+C69+C68+C67+C64+C63+C62+C60+C59+C55+C54+C53+C52+C51+C50+C49+C48+C47+C46+C42+C38+C35+#REF!+#REF!+#REF!+#REF!+#REF!+#REF!+#REF!+C108+C107+C43+C57+C133+C132+C114+C147</f>
        <v>#REF!</v>
      </c>
      <c r="H148" s="13" t="e">
        <f>D148=D144+D143+D142+D122+D116+D110+D104+D103+D99+D98+D97+D96+D93+D92+D91+D90+D88+D87+D85+D83+D82+D81+D78+D77+D76+D74+D73+D69+D68+D67+D64+D63+D62+D60+D59+D55+D54+D53+D52+D51+D50+D49+D48+D47+D46+D42+D38+D35+#REF!+#REF!+#REF!+#REF!+#REF!+#REF!+#REF!+D108+D107+D43+D57+D133+D132+D114+D147</f>
        <v>#REF!</v>
      </c>
      <c r="I148" s="13" t="e">
        <f>E148=E144+E143+E142+E122+E116+E110+E104+E103+E99+E98+E97+E96+E93+E92+E91+E90+E88+E87+E85+E83+E82+E81+E78+E77+E76+E74+E73+E69+E68+E67+E64+E63+E62+E60+E59+E55+E54+E53+E52+E51+E50+E49+E48+E47+E46+E42+E38+E35+#REF!+#REF!+#REF!+#REF!+#REF!+#REF!+#REF!+E108+E107+E43+E57+E133+E132+E114+E147</f>
        <v>#REF!</v>
      </c>
      <c r="J148" s="13" t="e">
        <f>F148=F144+F143+F142+F122+F116+F110+F104+F103+F99+F98+F97+F96+F93+F92+F91+F90+F88+F87+F85+F83+F82+F81+F78+F77+F76+F74+F73+F69+F68+F67+F64+F63+F62+F60+F59+F55+F54+F53+F52+F51+F50+F49+F48+F47+F46+F42+F38+F35+#REF!+#REF!+#REF!+#REF!+#REF!+#REF!+#REF!+F108+F107+F43+F57+F133+F132+F114+F147</f>
        <v>#REF!</v>
      </c>
    </row>
    <row r="149" spans="1:10" x14ac:dyDescent="0.2">
      <c r="G149" s="13" t="b">
        <f>(3453807039-'d2'!C41+7423154+961639+622418100+3715400+4544686)+16400+4309689+6350319+16579700+88281=C148</f>
        <v>0</v>
      </c>
    </row>
    <row r="154" spans="1:10" ht="46.5" x14ac:dyDescent="0.65">
      <c r="J154" s="9"/>
    </row>
    <row r="157" spans="1:10" ht="46.5" x14ac:dyDescent="0.65">
      <c r="G157" s="9"/>
      <c r="J157" s="9"/>
    </row>
    <row r="176" spans="11:11" ht="90" x14ac:dyDescent="1.1499999999999999">
      <c r="K176" s="238" t="b">
        <f>G176=H176+I176</f>
        <v>1</v>
      </c>
    </row>
  </sheetData>
  <mergeCells count="12">
    <mergeCell ref="A10:B10"/>
    <mergeCell ref="A37:D37"/>
    <mergeCell ref="G92:G93"/>
    <mergeCell ref="F3:I3"/>
    <mergeCell ref="A4:F4"/>
    <mergeCell ref="A5:F5"/>
    <mergeCell ref="A6:F6"/>
    <mergeCell ref="C7:E7"/>
    <mergeCell ref="A9:B9"/>
    <mergeCell ref="B43:C43"/>
    <mergeCell ref="B39:C39"/>
    <mergeCell ref="B41:E41"/>
  </mergeCells>
  <pageMargins left="0.74803149606299213" right="0.74803149606299213" top="0.98425196850393704" bottom="0.98425196850393704"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2026-06-11T06:24:16Z</cp:lastPrinted>
  <dcterms:created xsi:type="dcterms:W3CDTF">2001-12-03T09:30:42Z</dcterms:created>
  <dcterms:modified xsi:type="dcterms:W3CDTF">2026-06-11T07:55:36Z</dcterms:modified>
</cp:coreProperties>
</file>