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ocs\ZagVid\Рішення 2025\24.04.2025\"/>
    </mc:Choice>
  </mc:AlternateContent>
  <bookViews>
    <workbookView xWindow="0" yWindow="0" windowWidth="28800" windowHeight="12435" tabRatio="1000" firstSheet="11" activeTab="11"/>
  </bookViews>
  <sheets>
    <sheet name="адмінвитр.психолог) (2)" sheetId="64" r:id="rId1"/>
    <sheet name="адмінвитр.мед.сес , фізреаб" sheetId="63" r:id="rId2"/>
    <sheet name="вимір. тиску" sheetId="62" r:id="rId3"/>
    <sheet name="Психолог" sheetId="58" r:id="rId4"/>
    <sheet name="міос,ноги,короб,алімп, корон" sheetId="22" r:id="rId5"/>
    <sheet name="масаж, сераг,нуга, релакс" sheetId="61" r:id="rId6"/>
    <sheet name="фіз.реаб театр., зан.в залі" sheetId="40" r:id="rId7"/>
    <sheet name="фітотер, оксиген, аромотер" sheetId="55" r:id="rId8"/>
    <sheet name="теніс" sheetId="60" r:id="rId9"/>
    <sheet name="ЗВЕДЕНИЙ" sheetId="59" r:id="rId10"/>
    <sheet name="ІІІ відділення" sheetId="21" r:id="rId11"/>
    <sheet name="адмінвитрати сест.мед" sheetId="27" r:id="rId12"/>
    <sheet name="адмінвитр.фахів з фіз реаб" sheetId="28" r:id="rId13"/>
    <sheet name="Додаток 1" sheetId="56" r:id="rId14"/>
    <sheet name="Додаток  2" sheetId="65" r:id="rId15"/>
    <sheet name="адм.сес.мед і соц.роб. цілодоб." sheetId="50" r:id="rId16"/>
    <sheet name="адмінвитрати ІІ відд перук" sheetId="18" r:id="rId17"/>
    <sheet name="адмінвитрати ІІ відд соц " sheetId="14" r:id="rId18"/>
    <sheet name="Перукар ІІ відд" sheetId="17" r:id="rId19"/>
    <sheet name="соц. роб ІІ віддділення" sheetId="12" r:id="rId20"/>
    <sheet name="ІІ відділення" sheetId="11" r:id="rId21"/>
    <sheet name="І відділення" sheetId="10" r:id="rId22"/>
    <sheet name="адмінвитрати І відд" sheetId="13" r:id="rId23"/>
  </sheets>
  <externalReferences>
    <externalReference r:id="rId24"/>
    <externalReference r:id="rId25"/>
    <externalReference r:id="rId26"/>
  </externalReferences>
  <definedNames>
    <definedName name="_xlnm.Print_Area" localSheetId="15">'адм.сес.мед і соц.роб. цілодоб.'!$A$1:$Q$48</definedName>
    <definedName name="_xlnm.Print_Area" localSheetId="1">'адмінвитр.мед.сес , фізреаб'!$A$1:$G$39</definedName>
    <definedName name="_xlnm.Print_Area" localSheetId="0">'адмінвитр.психолог) (2)'!$A$1:$G$39</definedName>
    <definedName name="_xlnm.Print_Area" localSheetId="12">'адмінвитр.фахів з фіз реаб'!$A$1:$G$40</definedName>
    <definedName name="_xlnm.Print_Area" localSheetId="22">'адмінвитрати І відд'!$A$1:$Y$39</definedName>
    <definedName name="_xlnm.Print_Area" localSheetId="16">'адмінвитрати ІІ відд перук'!$A$1:$F$37</definedName>
    <definedName name="_xlnm.Print_Area" localSheetId="17">'адмінвитрати ІІ відд соц '!$A$1:$F$42</definedName>
    <definedName name="_xlnm.Print_Area" localSheetId="11">'адмінвитрати сест.мед'!$A$1:$G$39</definedName>
    <definedName name="_xlnm.Print_Area" localSheetId="2">'вимір. тиску'!$A$1:$H$43</definedName>
    <definedName name="_xlnm.Print_Area" localSheetId="14">'Додаток  2'!$A$1:$F$222</definedName>
    <definedName name="_xlnm.Print_Area" localSheetId="13">'Додаток 1'!$A$1:$E$740</definedName>
    <definedName name="_xlnm.Print_Area" localSheetId="9">ЗВЕДЕНИЙ!$A$1:$V$78</definedName>
    <definedName name="_xlnm.Print_Area" localSheetId="21">'І відділення'!$A$1:$M$124</definedName>
    <definedName name="_xlnm.Print_Area" localSheetId="20">'ІІ відділення'!$B$1:$H$35</definedName>
    <definedName name="_xlnm.Print_Area" localSheetId="10">'ІІІ відділення'!$A$1:$F$90</definedName>
    <definedName name="_xlnm.Print_Area" localSheetId="5">'масаж, сераг,нуга, релакс'!$A$1:$F$51</definedName>
    <definedName name="_xlnm.Print_Area" localSheetId="4">'міос,ноги,короб,алімп, корон'!$A$1:$F$64</definedName>
    <definedName name="_xlnm.Print_Area" localSheetId="18">'Перукар ІІ відд'!$A$1:$H$102</definedName>
    <definedName name="_xlnm.Print_Area" localSheetId="3">Психолог!$A$1:$G$38</definedName>
    <definedName name="_xlnm.Print_Area" localSheetId="19">'соц. роб ІІ віддділення'!$A$1:$H$103</definedName>
    <definedName name="_xlnm.Print_Area" localSheetId="8">теніс!$A$1:$F$37</definedName>
    <definedName name="_xlnm.Print_Area" localSheetId="6">'фіз.реаб театр., зан.в залі'!$A$2:$F$47</definedName>
    <definedName name="_xlnm.Print_Area" localSheetId="7">'фітотер, оксиген, аромотер'!$A$1:$F$51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50" l="1"/>
  <c r="M25" i="50"/>
  <c r="E17" i="61"/>
  <c r="E37" i="40"/>
  <c r="E19" i="40"/>
  <c r="E12" i="22"/>
  <c r="E11" i="22"/>
  <c r="D313" i="56" s="1"/>
  <c r="D601" i="56"/>
  <c r="D607" i="56" s="1"/>
  <c r="D609" i="56" s="1"/>
  <c r="D592" i="56"/>
  <c r="D591" i="56"/>
  <c r="D590" i="56"/>
  <c r="D589" i="56"/>
  <c r="D588" i="56"/>
  <c r="E29" i="61"/>
  <c r="E28" i="61"/>
  <c r="D522" i="56"/>
  <c r="D521" i="56"/>
  <c r="D519" i="56"/>
  <c r="D518" i="56"/>
  <c r="D506" i="56"/>
  <c r="D502" i="56"/>
  <c r="D505" i="56"/>
  <c r="D503" i="56"/>
  <c r="D490" i="56"/>
  <c r="D489" i="56"/>
  <c r="D487" i="56"/>
  <c r="D486" i="56"/>
  <c r="F164" i="65"/>
  <c r="E12" i="21"/>
  <c r="D537" i="56"/>
  <c r="D536" i="56"/>
  <c r="D316" i="56"/>
  <c r="D300" i="56"/>
  <c r="D268" i="56"/>
  <c r="D284" i="56"/>
  <c r="D283" i="56"/>
  <c r="D534" i="56" l="1"/>
  <c r="D281" i="56"/>
  <c r="D265" i="56"/>
  <c r="D297" i="56"/>
  <c r="D587" i="56"/>
  <c r="D593" i="56" s="1"/>
  <c r="D246" i="56"/>
  <c r="D252" i="56" s="1"/>
  <c r="D202" i="56"/>
  <c r="D201" i="56"/>
  <c r="W62" i="59" l="1"/>
  <c r="E22" i="21"/>
  <c r="E176" i="65" l="1"/>
  <c r="F18" i="62" l="1"/>
  <c r="E44" i="55"/>
  <c r="E43" i="55"/>
  <c r="E42" i="55"/>
  <c r="E36" i="55"/>
  <c r="E31" i="55"/>
  <c r="E38" i="22"/>
  <c r="E29" i="22"/>
  <c r="E32" i="22" s="1"/>
  <c r="E30" i="22"/>
  <c r="E31" i="22"/>
  <c r="E28" i="22"/>
  <c r="E212" i="65"/>
  <c r="E211" i="65"/>
  <c r="E209" i="65"/>
  <c r="E207" i="65"/>
  <c r="E201" i="65"/>
  <c r="E202" i="65" s="1"/>
  <c r="E199" i="65"/>
  <c r="E200" i="65" s="1"/>
  <c r="E197" i="65"/>
  <c r="E198" i="65" s="1"/>
  <c r="E195" i="65"/>
  <c r="E196" i="65" s="1"/>
  <c r="E193" i="65"/>
  <c r="E194" i="65" s="1"/>
  <c r="E191" i="65"/>
  <c r="E192" i="65" s="1"/>
  <c r="E189" i="65"/>
  <c r="E190" i="65" s="1"/>
  <c r="E187" i="65"/>
  <c r="E188" i="65" s="1"/>
  <c r="E184" i="65"/>
  <c r="E183" i="65" s="1"/>
  <c r="E178" i="65"/>
  <c r="E179" i="65" s="1"/>
  <c r="E175" i="65"/>
  <c r="E174" i="65"/>
  <c r="E173" i="65"/>
  <c r="E172" i="65"/>
  <c r="E170" i="65"/>
  <c r="E171" i="65" s="1"/>
  <c r="E168" i="65"/>
  <c r="E169" i="65" s="1"/>
  <c r="E167" i="65"/>
  <c r="E165" i="65"/>
  <c r="E166" i="65" s="1"/>
  <c r="E164" i="65"/>
  <c r="E159" i="65"/>
  <c r="E160" i="65" s="1"/>
  <c r="E158" i="65"/>
  <c r="E157" i="65"/>
  <c r="E156" i="65"/>
  <c r="E154" i="65"/>
  <c r="E152" i="65"/>
  <c r="E151" i="65"/>
  <c r="E150" i="65"/>
  <c r="E149" i="65"/>
  <c r="E139" i="65"/>
  <c r="E138" i="65"/>
  <c r="E136" i="65"/>
  <c r="E134" i="65"/>
  <c r="E130" i="65"/>
  <c r="E129" i="65"/>
  <c r="E128" i="65"/>
  <c r="E125" i="65"/>
  <c r="E123" i="65"/>
  <c r="E115" i="65"/>
  <c r="E114" i="65"/>
  <c r="E113" i="65"/>
  <c r="E112" i="65"/>
  <c r="E111" i="65"/>
  <c r="E110" i="65"/>
  <c r="E109" i="65"/>
  <c r="E107" i="65"/>
  <c r="E105" i="65"/>
  <c r="E104" i="65"/>
  <c r="E103" i="65"/>
  <c r="E102" i="65"/>
  <c r="E100" i="65"/>
  <c r="E99" i="65"/>
  <c r="E94" i="65"/>
  <c r="E92" i="65"/>
  <c r="E90" i="65"/>
  <c r="E89" i="65"/>
  <c r="E87" i="65"/>
  <c r="E86" i="65"/>
  <c r="E85" i="65"/>
  <c r="E84" i="65"/>
  <c r="E83" i="65"/>
  <c r="E81" i="65"/>
  <c r="E80" i="65"/>
  <c r="E79" i="65"/>
  <c r="E77" i="65"/>
  <c r="E76" i="65"/>
  <c r="E72" i="65"/>
  <c r="E71" i="65"/>
  <c r="E70" i="65"/>
  <c r="E68" i="65"/>
  <c r="E67" i="65"/>
  <c r="E65" i="65"/>
  <c r="E64" i="65"/>
  <c r="E63" i="65"/>
  <c r="E62" i="65"/>
  <c r="E60" i="65"/>
  <c r="E59" i="65"/>
  <c r="E57" i="65"/>
  <c r="E56" i="65"/>
  <c r="E55" i="65"/>
  <c r="E54" i="65"/>
  <c r="E53" i="65"/>
  <c r="E52" i="65"/>
  <c r="E49" i="65"/>
  <c r="E48" i="65"/>
  <c r="E47" i="65"/>
  <c r="E46" i="65"/>
  <c r="E45" i="65"/>
  <c r="E43" i="65"/>
  <c r="E42" i="65"/>
  <c r="E41" i="65"/>
  <c r="E40" i="65"/>
  <c r="E39" i="65"/>
  <c r="E38" i="65"/>
  <c r="E37" i="65"/>
  <c r="E36" i="65"/>
  <c r="E35" i="65"/>
  <c r="E34" i="65"/>
  <c r="E33" i="65"/>
  <c r="E32" i="65"/>
  <c r="E31" i="65"/>
  <c r="E30" i="65"/>
  <c r="E29" i="65"/>
  <c r="E28" i="65"/>
  <c r="E27" i="65"/>
  <c r="E26" i="65"/>
  <c r="E25" i="65"/>
  <c r="E23" i="65"/>
  <c r="E22" i="65"/>
  <c r="E21" i="65"/>
  <c r="E20" i="65"/>
  <c r="E19" i="65"/>
  <c r="E18" i="65"/>
  <c r="E17" i="65"/>
  <c r="E16" i="65"/>
  <c r="E15" i="65"/>
  <c r="E13" i="65"/>
  <c r="E12" i="65"/>
  <c r="E11" i="65"/>
  <c r="E10" i="65"/>
  <c r="M18" i="50"/>
  <c r="L18" i="50"/>
  <c r="E14" i="40"/>
  <c r="M17" i="50"/>
  <c r="E35" i="55"/>
  <c r="E25" i="40"/>
  <c r="B144" i="56"/>
  <c r="B145" i="56"/>
  <c r="D349" i="56" l="1"/>
  <c r="D350" i="56"/>
  <c r="D233" i="56"/>
  <c r="D234" i="56"/>
  <c r="D218" i="56"/>
  <c r="D33" i="62"/>
  <c r="O65" i="59"/>
  <c r="O64" i="59"/>
  <c r="O63" i="59"/>
  <c r="F27" i="61" l="1"/>
  <c r="F23" i="61"/>
  <c r="F22" i="61"/>
  <c r="R63" i="59"/>
  <c r="T63" i="59"/>
  <c r="N63" i="59"/>
  <c r="K63" i="59"/>
  <c r="I63" i="59"/>
  <c r="H63" i="59"/>
  <c r="W63" i="59"/>
  <c r="W64" i="59" s="1"/>
  <c r="AC73" i="59"/>
  <c r="T71" i="59"/>
  <c r="T72" i="59"/>
  <c r="T73" i="59"/>
  <c r="T74" i="59"/>
  <c r="T75" i="59"/>
  <c r="T76" i="59"/>
  <c r="T70" i="59"/>
  <c r="T58" i="59"/>
  <c r="T59" i="59"/>
  <c r="T60" i="59"/>
  <c r="T61" i="59"/>
  <c r="T62" i="59"/>
  <c r="T64" i="59"/>
  <c r="T65" i="59"/>
  <c r="T66" i="59"/>
  <c r="T67" i="59"/>
  <c r="T57" i="59"/>
  <c r="T46" i="59"/>
  <c r="T47" i="59"/>
  <c r="T48" i="59"/>
  <c r="T49" i="59"/>
  <c r="T50" i="59"/>
  <c r="T51" i="59"/>
  <c r="T52" i="59"/>
  <c r="T53" i="59"/>
  <c r="T54" i="59"/>
  <c r="T45" i="59"/>
  <c r="T37" i="59"/>
  <c r="T38" i="59"/>
  <c r="T39" i="59"/>
  <c r="T40" i="59"/>
  <c r="T41" i="59"/>
  <c r="T36" i="59"/>
  <c r="T31" i="59"/>
  <c r="T32" i="59"/>
  <c r="T33" i="59"/>
  <c r="T15" i="59"/>
  <c r="T16" i="59"/>
  <c r="T17" i="59"/>
  <c r="T18" i="59"/>
  <c r="T19" i="59"/>
  <c r="T20" i="59"/>
  <c r="T21" i="59"/>
  <c r="T22" i="59"/>
  <c r="T23" i="59"/>
  <c r="T24" i="59"/>
  <c r="T25" i="59"/>
  <c r="T26" i="59"/>
  <c r="T27" i="59"/>
  <c r="T28" i="59"/>
  <c r="T29" i="59"/>
  <c r="T30" i="59"/>
  <c r="T14" i="59"/>
  <c r="U63" i="59" l="1"/>
  <c r="V63" i="59" s="1"/>
  <c r="F78" i="12"/>
  <c r="F77" i="12"/>
  <c r="F76" i="12"/>
  <c r="F95" i="12"/>
  <c r="F94" i="12"/>
  <c r="F93" i="12"/>
  <c r="L14" i="50"/>
  <c r="F63" i="59" l="1"/>
  <c r="F82" i="17"/>
  <c r="E78" i="17"/>
  <c r="F85" i="12"/>
  <c r="F84" i="12"/>
  <c r="E84" i="12"/>
  <c r="F83" i="12"/>
  <c r="E83" i="12"/>
  <c r="F82" i="12"/>
  <c r="E82" i="12"/>
  <c r="F71" i="12"/>
  <c r="E71" i="12"/>
  <c r="F70" i="12"/>
  <c r="E70" i="12"/>
  <c r="F69" i="12"/>
  <c r="E69" i="12"/>
  <c r="F68" i="12"/>
  <c r="E68" i="12"/>
  <c r="F54" i="12"/>
  <c r="E54" i="12"/>
  <c r="F53" i="12"/>
  <c r="E53" i="12"/>
  <c r="F52" i="12"/>
  <c r="E52" i="12"/>
  <c r="F51" i="12"/>
  <c r="E51" i="12"/>
  <c r="F40" i="12"/>
  <c r="E40" i="12"/>
  <c r="F39" i="12" l="1"/>
  <c r="E39" i="12"/>
  <c r="F38" i="12"/>
  <c r="F37" i="12"/>
  <c r="E38" i="12"/>
  <c r="E37" i="12"/>
  <c r="F34" i="12"/>
  <c r="F32" i="12"/>
  <c r="F31" i="12"/>
  <c r="F30" i="12"/>
  <c r="E21" i="17"/>
  <c r="F34" i="17"/>
  <c r="F19" i="17"/>
  <c r="F27" i="17"/>
  <c r="E27" i="17"/>
  <c r="F60" i="12"/>
  <c r="E10" i="60" l="1"/>
  <c r="F96" i="12" l="1"/>
  <c r="F59" i="12"/>
  <c r="F58" i="12"/>
  <c r="F57" i="12"/>
  <c r="F42" i="12"/>
  <c r="F41" i="17" l="1"/>
  <c r="F39" i="17"/>
  <c r="F38" i="17"/>
  <c r="E36" i="40"/>
  <c r="D36" i="40" l="1"/>
  <c r="D24" i="40"/>
  <c r="F22" i="17" l="1"/>
  <c r="D60" i="12" l="1"/>
  <c r="D96" i="12"/>
  <c r="D79" i="12"/>
  <c r="F79" i="12" l="1"/>
  <c r="E18" i="17"/>
  <c r="D420" i="56" l="1"/>
  <c r="D402" i="56"/>
  <c r="L19" i="50"/>
  <c r="E91" i="12"/>
  <c r="F49" i="12"/>
  <c r="F86" i="12"/>
  <c r="E26" i="61" l="1"/>
  <c r="F47" i="12" l="1"/>
  <c r="F55" i="12"/>
  <c r="M83" i="10" l="1"/>
  <c r="M81" i="10"/>
  <c r="M80" i="10"/>
  <c r="E14" i="55" l="1"/>
  <c r="E11" i="58"/>
  <c r="F19" i="62" l="1"/>
  <c r="C19" i="62"/>
  <c r="E15" i="61"/>
  <c r="E12" i="58"/>
  <c r="E15" i="22"/>
  <c r="E16" i="40"/>
  <c r="E15" i="55"/>
  <c r="E11" i="60"/>
  <c r="E51" i="17"/>
  <c r="G11" i="22" l="1"/>
  <c r="L17" i="50"/>
  <c r="E50" i="17" l="1"/>
  <c r="E33" i="17"/>
  <c r="E36" i="17" l="1"/>
  <c r="E34" i="17"/>
  <c r="F26" i="17"/>
  <c r="E78" i="59" l="1"/>
  <c r="D78" i="59"/>
  <c r="Q77" i="59"/>
  <c r="P77" i="59"/>
  <c r="O77" i="59"/>
  <c r="L77" i="59"/>
  <c r="C77" i="59"/>
  <c r="F76" i="59"/>
  <c r="F75" i="59"/>
  <c r="F74" i="59"/>
  <c r="F73" i="59"/>
  <c r="F72" i="59"/>
  <c r="E71" i="59"/>
  <c r="F71" i="59" s="1"/>
  <c r="F70" i="59"/>
  <c r="Q68" i="59"/>
  <c r="P68" i="59"/>
  <c r="L68" i="59"/>
  <c r="C68" i="59"/>
  <c r="F67" i="59"/>
  <c r="F66" i="59"/>
  <c r="S65" i="59"/>
  <c r="I65" i="59"/>
  <c r="H65" i="59"/>
  <c r="F64" i="59"/>
  <c r="F62" i="59"/>
  <c r="F61" i="59"/>
  <c r="F60" i="59"/>
  <c r="F59" i="59"/>
  <c r="E58" i="59"/>
  <c r="F58" i="59" s="1"/>
  <c r="F57" i="59"/>
  <c r="Q55" i="59"/>
  <c r="P55" i="59"/>
  <c r="O55" i="59"/>
  <c r="L55" i="59"/>
  <c r="C55" i="59"/>
  <c r="F54" i="59"/>
  <c r="F53" i="59"/>
  <c r="F52" i="59"/>
  <c r="F51" i="59"/>
  <c r="F50" i="59"/>
  <c r="F49" i="59"/>
  <c r="F48" i="59"/>
  <c r="F47" i="59"/>
  <c r="E46" i="59"/>
  <c r="F46" i="59" s="1"/>
  <c r="F45" i="59"/>
  <c r="Q42" i="59"/>
  <c r="P42" i="59"/>
  <c r="O42" i="59"/>
  <c r="L42" i="59"/>
  <c r="C42" i="59"/>
  <c r="F41" i="59"/>
  <c r="F40" i="59"/>
  <c r="F39" i="59"/>
  <c r="F38" i="59"/>
  <c r="F37" i="59"/>
  <c r="F36" i="59"/>
  <c r="L34" i="59"/>
  <c r="I34" i="59"/>
  <c r="C34" i="59"/>
  <c r="F33" i="59"/>
  <c r="F32" i="59"/>
  <c r="F31" i="59"/>
  <c r="F30" i="59"/>
  <c r="F29" i="59"/>
  <c r="F28" i="59"/>
  <c r="F27" i="59"/>
  <c r="F26" i="59"/>
  <c r="F25" i="59"/>
  <c r="F24" i="59"/>
  <c r="S23" i="59"/>
  <c r="H23" i="59"/>
  <c r="N23" i="59" s="1"/>
  <c r="F22" i="59"/>
  <c r="F21" i="59"/>
  <c r="F20" i="59"/>
  <c r="F19" i="59"/>
  <c r="F18" i="59"/>
  <c r="F17" i="59"/>
  <c r="E16" i="59"/>
  <c r="F16" i="59" s="1"/>
  <c r="E15" i="59"/>
  <c r="F15" i="59" s="1"/>
  <c r="E14" i="59"/>
  <c r="F14" i="59" s="1"/>
  <c r="T13" i="59"/>
  <c r="F13" i="59"/>
  <c r="S72" i="59" l="1"/>
  <c r="S45" i="59"/>
  <c r="S36" i="59"/>
  <c r="S16" i="59"/>
  <c r="O67" i="59"/>
  <c r="S18" i="59"/>
  <c r="S53" i="59"/>
  <c r="S47" i="59"/>
  <c r="O66" i="59"/>
  <c r="S76" i="59"/>
  <c r="S27" i="59"/>
  <c r="H38" i="59"/>
  <c r="S57" i="59"/>
  <c r="R17" i="59"/>
  <c r="S28" i="59"/>
  <c r="I39" i="59"/>
  <c r="R58" i="59"/>
  <c r="R29" i="59"/>
  <c r="H50" i="59"/>
  <c r="N50" i="59" s="1"/>
  <c r="H59" i="59"/>
  <c r="N59" i="59" s="1"/>
  <c r="S41" i="59"/>
  <c r="I51" i="59"/>
  <c r="S52" i="59"/>
  <c r="S21" i="59"/>
  <c r="S22" i="59"/>
  <c r="N33" i="59"/>
  <c r="I54" i="59"/>
  <c r="N57" i="59"/>
  <c r="R28" i="59"/>
  <c r="N28" i="59"/>
  <c r="N45" i="59"/>
  <c r="S17" i="59"/>
  <c r="N29" i="59"/>
  <c r="Q29" i="59" s="1"/>
  <c r="R45" i="59"/>
  <c r="S31" i="59"/>
  <c r="R57" i="59"/>
  <c r="N17" i="59"/>
  <c r="U17" i="59" s="1"/>
  <c r="V17" i="59" s="1"/>
  <c r="R36" i="59"/>
  <c r="S50" i="59"/>
  <c r="H61" i="59"/>
  <c r="N61" i="59" s="1"/>
  <c r="R27" i="59"/>
  <c r="H53" i="59"/>
  <c r="H72" i="59"/>
  <c r="K72" i="59" s="1"/>
  <c r="K29" i="59"/>
  <c r="R33" i="59"/>
  <c r="R14" i="59"/>
  <c r="N14" i="59"/>
  <c r="N46" i="59"/>
  <c r="C78" i="59"/>
  <c r="N71" i="59"/>
  <c r="H74" i="59"/>
  <c r="N74" i="59" s="1"/>
  <c r="H76" i="59"/>
  <c r="K27" i="59"/>
  <c r="K36" i="59"/>
  <c r="S37" i="59"/>
  <c r="S38" i="59"/>
  <c r="H48" i="59"/>
  <c r="R48" i="59" s="1"/>
  <c r="S58" i="59"/>
  <c r="H62" i="59"/>
  <c r="R62" i="59" s="1"/>
  <c r="K65" i="59"/>
  <c r="I76" i="59"/>
  <c r="I77" i="59" s="1"/>
  <c r="F34" i="59"/>
  <c r="K13" i="59"/>
  <c r="N19" i="59"/>
  <c r="U19" i="59" s="1"/>
  <c r="K58" i="59"/>
  <c r="R13" i="59"/>
  <c r="R19" i="59"/>
  <c r="N21" i="59"/>
  <c r="H25" i="59"/>
  <c r="N25" i="59" s="1"/>
  <c r="S19" i="59"/>
  <c r="S25" i="59"/>
  <c r="N27" i="59"/>
  <c r="K28" i="59"/>
  <c r="S29" i="59"/>
  <c r="H31" i="59"/>
  <c r="N31" i="59" s="1"/>
  <c r="N36" i="59"/>
  <c r="H37" i="59"/>
  <c r="R37" i="59" s="1"/>
  <c r="K45" i="59"/>
  <c r="K57" i="59"/>
  <c r="S61" i="59"/>
  <c r="F68" i="59"/>
  <c r="N15" i="59"/>
  <c r="R15" i="59"/>
  <c r="K15" i="59"/>
  <c r="S15" i="59"/>
  <c r="N20" i="59"/>
  <c r="S30" i="59"/>
  <c r="H30" i="59"/>
  <c r="R30" i="59" s="1"/>
  <c r="K59" i="59"/>
  <c r="K70" i="59"/>
  <c r="S70" i="59"/>
  <c r="N70" i="59"/>
  <c r="H73" i="59"/>
  <c r="R73" i="59" s="1"/>
  <c r="S75" i="59"/>
  <c r="H75" i="59"/>
  <c r="R75" i="59" s="1"/>
  <c r="F77" i="59"/>
  <c r="S14" i="59"/>
  <c r="N16" i="59"/>
  <c r="R18" i="59"/>
  <c r="S20" i="59"/>
  <c r="S24" i="59"/>
  <c r="H24" i="59"/>
  <c r="R24" i="59" s="1"/>
  <c r="R32" i="59"/>
  <c r="K32" i="59"/>
  <c r="O32" i="59"/>
  <c r="O34" i="59" s="1"/>
  <c r="S40" i="59"/>
  <c r="H40" i="59"/>
  <c r="H41" i="59"/>
  <c r="I41" i="59"/>
  <c r="H47" i="59"/>
  <c r="S49" i="59"/>
  <c r="H49" i="59"/>
  <c r="R49" i="59" s="1"/>
  <c r="S63" i="59"/>
  <c r="S64" i="59"/>
  <c r="H64" i="59"/>
  <c r="I66" i="59"/>
  <c r="S66" i="59"/>
  <c r="H66" i="59"/>
  <c r="S67" i="59"/>
  <c r="H67" i="59"/>
  <c r="S73" i="59"/>
  <c r="N13" i="59"/>
  <c r="K14" i="59"/>
  <c r="R16" i="59"/>
  <c r="N32" i="59"/>
  <c r="Q32" i="59" s="1"/>
  <c r="P33" i="59"/>
  <c r="P34" i="59" s="1"/>
  <c r="P78" i="59" s="1"/>
  <c r="S33" i="59"/>
  <c r="K33" i="59"/>
  <c r="I40" i="59"/>
  <c r="F42" i="59"/>
  <c r="R46" i="59"/>
  <c r="S46" i="59"/>
  <c r="F55" i="59"/>
  <c r="K46" i="59"/>
  <c r="K50" i="59"/>
  <c r="S51" i="59"/>
  <c r="H51" i="59"/>
  <c r="H52" i="59"/>
  <c r="I52" i="59"/>
  <c r="S60" i="59"/>
  <c r="I60" i="59"/>
  <c r="H60" i="59"/>
  <c r="I64" i="59"/>
  <c r="R65" i="59"/>
  <c r="I67" i="59"/>
  <c r="S71" i="59"/>
  <c r="K71" i="59"/>
  <c r="R71" i="59"/>
  <c r="S26" i="59"/>
  <c r="H26" i="59"/>
  <c r="R26" i="59" s="1"/>
  <c r="S13" i="59"/>
  <c r="N18" i="59"/>
  <c r="R20" i="59"/>
  <c r="R21" i="59"/>
  <c r="R22" i="59"/>
  <c r="N22" i="59"/>
  <c r="R23" i="59"/>
  <c r="K23" i="59"/>
  <c r="U23" i="59" s="1"/>
  <c r="S32" i="59"/>
  <c r="R59" i="59"/>
  <c r="N65" i="59"/>
  <c r="R70" i="59"/>
  <c r="H39" i="59"/>
  <c r="S39" i="59"/>
  <c r="K48" i="59"/>
  <c r="S48" i="59"/>
  <c r="H54" i="59"/>
  <c r="N54" i="59" s="1"/>
  <c r="S54" i="59"/>
  <c r="S62" i="59"/>
  <c r="K25" i="59"/>
  <c r="U25" i="59" s="1"/>
  <c r="I38" i="59"/>
  <c r="R50" i="59"/>
  <c r="I53" i="59"/>
  <c r="N58" i="59"/>
  <c r="S59" i="59"/>
  <c r="S74" i="59"/>
  <c r="U46" i="59" l="1"/>
  <c r="N38" i="59"/>
  <c r="O68" i="59"/>
  <c r="N39" i="59"/>
  <c r="R25" i="59"/>
  <c r="V25" i="59" s="1"/>
  <c r="U57" i="59"/>
  <c r="N51" i="59"/>
  <c r="U45" i="59"/>
  <c r="V45" i="59" s="1"/>
  <c r="U29" i="59"/>
  <c r="U18" i="59"/>
  <c r="V18" i="59" s="1"/>
  <c r="V19" i="59"/>
  <c r="R76" i="59"/>
  <c r="N66" i="59"/>
  <c r="U58" i="59"/>
  <c r="V58" i="59" s="1"/>
  <c r="N72" i="59"/>
  <c r="U72" i="59" s="1"/>
  <c r="T42" i="59"/>
  <c r="N76" i="59"/>
  <c r="R72" i="59"/>
  <c r="N64" i="59"/>
  <c r="K74" i="59"/>
  <c r="U74" i="59" s="1"/>
  <c r="V74" i="59" s="1"/>
  <c r="S42" i="59"/>
  <c r="S55" i="59"/>
  <c r="K62" i="59"/>
  <c r="K76" i="59"/>
  <c r="U71" i="59"/>
  <c r="V71" i="59" s="1"/>
  <c r="U65" i="59"/>
  <c r="V65" i="59" s="1"/>
  <c r="K24" i="59"/>
  <c r="R74" i="59"/>
  <c r="I55" i="59"/>
  <c r="K31" i="59"/>
  <c r="U31" i="59" s="1"/>
  <c r="R31" i="59"/>
  <c r="R34" i="59" s="1"/>
  <c r="R52" i="59"/>
  <c r="U16" i="59"/>
  <c r="V16" i="59" s="1"/>
  <c r="R61" i="59"/>
  <c r="K61" i="59"/>
  <c r="U61" i="59" s="1"/>
  <c r="V61" i="59" s="1"/>
  <c r="N62" i="59"/>
  <c r="U59" i="59"/>
  <c r="V59" i="59" s="1"/>
  <c r="N48" i="59"/>
  <c r="U48" i="59" s="1"/>
  <c r="V48" i="59" s="1"/>
  <c r="N49" i="59"/>
  <c r="T68" i="59"/>
  <c r="U27" i="59"/>
  <c r="V27" i="59" s="1"/>
  <c r="R66" i="59"/>
  <c r="N24" i="59"/>
  <c r="H77" i="59"/>
  <c r="N30" i="59"/>
  <c r="U15" i="59"/>
  <c r="V15" i="59" s="1"/>
  <c r="V29" i="59"/>
  <c r="N53" i="59"/>
  <c r="V46" i="59"/>
  <c r="U32" i="59"/>
  <c r="V32" i="59" s="1"/>
  <c r="R53" i="59"/>
  <c r="K26" i="59"/>
  <c r="U21" i="59"/>
  <c r="V21" i="59" s="1"/>
  <c r="F78" i="59"/>
  <c r="N40" i="59"/>
  <c r="T34" i="59"/>
  <c r="S68" i="59"/>
  <c r="K53" i="59"/>
  <c r="T55" i="59"/>
  <c r="R38" i="59"/>
  <c r="K73" i="59"/>
  <c r="N52" i="59"/>
  <c r="U50" i="59"/>
  <c r="V50" i="59" s="1"/>
  <c r="U33" i="59"/>
  <c r="V33" i="59" s="1"/>
  <c r="U14" i="59"/>
  <c r="V14" i="59" s="1"/>
  <c r="R67" i="59"/>
  <c r="K49" i="59"/>
  <c r="R41" i="59"/>
  <c r="O78" i="59"/>
  <c r="U20" i="59"/>
  <c r="V20" i="59" s="1"/>
  <c r="N37" i="59"/>
  <c r="K37" i="59"/>
  <c r="U28" i="59"/>
  <c r="V28" i="59" s="1"/>
  <c r="U36" i="59"/>
  <c r="V36" i="59" s="1"/>
  <c r="V23" i="59"/>
  <c r="Q22" i="59"/>
  <c r="Q34" i="59" s="1"/>
  <c r="Q78" i="59" s="1"/>
  <c r="S34" i="59"/>
  <c r="N26" i="59"/>
  <c r="R60" i="59"/>
  <c r="K60" i="59"/>
  <c r="K51" i="59"/>
  <c r="U51" i="59" s="1"/>
  <c r="N67" i="59"/>
  <c r="K67" i="59"/>
  <c r="U67" i="59" s="1"/>
  <c r="K64" i="59"/>
  <c r="N47" i="59"/>
  <c r="R40" i="59"/>
  <c r="K75" i="59"/>
  <c r="K39" i="59"/>
  <c r="U39" i="59" s="1"/>
  <c r="R54" i="59"/>
  <c r="K38" i="59"/>
  <c r="N75" i="59"/>
  <c r="U75" i="59" s="1"/>
  <c r="V75" i="59" s="1"/>
  <c r="K30" i="59"/>
  <c r="K47" i="59"/>
  <c r="K41" i="59"/>
  <c r="R64" i="59"/>
  <c r="R47" i="59"/>
  <c r="N41" i="59"/>
  <c r="S77" i="59"/>
  <c r="H68" i="59"/>
  <c r="I68" i="59"/>
  <c r="R51" i="59"/>
  <c r="H55" i="59"/>
  <c r="K54" i="59"/>
  <c r="U54" i="59" s="1"/>
  <c r="V54" i="59" s="1"/>
  <c r="I42" i="59"/>
  <c r="R39" i="59"/>
  <c r="V57" i="59"/>
  <c r="H34" i="59"/>
  <c r="K66" i="59"/>
  <c r="N60" i="59"/>
  <c r="K52" i="59"/>
  <c r="H42" i="59"/>
  <c r="U13" i="59"/>
  <c r="U70" i="59"/>
  <c r="K40" i="59"/>
  <c r="N73" i="59"/>
  <c r="T77" i="59"/>
  <c r="R77" i="59" l="1"/>
  <c r="U53" i="59"/>
  <c r="U66" i="59"/>
  <c r="V66" i="59" s="1"/>
  <c r="U24" i="59"/>
  <c r="V24" i="59" s="1"/>
  <c r="V72" i="59"/>
  <c r="U76" i="59"/>
  <c r="V76" i="59" s="1"/>
  <c r="U64" i="59"/>
  <c r="U62" i="59"/>
  <c r="V62" i="59" s="1"/>
  <c r="R42" i="59"/>
  <c r="V31" i="59"/>
  <c r="U40" i="59"/>
  <c r="V40" i="59" s="1"/>
  <c r="N42" i="59"/>
  <c r="U52" i="59"/>
  <c r="V52" i="59" s="1"/>
  <c r="U30" i="59"/>
  <c r="V30" i="59" s="1"/>
  <c r="K77" i="59"/>
  <c r="U49" i="59"/>
  <c r="V49" i="59" s="1"/>
  <c r="V67" i="59"/>
  <c r="R68" i="59"/>
  <c r="V53" i="59"/>
  <c r="K34" i="59"/>
  <c r="N68" i="59"/>
  <c r="N77" i="59"/>
  <c r="R55" i="59"/>
  <c r="N55" i="59"/>
  <c r="K55" i="59"/>
  <c r="V51" i="59"/>
  <c r="U26" i="59"/>
  <c r="V26" i="59" s="1"/>
  <c r="T78" i="59"/>
  <c r="H78" i="59"/>
  <c r="I78" i="59"/>
  <c r="U41" i="59"/>
  <c r="V41" i="59" s="1"/>
  <c r="V64" i="59"/>
  <c r="U60" i="59"/>
  <c r="V60" i="59" s="1"/>
  <c r="S78" i="59"/>
  <c r="U37" i="59"/>
  <c r="V37" i="59" s="1"/>
  <c r="U73" i="59"/>
  <c r="V73" i="59" s="1"/>
  <c r="N34" i="59"/>
  <c r="U22" i="59"/>
  <c r="V22" i="59" s="1"/>
  <c r="U47" i="59"/>
  <c r="V70" i="59"/>
  <c r="V13" i="59"/>
  <c r="K42" i="59"/>
  <c r="U38" i="59"/>
  <c r="K68" i="59"/>
  <c r="V39" i="59"/>
  <c r="AA73" i="59" l="1"/>
  <c r="AB75" i="59" s="1"/>
  <c r="W65" i="59"/>
  <c r="R78" i="59"/>
  <c r="A26" i="28"/>
  <c r="N78" i="59"/>
  <c r="V77" i="59"/>
  <c r="U77" i="59"/>
  <c r="V68" i="59"/>
  <c r="V78" i="59" s="1"/>
  <c r="E13" i="62"/>
  <c r="U68" i="59"/>
  <c r="K78" i="59"/>
  <c r="V38" i="59"/>
  <c r="W38" i="59" s="1"/>
  <c r="U42" i="59"/>
  <c r="V34" i="59"/>
  <c r="V47" i="59"/>
  <c r="V55" i="59" s="1"/>
  <c r="U55" i="59"/>
  <c r="U34" i="59"/>
  <c r="A26" i="27" l="1"/>
  <c r="Y64" i="59"/>
  <c r="A26" i="63"/>
  <c r="A30" i="27"/>
  <c r="W34" i="59"/>
  <c r="A29" i="13"/>
  <c r="W41" i="59"/>
  <c r="A27" i="14"/>
  <c r="A26" i="13"/>
  <c r="G26" i="13" s="1"/>
  <c r="O26" i="13" s="1"/>
  <c r="U78" i="59"/>
  <c r="V42" i="59"/>
  <c r="X38" i="59"/>
  <c r="K7" i="10"/>
  <c r="O25" i="13"/>
  <c r="E34" i="40"/>
  <c r="E22" i="58"/>
  <c r="E21" i="58"/>
  <c r="F27" i="62"/>
  <c r="F26" i="62"/>
  <c r="C27" i="62"/>
  <c r="C26" i="62"/>
  <c r="F21" i="62"/>
  <c r="E46" i="61"/>
  <c r="E40" i="61"/>
  <c r="E36" i="61"/>
  <c r="E35" i="61"/>
  <c r="A31" i="50" l="1"/>
  <c r="A27" i="63"/>
  <c r="A27" i="28"/>
  <c r="A27" i="18"/>
  <c r="A27" i="27"/>
  <c r="F28" i="62"/>
  <c r="L7" i="10"/>
  <c r="L8" i="10" s="1"/>
  <c r="K82" i="10"/>
  <c r="L82" i="10" s="1"/>
  <c r="L83" i="10" s="1"/>
  <c r="M14" i="50"/>
  <c r="P14" i="50" l="1"/>
  <c r="J57" i="12"/>
  <c r="W71" i="59" l="1"/>
  <c r="E52" i="22"/>
  <c r="E51" i="22"/>
  <c r="E53" i="22" s="1"/>
  <c r="E44" i="22"/>
  <c r="E43" i="22"/>
  <c r="E45" i="22" s="1"/>
  <c r="E37" i="22"/>
  <c r="E36" i="22"/>
  <c r="E35" i="22"/>
  <c r="E39" i="22" s="1"/>
  <c r="E40" i="22" s="1"/>
  <c r="E23" i="22"/>
  <c r="E14" i="22"/>
  <c r="E35" i="40"/>
  <c r="E33" i="40"/>
  <c r="E32" i="40"/>
  <c r="E31" i="40"/>
  <c r="E30" i="40"/>
  <c r="E29" i="40"/>
  <c r="E28" i="40"/>
  <c r="E27" i="40"/>
  <c r="E26" i="40"/>
  <c r="E15" i="40"/>
  <c r="E41" i="55"/>
  <c r="E34" i="55"/>
  <c r="E33" i="55"/>
  <c r="E29" i="55"/>
  <c r="E28" i="55"/>
  <c r="E27" i="55"/>
  <c r="E25" i="55"/>
  <c r="E24" i="55"/>
  <c r="E30" i="55" s="1"/>
  <c r="E18" i="60"/>
  <c r="E19" i="60" s="1"/>
  <c r="F80" i="17"/>
  <c r="F79" i="17"/>
  <c r="F77" i="17"/>
  <c r="G67" i="17"/>
  <c r="G66" i="17"/>
  <c r="E33" i="22" l="1"/>
  <c r="E41" i="22" s="1"/>
  <c r="R3" i="10"/>
  <c r="S3" i="10" s="1"/>
  <c r="F63" i="12"/>
  <c r="D11" i="22" l="1"/>
  <c r="D8" i="60"/>
  <c r="D11" i="55"/>
  <c r="D11" i="40"/>
  <c r="W55" i="59"/>
  <c r="D9" i="17"/>
  <c r="I9" i="17" s="1"/>
  <c r="E8" i="60" l="1"/>
  <c r="F9" i="17"/>
  <c r="D66" i="17"/>
  <c r="L19" i="10"/>
  <c r="E66" i="17" l="1"/>
  <c r="K18" i="10"/>
  <c r="L18" i="10" s="1"/>
  <c r="K16" i="10"/>
  <c r="K17" i="10"/>
  <c r="L15" i="10"/>
  <c r="L12" i="10"/>
  <c r="K48" i="10" l="1"/>
  <c r="L48" i="10" s="1"/>
  <c r="D21" i="12"/>
  <c r="E21" i="12" s="1"/>
  <c r="U3" i="50" l="1"/>
  <c r="D150" i="56" l="1"/>
  <c r="D47" i="22" l="1"/>
  <c r="E47" i="22" s="1"/>
  <c r="F67" i="12" l="1"/>
  <c r="F66" i="12"/>
  <c r="F65" i="12"/>
  <c r="F64" i="12" l="1"/>
  <c r="F45" i="12"/>
  <c r="F46" i="12" s="1"/>
  <c r="A26" i="18" l="1"/>
  <c r="D219" i="56" l="1"/>
  <c r="E41" i="61" l="1"/>
  <c r="E42" i="61" s="1"/>
  <c r="D504" i="56" s="1"/>
  <c r="E47" i="61"/>
  <c r="E48" i="61" s="1"/>
  <c r="D520" i="56" s="1"/>
  <c r="E25" i="61"/>
  <c r="D517" i="56" l="1"/>
  <c r="D523" i="56" s="1"/>
  <c r="D501" i="56"/>
  <c r="D507" i="56" s="1"/>
  <c r="E37" i="61"/>
  <c r="E24" i="61"/>
  <c r="D488" i="56" l="1"/>
  <c r="D485" i="56" l="1"/>
  <c r="D491" i="56" s="1"/>
  <c r="E13" i="40"/>
  <c r="D421" i="56" l="1"/>
  <c r="D403" i="56"/>
  <c r="D385" i="56"/>
  <c r="E76" i="17"/>
  <c r="E75" i="17"/>
  <c r="F35" i="17"/>
  <c r="F21" i="17"/>
  <c r="D25" i="17"/>
  <c r="C25" i="17"/>
  <c r="D24" i="17"/>
  <c r="C24" i="17"/>
  <c r="B24" i="17"/>
  <c r="D20" i="17"/>
  <c r="C20" i="17"/>
  <c r="B20" i="17"/>
  <c r="D17" i="17"/>
  <c r="C17" i="17"/>
  <c r="B17" i="17"/>
  <c r="C28" i="62"/>
  <c r="A35" i="62"/>
  <c r="A34" i="62"/>
  <c r="A33" i="62"/>
  <c r="A32" i="62"/>
  <c r="A31" i="62"/>
  <c r="C18" i="62"/>
  <c r="C21" i="62" s="1"/>
  <c r="G21" i="62" s="1"/>
  <c r="D34" i="62" s="1"/>
  <c r="F36" i="17" l="1"/>
  <c r="F78" i="17" s="1"/>
  <c r="F76" i="17" l="1"/>
  <c r="F43" i="17"/>
  <c r="D332" i="56"/>
  <c r="G28" i="62"/>
  <c r="D331" i="56" s="1"/>
  <c r="F22" i="11" l="1"/>
  <c r="E14" i="61" l="1"/>
  <c r="E13" i="61" l="1"/>
  <c r="D473" i="56" s="1"/>
  <c r="E38" i="55"/>
  <c r="D436" i="56" l="1"/>
  <c r="D85" i="56"/>
  <c r="D552" i="56" l="1"/>
  <c r="D551" i="56"/>
  <c r="E10" i="58"/>
  <c r="E23" i="58"/>
  <c r="L49" i="10" l="1"/>
  <c r="A26" i="14"/>
  <c r="L51" i="10" l="1"/>
  <c r="D89" i="56" s="1"/>
  <c r="L53" i="10"/>
  <c r="D86" i="56"/>
  <c r="D84" i="56" s="1"/>
  <c r="G25" i="13"/>
  <c r="A26" i="64"/>
  <c r="A27" i="64" s="1"/>
  <c r="F13" i="62"/>
  <c r="F14" i="62" s="1"/>
  <c r="E11" i="55"/>
  <c r="E11" i="40"/>
  <c r="D8" i="58"/>
  <c r="P58" i="10"/>
  <c r="D90" i="56" l="1"/>
  <c r="D418" i="56"/>
  <c r="D400" i="56"/>
  <c r="D382" i="56"/>
  <c r="D363" i="56"/>
  <c r="E8" i="58"/>
  <c r="N6" i="50"/>
  <c r="O6" i="50" s="1"/>
  <c r="D549" i="56"/>
  <c r="E9" i="60"/>
  <c r="E63" i="10"/>
  <c r="E62" i="10"/>
  <c r="D550" i="56" l="1"/>
  <c r="D548" i="56" s="1"/>
  <c r="E12" i="60"/>
  <c r="D553" i="56" s="1"/>
  <c r="K6" i="50"/>
  <c r="L6" i="50" s="1"/>
  <c r="A28" i="50"/>
  <c r="K5" i="10"/>
  <c r="A25" i="13"/>
  <c r="F25" i="13" s="1"/>
  <c r="E9" i="58"/>
  <c r="D348" i="56" s="1"/>
  <c r="D347" i="56"/>
  <c r="B13" i="62"/>
  <c r="C13" i="62" s="1"/>
  <c r="H13" i="62" s="1"/>
  <c r="D11" i="61"/>
  <c r="D554" i="56" l="1"/>
  <c r="D556" i="56" s="1"/>
  <c r="E13" i="58"/>
  <c r="D351" i="56" s="1"/>
  <c r="E13" i="60"/>
  <c r="E36" i="21" s="1"/>
  <c r="E37" i="21" s="1"/>
  <c r="Q6" i="50"/>
  <c r="E11" i="61"/>
  <c r="D22" i="61"/>
  <c r="E22" i="61" s="1"/>
  <c r="L5" i="10"/>
  <c r="K80" i="10"/>
  <c r="L80" i="10" s="1"/>
  <c r="F26" i="14"/>
  <c r="A30" i="63"/>
  <c r="A30" i="28"/>
  <c r="A30" i="18"/>
  <c r="A30" i="64"/>
  <c r="A34" i="50"/>
  <c r="A30" i="14"/>
  <c r="F29" i="13"/>
  <c r="G29" i="13"/>
  <c r="O29" i="13" s="1"/>
  <c r="D346" i="56"/>
  <c r="D352" i="56" s="1"/>
  <c r="E14" i="58"/>
  <c r="E15" i="21" s="1"/>
  <c r="H14" i="62"/>
  <c r="C16" i="62" s="1"/>
  <c r="C14" i="62"/>
  <c r="D114" i="56" l="1"/>
  <c r="D70" i="56"/>
  <c r="N25" i="13"/>
  <c r="N29" i="13" s="1"/>
  <c r="V25" i="13"/>
  <c r="V29" i="13" s="1"/>
  <c r="E12" i="61"/>
  <c r="E16" i="61" s="1"/>
  <c r="D474" i="56" s="1"/>
  <c r="F30" i="14"/>
  <c r="L81" i="10"/>
  <c r="D115" i="56" s="1"/>
  <c r="L7" i="50"/>
  <c r="E23" i="61"/>
  <c r="E27" i="61" s="1"/>
  <c r="E14" i="21"/>
  <c r="E16" i="21"/>
  <c r="H16" i="62"/>
  <c r="D32" i="62" s="1"/>
  <c r="D330" i="56" s="1"/>
  <c r="D31" i="62"/>
  <c r="L84" i="10" l="1"/>
  <c r="L85" i="10"/>
  <c r="L88" i="10" s="1"/>
  <c r="D35" i="62"/>
  <c r="D329" i="56"/>
  <c r="D328" i="56" s="1"/>
  <c r="G16" i="61"/>
  <c r="D36" i="62"/>
  <c r="D454" i="56"/>
  <c r="D48" i="12"/>
  <c r="F48" i="12" s="1"/>
  <c r="D170" i="56"/>
  <c r="E45" i="55"/>
  <c r="D365" i="56" s="1"/>
  <c r="G14" i="61" l="1"/>
  <c r="G11" i="61"/>
  <c r="E30" i="21"/>
  <c r="G15" i="61"/>
  <c r="G12" i="61"/>
  <c r="G13" i="61"/>
  <c r="E31" i="21"/>
  <c r="E33" i="21"/>
  <c r="E32" i="21"/>
  <c r="D333" i="56"/>
  <c r="D334" i="56" s="1"/>
  <c r="D569" i="56"/>
  <c r="E13" i="22" l="1"/>
  <c r="D231" i="56" l="1"/>
  <c r="D216" i="56"/>
  <c r="D199" i="56"/>
  <c r="D183" i="56"/>
  <c r="D167" i="56"/>
  <c r="D134" i="56" l="1"/>
  <c r="M19" i="50" l="1"/>
  <c r="M16" i="50" s="1"/>
  <c r="P16" i="50" l="1"/>
  <c r="E13" i="55"/>
  <c r="D366" i="56" s="1"/>
  <c r="D455" i="56" l="1"/>
  <c r="D437" i="56"/>
  <c r="E48" i="22"/>
  <c r="D299" i="56"/>
  <c r="D315" i="56" l="1"/>
  <c r="D470" i="56"/>
  <c r="E26" i="22"/>
  <c r="E16" i="22" l="1"/>
  <c r="D535" i="56"/>
  <c r="D533" i="56" s="1"/>
  <c r="D266" i="56"/>
  <c r="D314" i="56"/>
  <c r="D312" i="56" s="1"/>
  <c r="D282" i="56"/>
  <c r="D280" i="56" s="1"/>
  <c r="E17" i="22"/>
  <c r="E18" i="22" s="1"/>
  <c r="D298" i="56"/>
  <c r="D296" i="56" s="1"/>
  <c r="D267" i="56"/>
  <c r="D471" i="56"/>
  <c r="D469" i="56" s="1"/>
  <c r="D264" i="56" l="1"/>
  <c r="E7" i="21"/>
  <c r="E8" i="21"/>
  <c r="E10" i="21"/>
  <c r="E9" i="21"/>
  <c r="E34" i="21"/>
  <c r="D269" i="56"/>
  <c r="D270" i="56" s="1"/>
  <c r="D317" i="56"/>
  <c r="D318" i="56" s="1"/>
  <c r="D285" i="56"/>
  <c r="D286" i="56" s="1"/>
  <c r="D301" i="56"/>
  <c r="D302" i="56" s="1"/>
  <c r="D538" i="56"/>
  <c r="D475" i="56"/>
  <c r="D539" i="56" l="1"/>
  <c r="F40" i="17"/>
  <c r="F37" i="17"/>
  <c r="E67" i="17"/>
  <c r="E68" i="17" l="1"/>
  <c r="E69" i="17"/>
  <c r="D232" i="56"/>
  <c r="I70" i="17" l="1"/>
  <c r="E70" i="17"/>
  <c r="F10" i="17"/>
  <c r="J6" i="17"/>
  <c r="F33" i="17" s="1"/>
  <c r="F12" i="17" l="1"/>
  <c r="E90" i="17" s="1"/>
  <c r="D235" i="56" s="1"/>
  <c r="D220" i="56"/>
  <c r="E13" i="17"/>
  <c r="F11" i="17"/>
  <c r="F75" i="17"/>
  <c r="D217" i="56"/>
  <c r="D215" i="56" s="1"/>
  <c r="D221" i="56" s="1"/>
  <c r="E49" i="17"/>
  <c r="D230" i="56" l="1"/>
  <c r="D236" i="56" s="1"/>
  <c r="E87" i="17"/>
  <c r="E47" i="17"/>
  <c r="D186" i="56"/>
  <c r="M45" i="12"/>
  <c r="M54" i="12" l="1"/>
  <c r="M52" i="12"/>
  <c r="M51" i="12"/>
  <c r="L49" i="12"/>
  <c r="M49" i="12" s="1"/>
  <c r="K48" i="12"/>
  <c r="M48" i="12" s="1"/>
  <c r="M47" i="12"/>
  <c r="I28" i="12" l="1"/>
  <c r="I10" i="12"/>
  <c r="E13" i="12"/>
  <c r="E14" i="12" s="1"/>
  <c r="C5" i="12"/>
  <c r="O2" i="10"/>
  <c r="L13" i="10" s="1"/>
  <c r="F33" i="12" l="1"/>
  <c r="F35" i="12" s="1"/>
  <c r="F50" i="12"/>
  <c r="F73" i="12"/>
  <c r="L16" i="10"/>
  <c r="L17" i="10"/>
  <c r="F90" i="12"/>
  <c r="F89" i="12"/>
  <c r="F87" i="12"/>
  <c r="F41" i="12"/>
  <c r="F43" i="12" s="1"/>
  <c r="E15" i="12"/>
  <c r="E16" i="12" s="1"/>
  <c r="M50" i="12"/>
  <c r="M60" i="12" s="1"/>
  <c r="L87" i="10"/>
  <c r="L86" i="10" s="1"/>
  <c r="D117" i="56"/>
  <c r="E98" i="10" l="1"/>
  <c r="L14" i="10"/>
  <c r="L11" i="10" s="1"/>
  <c r="F91" i="12"/>
  <c r="D73" i="56"/>
  <c r="D152" i="56"/>
  <c r="D136" i="56"/>
  <c r="E22" i="12"/>
  <c r="E24" i="12" s="1"/>
  <c r="E106" i="10" l="1"/>
  <c r="E108" i="10"/>
  <c r="E104" i="10"/>
  <c r="D72" i="56"/>
  <c r="D203" i="56"/>
  <c r="D138" i="56"/>
  <c r="D187" i="56"/>
  <c r="D154" i="56"/>
  <c r="D171" i="56"/>
  <c r="D151" i="56"/>
  <c r="D149" i="56" s="1"/>
  <c r="E25" i="12"/>
  <c r="E99" i="10"/>
  <c r="E101" i="10"/>
  <c r="E113" i="10"/>
  <c r="E111" i="10"/>
  <c r="E102" i="10"/>
  <c r="E109" i="10"/>
  <c r="E103" i="10"/>
  <c r="E112" i="10"/>
  <c r="E110" i="10"/>
  <c r="E114" i="10"/>
  <c r="D168" i="56"/>
  <c r="D200" i="56"/>
  <c r="D184" i="56"/>
  <c r="L6" i="10"/>
  <c r="D135" i="56"/>
  <c r="D133" i="56" s="1"/>
  <c r="L9" i="10" l="1"/>
  <c r="L10" i="10" s="1"/>
  <c r="L21" i="10" s="1"/>
  <c r="E93" i="10" s="1"/>
  <c r="D71" i="56"/>
  <c r="D69" i="56" s="1"/>
  <c r="G6" i="11"/>
  <c r="G8" i="11"/>
  <c r="D139" i="56"/>
  <c r="D155" i="56"/>
  <c r="G17" i="11"/>
  <c r="G20" i="11"/>
  <c r="G15" i="11"/>
  <c r="G19" i="11"/>
  <c r="O7" i="50"/>
  <c r="Q7" i="50"/>
  <c r="M15" i="50" s="1"/>
  <c r="D434" i="56"/>
  <c r="D118" i="56"/>
  <c r="D74" i="56"/>
  <c r="D113" i="56"/>
  <c r="D452" i="56"/>
  <c r="E12" i="55"/>
  <c r="E16" i="55" s="1"/>
  <c r="D367" i="56" s="1"/>
  <c r="M20" i="50" l="1"/>
  <c r="M21" i="50" s="1"/>
  <c r="D75" i="56"/>
  <c r="E91" i="10"/>
  <c r="E61" i="10"/>
  <c r="E17" i="55"/>
  <c r="E39" i="55" s="1"/>
  <c r="D364" i="56"/>
  <c r="D362" i="56" s="1"/>
  <c r="D368" i="56" s="1"/>
  <c r="D370" i="56" s="1"/>
  <c r="P15" i="50"/>
  <c r="D435" i="56"/>
  <c r="D433" i="56" s="1"/>
  <c r="D119" i="56"/>
  <c r="D438" i="56"/>
  <c r="D456" i="56"/>
  <c r="D453" i="56"/>
  <c r="D451" i="56" s="1"/>
  <c r="E12" i="40"/>
  <c r="M23" i="50" l="1"/>
  <c r="P21" i="50"/>
  <c r="E17" i="40"/>
  <c r="E18" i="40" s="1"/>
  <c r="N8" i="10"/>
  <c r="N5" i="10"/>
  <c r="E75" i="10"/>
  <c r="E46" i="55"/>
  <c r="N12" i="10"/>
  <c r="E56" i="10"/>
  <c r="E55" i="10"/>
  <c r="E85" i="10"/>
  <c r="E89" i="10"/>
  <c r="E8" i="10"/>
  <c r="E86" i="10"/>
  <c r="E47" i="10"/>
  <c r="E84" i="10"/>
  <c r="E76" i="10"/>
  <c r="E79" i="10"/>
  <c r="N13" i="10"/>
  <c r="N10" i="10"/>
  <c r="E82" i="10"/>
  <c r="N7" i="10"/>
  <c r="N15" i="10"/>
  <c r="E83" i="10"/>
  <c r="E88" i="10"/>
  <c r="E80" i="10"/>
  <c r="E78" i="10"/>
  <c r="E44" i="10"/>
  <c r="E15" i="10"/>
  <c r="N9" i="10"/>
  <c r="N11" i="10"/>
  <c r="N6" i="10"/>
  <c r="E39" i="10"/>
  <c r="N14" i="10"/>
  <c r="E28" i="21"/>
  <c r="E29" i="21" s="1"/>
  <c r="P20" i="50"/>
  <c r="E26" i="21"/>
  <c r="E27" i="21" s="1"/>
  <c r="E17" i="21"/>
  <c r="E18" i="21" s="1"/>
  <c r="D419" i="56"/>
  <c r="D417" i="56" s="1"/>
  <c r="D401" i="56"/>
  <c r="D399" i="56" s="1"/>
  <c r="D383" i="56"/>
  <c r="D381" i="56" s="1"/>
  <c r="D571" i="56"/>
  <c r="D439" i="56"/>
  <c r="D441" i="56" s="1"/>
  <c r="D457" i="56"/>
  <c r="D459" i="56" s="1"/>
  <c r="M24" i="50" l="1"/>
  <c r="M26" i="50" s="1"/>
  <c r="D575" i="56" s="1"/>
  <c r="D422" i="56"/>
  <c r="D423" i="56" s="1"/>
  <c r="D386" i="56"/>
  <c r="D387" i="56" s="1"/>
  <c r="D389" i="56" s="1"/>
  <c r="D404" i="56"/>
  <c r="D405" i="56" s="1"/>
  <c r="D407" i="56" s="1"/>
  <c r="E25" i="21"/>
  <c r="E23" i="21"/>
  <c r="E24" i="21" s="1"/>
  <c r="E21" i="21"/>
  <c r="E64" i="10" l="1"/>
  <c r="E69" i="10"/>
  <c r="E53" i="10"/>
  <c r="E58" i="10"/>
  <c r="E42" i="10"/>
  <c r="E29" i="10"/>
  <c r="E33" i="10"/>
  <c r="E37" i="10"/>
  <c r="E9" i="10"/>
  <c r="E24" i="10"/>
  <c r="E71" i="10"/>
  <c r="E66" i="10"/>
  <c r="E70" i="10"/>
  <c r="E59" i="10"/>
  <c r="E48" i="10"/>
  <c r="E30" i="10"/>
  <c r="E34" i="10"/>
  <c r="E38" i="10"/>
  <c r="E10" i="10"/>
  <c r="E16" i="10"/>
  <c r="E20" i="10"/>
  <c r="E25" i="10"/>
  <c r="E67" i="10"/>
  <c r="E51" i="10"/>
  <c r="E45" i="10"/>
  <c r="E27" i="10"/>
  <c r="E31" i="10"/>
  <c r="E35" i="10"/>
  <c r="E11" i="10"/>
  <c r="E17" i="10"/>
  <c r="E21" i="10"/>
  <c r="E26" i="10"/>
  <c r="E52" i="10"/>
  <c r="E54" i="10"/>
  <c r="E41" i="10"/>
  <c r="E46" i="10"/>
  <c r="E28" i="10"/>
  <c r="E32" i="10"/>
  <c r="E36" i="10"/>
  <c r="E40" i="10"/>
  <c r="E14" i="10"/>
  <c r="E18" i="10"/>
  <c r="E22" i="10"/>
  <c r="E19" i="10"/>
  <c r="R18" i="50" l="1"/>
  <c r="R17" i="50"/>
  <c r="R22" i="50"/>
  <c r="R19" i="50"/>
  <c r="R16" i="50"/>
  <c r="R14" i="50"/>
  <c r="R21" i="50"/>
  <c r="R15" i="50"/>
  <c r="R20" i="50"/>
  <c r="D567" i="56"/>
  <c r="D570" i="56"/>
  <c r="D568" i="56"/>
  <c r="R28" i="50" l="1"/>
  <c r="D566" i="56"/>
  <c r="D572" i="56" s="1"/>
  <c r="D573" i="56" s="1"/>
  <c r="D574" i="56" s="1"/>
  <c r="E43" i="21" l="1"/>
  <c r="E42" i="21" s="1"/>
  <c r="C79" i="17"/>
  <c r="D79" i="17"/>
  <c r="B76" i="17" l="1"/>
  <c r="C76" i="17"/>
  <c r="D76" i="17"/>
  <c r="D77" i="17"/>
  <c r="B78" i="17"/>
  <c r="C78" i="17"/>
  <c r="D78" i="17"/>
  <c r="C75" i="17"/>
  <c r="D75" i="17"/>
  <c r="B75" i="17"/>
  <c r="E48" i="17" l="1"/>
  <c r="E52" i="17" l="1"/>
  <c r="G11" i="11" s="1"/>
  <c r="F88" i="12"/>
  <c r="G21" i="11" s="1"/>
  <c r="F72" i="12"/>
  <c r="F74" i="12" s="1"/>
  <c r="M9" i="12"/>
  <c r="M8" i="12"/>
  <c r="M4" i="12"/>
  <c r="M3" i="12"/>
  <c r="I48" i="17" l="1"/>
  <c r="G14" i="11"/>
  <c r="G13" i="11"/>
  <c r="I51" i="17"/>
  <c r="I47" i="17"/>
  <c r="I50" i="17"/>
  <c r="I49" i="17"/>
  <c r="D169" i="56"/>
  <c r="D166" i="56" s="1"/>
  <c r="D172" i="56" s="1"/>
  <c r="D198" i="56"/>
  <c r="D204" i="56" s="1"/>
  <c r="E88" i="17"/>
  <c r="E91" i="17" l="1"/>
  <c r="G12" i="11" s="1"/>
  <c r="D185" i="56"/>
  <c r="D182" i="56" s="1"/>
  <c r="D188" i="56" s="1"/>
  <c r="G22" i="11"/>
  <c r="F11" i="11" l="1"/>
  <c r="F12" i="11"/>
  <c r="G30" i="14"/>
  <c r="J60" i="17" l="1"/>
  <c r="F19" i="11"/>
  <c r="L7" i="12" l="1"/>
  <c r="M7" i="12" s="1"/>
  <c r="L6" i="12"/>
  <c r="M6" i="12" s="1"/>
  <c r="F6" i="11"/>
  <c r="F8" i="11"/>
  <c r="F17" i="11"/>
  <c r="F21" i="11"/>
  <c r="F13" i="11" l="1"/>
  <c r="P3" i="10" l="1"/>
  <c r="Q3" i="10" s="1"/>
  <c r="W16" i="59"/>
  <c r="F26" i="27" l="1"/>
  <c r="F30" i="27" s="1"/>
  <c r="F26" i="28"/>
  <c r="F30" i="28" s="1"/>
  <c r="V82" i="59"/>
  <c r="F26" i="64"/>
  <c r="H28" i="50"/>
  <c r="H34" i="50" s="1"/>
  <c r="F26" i="18"/>
  <c r="F30" i="18" l="1"/>
  <c r="G30" i="18" s="1"/>
  <c r="F26" i="63"/>
  <c r="F30" i="63" s="1"/>
  <c r="I27" i="64"/>
  <c r="F30" i="64"/>
</calcChain>
</file>

<file path=xl/comments1.xml><?xml version="1.0" encoding="utf-8"?>
<comments xmlns="http://schemas.openxmlformats.org/spreadsheetml/2006/main">
  <authors>
    <author>Головний Бухгалтер</author>
  </authors>
  <commentList>
    <comment ref="D4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Головний Бухгалтер: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W6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Кушнір
</t>
        </r>
      </text>
    </comment>
  </commentList>
</comments>
</file>

<file path=xl/comments3.xml><?xml version="1.0" encoding="utf-8"?>
<comments xmlns="http://schemas.openxmlformats.org/spreadsheetml/2006/main">
  <authors>
    <author>Головний Бухгалтер</author>
  </authors>
  <commentLis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Головний Бухгалтер:</t>
        </r>
        <r>
          <rPr>
            <sz val="9"/>
            <color indexed="81"/>
            <rFont val="Tahoma"/>
            <family val="2"/>
            <charset val="204"/>
          </rPr>
          <t xml:space="preserve">
0,058*404,2*3590,72</t>
        </r>
      </text>
    </comment>
  </commentList>
</comments>
</file>

<file path=xl/comments4.xml><?xml version="1.0" encoding="utf-8"?>
<comments xmlns="http://schemas.openxmlformats.org/spreadsheetml/2006/main">
  <authors>
    <author>Головний Бухгалтер</author>
  </authors>
  <commentList>
    <comment ref="G67" authorId="0" shapeId="0">
      <text>
        <r>
          <rPr>
            <b/>
            <sz val="9"/>
            <color indexed="81"/>
            <rFont val="Tahoma"/>
            <family val="2"/>
            <charset val="204"/>
          </rPr>
          <t>Головний Бухгалтер:</t>
        </r>
        <r>
          <rPr>
            <sz val="9"/>
            <color indexed="81"/>
            <rFont val="Tahoma"/>
            <family val="2"/>
            <charset val="204"/>
          </rPr>
          <t xml:space="preserve">
0,5 л на 1 участок</t>
        </r>
      </text>
    </comment>
  </commentList>
</comments>
</file>

<file path=xl/sharedStrings.xml><?xml version="1.0" encoding="utf-8"?>
<sst xmlns="http://schemas.openxmlformats.org/spreadsheetml/2006/main" count="3853" uniqueCount="1185">
  <si>
    <t>Хмельницький міський територіальний центр соціального обслуговування (надання соціальних послуг)</t>
  </si>
  <si>
    <t>№ п/п</t>
  </si>
  <si>
    <t>Назва структурного підрозділу та посади</t>
  </si>
  <si>
    <t>Кількість штатних посад</t>
  </si>
  <si>
    <t>Тарифний розряд</t>
  </si>
  <si>
    <t>Посадові оклади</t>
  </si>
  <si>
    <t>Підвищення посадових окладів</t>
  </si>
  <si>
    <t>НАДБАВКИ</t>
  </si>
  <si>
    <t>ДОПЛАТИ</t>
  </si>
  <si>
    <t xml:space="preserve">Фонд заробітньої плати за місяць </t>
  </si>
  <si>
    <t>У зв'язку зі шкідливими та важкими умовами праці 
15%</t>
  </si>
  <si>
    <t>За обслуговування осіб із значно зниженою рухомою активністю та ліжкових хворих 
20%</t>
  </si>
  <si>
    <t>За вислугу років працівникам соціального захисту та медичним працівникам</t>
  </si>
  <si>
    <t>За класність водіїв 
25%</t>
  </si>
  <si>
    <t xml:space="preserve">За складність і напруженість </t>
  </si>
  <si>
    <t>За роботу у нічний час</t>
  </si>
  <si>
    <t>За роботу з дезінфікуючими засобами 10%</t>
  </si>
  <si>
    <t>До мінімальної заробітної плати</t>
  </si>
  <si>
    <t>грн</t>
  </si>
  <si>
    <t>грн.</t>
  </si>
  <si>
    <t>%</t>
  </si>
  <si>
    <t>АПАРАТ ТЕРИТОРІАЛЬНОГО ЦЕНТРУ</t>
  </si>
  <si>
    <t>Заступник директора</t>
  </si>
  <si>
    <t>Головний бухгалтер</t>
  </si>
  <si>
    <t>Бухгалтер (І кат.)</t>
  </si>
  <si>
    <t>Фахівець із соціальної роботи (І кат.)</t>
  </si>
  <si>
    <t>Соціальний менеджер</t>
  </si>
  <si>
    <t xml:space="preserve">Водій автотранспортних засобів </t>
  </si>
  <si>
    <t>Сторож</t>
  </si>
  <si>
    <t>Прибиральник службових приміщень</t>
  </si>
  <si>
    <t>ВСЬОГО АПАРАТ ТЕРИТОРІАЛЬНОГО ЦЕНТРУ</t>
  </si>
  <si>
    <t>Х</t>
  </si>
  <si>
    <t>ВІДДІЛЕННЯ СОЦІАЛЬНОЇ ДОПОМОГИ ВДОМА МЕШКАНЦЯМ СЕЛА ХМЕЛЬНИЦЬКОЇ МТГ</t>
  </si>
  <si>
    <t>Завідувач відділення</t>
  </si>
  <si>
    <t>Фахівець із соціальної допомоги вдома (І кат.)</t>
  </si>
  <si>
    <t>Соціальний робітник</t>
  </si>
  <si>
    <t>ВІДДІЛЕННЯ СОЦІАЛЬНОЇ ДОПОМОГИ ВДОМА МЕШКАНЦЯМ МІСТА ХМЕЛЬНИЦЬКОЇ МТГ</t>
  </si>
  <si>
    <t>Заступник завідувача відділення</t>
  </si>
  <si>
    <t>ВІДДІЛЕННЯ ДЕННОГО, ЦІЛОДОБОВОГО ТИМЧАСОВОГО ПЕРЕБУВАННЯ</t>
  </si>
  <si>
    <t>Сестра медична 2 к</t>
  </si>
  <si>
    <t>Сестра медична 1к</t>
  </si>
  <si>
    <t>Сестра медична в/к</t>
  </si>
  <si>
    <t>ВІДДІЛЕННЯ ОРГАНІЗАЦІЇ НАДАННЯ АДРЕСНОЇ НАТУРАЛЬНОЇ ДОПОМОГИ</t>
  </si>
  <si>
    <t>Перукар  (ІІ кл.)</t>
  </si>
  <si>
    <t xml:space="preserve">ВСЬОГО </t>
  </si>
  <si>
    <t>Соціальний працівник б/ кат</t>
  </si>
  <si>
    <t>ВСЬОГО ВІДДІЛЕННЯ СОЦІАЛЬНОЇ ДОПОМОГИ ВДОМА МЕШКАНЦЯМ СЕЛА ХМЕЛЬНИЦЬКОЇ МТГ</t>
  </si>
  <si>
    <t>ВСЬОГО ВІДДІЛЕННЯ СОЦІАЛЬНОЇ ДОПОМОГИ ВДОМА МЕШКАНЦЯМ МІСТА ХМЕЛЬНИЦЬКОЇ МТГ</t>
  </si>
  <si>
    <t>ВСЬОГО ВІДДІЛЕННЯ ВІДДІЛЕННЯ ДЕННОГО, ЦІЛОДОБОВОГО ТИМЧАСОВОГО ПЕРЕБУВАННЯ</t>
  </si>
  <si>
    <t>Робітник з комплексного обслугову-вання й ремонту будинків (IV розр.)</t>
  </si>
  <si>
    <t>ВСЬОГО ВІДДІЛЕННЯ ОРГАНІЗАЦІЇ НАДАННЯ АДРЕСНОЇ НАТУРАЛЬНОЇ ДОПОМОГИ</t>
  </si>
  <si>
    <t>Галина БЕЛІНСЬКА</t>
  </si>
  <si>
    <t>Завідувач господарства</t>
  </si>
  <si>
    <t>Фахівець із соціальної допомоги (І кат)</t>
  </si>
  <si>
    <t>Психолог</t>
  </si>
  <si>
    <t xml:space="preserve">ШТАТНИЙ   РОЗПИС </t>
  </si>
  <si>
    <t>Адміністративні витрати</t>
  </si>
  <si>
    <t>Матеріальні витрати</t>
  </si>
  <si>
    <t>Одиниця вимір.</t>
  </si>
  <si>
    <t>Витрати на оплату праці</t>
  </si>
  <si>
    <t>Вартість надання соціальної послуги</t>
  </si>
  <si>
    <t xml:space="preserve">Виконавець: Соціальний робітник </t>
  </si>
  <si>
    <t>Стаття витрат</t>
  </si>
  <si>
    <t>Вартість, грн.</t>
  </si>
  <si>
    <t>Прямі витрати</t>
  </si>
  <si>
    <t>№ з/п</t>
  </si>
  <si>
    <t>1.1.</t>
  </si>
  <si>
    <t>1.2.</t>
  </si>
  <si>
    <t>1.3.</t>
  </si>
  <si>
    <t>1. Соціальна послуга - догляд вдома (код 015.1)</t>
  </si>
  <si>
    <t>1 люд.- год.</t>
  </si>
  <si>
    <t>Вартість соціальної послуги, грн.</t>
  </si>
  <si>
    <t>ІІ. Відділенням організації надання адресної натуральної допомоги</t>
  </si>
  <si>
    <t>1. Соціальна послуга - натуральна допомога (код 019.0)</t>
  </si>
  <si>
    <t>Виконавець: Перукар</t>
  </si>
  <si>
    <t>ІІІ. Відділення денного, цілодобового тимчасового  перебування</t>
  </si>
  <si>
    <t>1. Соціальна послуга - денний догляд (код 015.3)</t>
  </si>
  <si>
    <t>Виконавець: Сестра медична</t>
  </si>
  <si>
    <t>Тарифи на соціальні послуги, які надаються Хмельницьким міським територіальним центром соціального обслуговування (надання соціальних послуг)</t>
  </si>
  <si>
    <t>Розрахунок вартоті соціальних послуг, які надаються  Хмельницьким міським територіальним центром соціального обслуговування (надання соціальних послуг)</t>
  </si>
  <si>
    <t>1. Догляд вдома (код 015.1)</t>
  </si>
  <si>
    <t>Витрати на заробітну плату на виконання соціальної послуги, грн.</t>
  </si>
  <si>
    <t>Розрахунок</t>
  </si>
  <si>
    <t>Допомога у самообслуговуванні</t>
  </si>
  <si>
    <t>Купання, надання допомоги при купанні</t>
  </si>
  <si>
    <t>Один захід</t>
  </si>
  <si>
    <t>Миття голови; допомога при митті голови</t>
  </si>
  <si>
    <t>Розчісування, допомога при розчісуванні</t>
  </si>
  <si>
    <t>Гоління, допомога при голінні</t>
  </si>
  <si>
    <t>Допомога у користуванні туалетом 
(подача й винесення судна з подальшою обробкою)</t>
  </si>
  <si>
    <t>Нарахування на з/п 22%</t>
  </si>
  <si>
    <t>Зміна натільної білизни; допомога при зміні натільної білизни</t>
  </si>
  <si>
    <t>Зміна постільної білизни; допомога при зміні постільної білизни</t>
  </si>
  <si>
    <t>Зміна/заміна підгузок; пелюшок</t>
  </si>
  <si>
    <t>Чищення зубів; допомога при чищені зубів</t>
  </si>
  <si>
    <t>Витрати на проїзд</t>
  </si>
  <si>
    <t>Допомога у прийнятті їжі</t>
  </si>
  <si>
    <t>Годування (для ліжкових хворих)</t>
  </si>
  <si>
    <t>Допомога у виконанні реабілітаційних, лікувально-фізичних вправ</t>
  </si>
  <si>
    <t>Допомога у написанні й прочитанні листів</t>
  </si>
  <si>
    <t>Допомога у користуванні сечо-чи калоприймачами</t>
  </si>
  <si>
    <t>Допомога у догляді за особистими речами, зовнішнім виглядом</t>
  </si>
  <si>
    <t>Допомога у веденні домашнього господарства</t>
  </si>
  <si>
    <t>Придбання і доставка продовольчих, промислових та господарських товарів, медикаментів:</t>
  </si>
  <si>
    <t>- магазин</t>
  </si>
  <si>
    <t>- аптека</t>
  </si>
  <si>
    <t>- ринок</t>
  </si>
  <si>
    <t>2.2.</t>
  </si>
  <si>
    <t>Допомога у приготуванні їжі:</t>
  </si>
  <si>
    <t>- підготовка продуктів для приготування їжі, миття овочів, фруктів, посуду тощо;</t>
  </si>
  <si>
    <t>- винесення сміття</t>
  </si>
  <si>
    <t>Приготування їжі</t>
  </si>
  <si>
    <t>2.4.</t>
  </si>
  <si>
    <t>Допомога при консервації овочів та фруктів</t>
  </si>
  <si>
    <t>Разове доручення</t>
  </si>
  <si>
    <t>2.5.</t>
  </si>
  <si>
    <t>Косметичне прибирання житла</t>
  </si>
  <si>
    <t>Розпалювання печей, піднесення вугілля, дров, доставка води з колонки</t>
  </si>
  <si>
    <t>Одне розпалювання, доставка, піднесення</t>
  </si>
  <si>
    <t>розчищення снігу</t>
  </si>
  <si>
    <t>розчищення</t>
  </si>
  <si>
    <t>Ремонт одягу (дрібний)</t>
  </si>
  <si>
    <t>Оплата комунальних платежів (звірення платежів)</t>
  </si>
  <si>
    <t>Одна оплата</t>
  </si>
  <si>
    <t>Допомога при пересуванні в побутових умовах (по квартирі)</t>
  </si>
  <si>
    <t>Допомога в організації взаємодії з іншими фахівцями та службами</t>
  </si>
  <si>
    <t>4.1.</t>
  </si>
  <si>
    <t>Виклик лікаря, працівників комунальних служб, транспортних служб</t>
  </si>
  <si>
    <t>4.2.</t>
  </si>
  <si>
    <t>Відвідання хворих у закладах охорони здоров'я</t>
  </si>
  <si>
    <t>4.3.</t>
  </si>
  <si>
    <t>Допомога в написанні заяв, скарг, отриманні довідок, інших документів, веденні переговорів з питань отримання соціальних та інших послуг</t>
  </si>
  <si>
    <t>4.4.</t>
  </si>
  <si>
    <t>Сприяння в організації консультування отримувачів соціальної послуги з питань отримання комунально-побутових, медичних, соціальних послуг, питань представлення й захисту інтересів отримувачів соціальної послуги в державних і місцевих органах влади, в установах, організаціях, підприємствах, громадських об'єднаннях</t>
  </si>
  <si>
    <t>4.5.</t>
  </si>
  <si>
    <t>Сприяння в направленні до стаціонарної установи охорони здоров'я, соціального захисту населення</t>
  </si>
  <si>
    <t>5</t>
  </si>
  <si>
    <t xml:space="preserve">Навчання навичкам самообслуговування </t>
  </si>
  <si>
    <t>5.1.</t>
  </si>
  <si>
    <t>Навчання навичкам:</t>
  </si>
  <si>
    <t>Допомога у забезпеченні технічними засобами реабілітації, навчання навичкам користування ними</t>
  </si>
  <si>
    <t>6.1.</t>
  </si>
  <si>
    <t>Допомога у забезпеченні технічними засобами реабілітації (протезами, ортезами, інвалідними колясками тощо) засобами догляду і реабілітації</t>
  </si>
  <si>
    <t>6.2.</t>
  </si>
  <si>
    <t>Навчання та вироблення практичних навичок самостійного користування технічними та іншими засобами реабілітації</t>
  </si>
  <si>
    <t>Психологічна підтримка</t>
  </si>
  <si>
    <t>7.1.</t>
  </si>
  <si>
    <t>Бесіда, спілкування, читання газет, журналів, книг</t>
  </si>
  <si>
    <t>7.2.</t>
  </si>
  <si>
    <t>Супроводження (супровід) отримувача соціальної послуги в поліклініку, на прогулянку тощо</t>
  </si>
  <si>
    <t>Надання інформації з питань соціального захисту населення</t>
  </si>
  <si>
    <t>8.1.</t>
  </si>
  <si>
    <t>Підтримка в організації консультування отримувача соціальної послуги з питань соціального захисту населення</t>
  </si>
  <si>
    <t>8.2.</t>
  </si>
  <si>
    <t>Допомога в отриманні безоплатної правової допомоги</t>
  </si>
  <si>
    <t>9.1.</t>
  </si>
  <si>
    <t>Консультування щодо отримання правової допомоги через центри безоплатної правової допомоги</t>
  </si>
  <si>
    <t>9.2.</t>
  </si>
  <si>
    <t>Допомога у вигляді скерування, переадресації, супроводу до фахівця з правової допомоги</t>
  </si>
  <si>
    <t>Допомога в оформленні документів (оформлення субсидії на квартплату і комунальні послуги тощо)</t>
  </si>
  <si>
    <t>Одне оформлення</t>
  </si>
  <si>
    <t>Принесення вугілля, дров</t>
  </si>
  <si>
    <t>Прання дрібних речей, натільної білизни тощо</t>
  </si>
  <si>
    <t>Прання білизни та одягу автоматичне (прання постільної білизни, рушників, верхнього одягу тощо)</t>
  </si>
  <si>
    <t>Прасування</t>
  </si>
  <si>
    <t>Генеральне прибирання (підмітання підлоги, витирання пилу, миття підлоги з відсуванням меблів, вибивання/чищення коврів (доріжок), чищення кухонних меблів (за потреби), прання занавісок і тюлі)</t>
  </si>
  <si>
    <t>Один захід раз на півроку</t>
  </si>
  <si>
    <t xml:space="preserve">Миття вікон з обох боків (не більше ніж три вікна)   </t>
  </si>
  <si>
    <t>Заклеювання вікон (не більше ніж три вікна)</t>
  </si>
  <si>
    <t>Вологе прибирання житла (підмітання підлоги, витирання пилу, миття підлоги, поливання кімнатних рослин)</t>
  </si>
  <si>
    <t>Обробіток присадибної ділянки загальною площею 0,02 га:</t>
  </si>
  <si>
    <t>І</t>
  </si>
  <si>
    <t>- доставка гарячих обідів</t>
  </si>
  <si>
    <t>1.4.</t>
  </si>
  <si>
    <t>1.5.</t>
  </si>
  <si>
    <t>1.6.</t>
  </si>
  <si>
    <t>1.7.</t>
  </si>
  <si>
    <t>1.8.</t>
  </si>
  <si>
    <t>ІІ</t>
  </si>
  <si>
    <t>2.1.</t>
  </si>
  <si>
    <t>Вмивання, обтирання, обмивання; допомога при вмиванні, обтиранні, обмиванні</t>
  </si>
  <si>
    <t>Вдягання, роздягання, взування; допомога при вдяганні, роздяганні, взуванні</t>
  </si>
  <si>
    <t>2.3.</t>
  </si>
  <si>
    <t>2.6.</t>
  </si>
  <si>
    <t>2.7.</t>
  </si>
  <si>
    <t>2.8.</t>
  </si>
  <si>
    <t>2.9.</t>
  </si>
  <si>
    <t>2.10.</t>
  </si>
  <si>
    <t>2.11.</t>
  </si>
  <si>
    <t>Обрізання нігтів (без паталогії) на руках або ногах</t>
  </si>
  <si>
    <t>2.12.</t>
  </si>
  <si>
    <t>2.13.</t>
  </si>
  <si>
    <t>2.14.</t>
  </si>
  <si>
    <t>2.15.</t>
  </si>
  <si>
    <t>2.16.</t>
  </si>
  <si>
    <t>2.17.</t>
  </si>
  <si>
    <t>2.18.</t>
  </si>
  <si>
    <t>ІІІ</t>
  </si>
  <si>
    <t>ІV</t>
  </si>
  <si>
    <t>V</t>
  </si>
  <si>
    <t>- вмивання, обтирання, обмивання;</t>
  </si>
  <si>
    <t>- вдягання, роздягання;</t>
  </si>
  <si>
    <t>- зміни натільної білизни;</t>
  </si>
  <si>
    <t>- користування гігієнічними засобами</t>
  </si>
  <si>
    <t>VI</t>
  </si>
  <si>
    <t>VII</t>
  </si>
  <si>
    <t>VIII</t>
  </si>
  <si>
    <t>IX</t>
  </si>
  <si>
    <t>X</t>
  </si>
  <si>
    <t>2. Соціальна послуга - натуральна допомога (код 019.0)</t>
  </si>
  <si>
    <t>Одиниця вимірювання</t>
  </si>
  <si>
    <t>№</t>
  </si>
  <si>
    <t>Назва заходу</t>
  </si>
  <si>
    <t xml:space="preserve">1. </t>
  </si>
  <si>
    <t>Заходи, які надаються 2 рази на тиждень</t>
  </si>
  <si>
    <t>Одне принесення з розпалюванням</t>
  </si>
  <si>
    <t>Одне прання до 1,5 кг сухої білизни</t>
  </si>
  <si>
    <t>Одне прасування до 1,5 кг сухої білизни</t>
  </si>
  <si>
    <t>Заходи, які надаються 1 раз на тиждень</t>
  </si>
  <si>
    <t>2.</t>
  </si>
  <si>
    <t>Заходи, які надаються 1 раз на місяць</t>
  </si>
  <si>
    <t xml:space="preserve">Одне прання до 5 кг сухої білизни </t>
  </si>
  <si>
    <t>Одне прасування
Від 1,5 до 5 кг сухої білизни.
Якщо білизни більше ніж 2 кг, виконання заходу можна розділити на 2 рази</t>
  </si>
  <si>
    <t>3.</t>
  </si>
  <si>
    <t>3.1.</t>
  </si>
  <si>
    <t>3.2.</t>
  </si>
  <si>
    <t>3.4.</t>
  </si>
  <si>
    <t xml:space="preserve">Один захід </t>
  </si>
  <si>
    <t>3.5.</t>
  </si>
  <si>
    <t>- прополювання городу від бур'яну</t>
  </si>
  <si>
    <t xml:space="preserve">- прополювання квітника від бур'яну   </t>
  </si>
  <si>
    <t xml:space="preserve">- посадка овочевих культур </t>
  </si>
  <si>
    <t xml:space="preserve">- підгортання картоплі / оброблення від шкідників   </t>
  </si>
  <si>
    <t xml:space="preserve">- збирання врожаю, у тому числі копання картоплі   </t>
  </si>
  <si>
    <t>Заходи, які надаються 2 рази на рік</t>
  </si>
  <si>
    <t>4.</t>
  </si>
  <si>
    <t>Одне миття одного вікна</t>
  </si>
  <si>
    <t>Заходи, які надаються 1 раз на рік</t>
  </si>
  <si>
    <t>5.</t>
  </si>
  <si>
    <t xml:space="preserve">Заклеювання одного вікна </t>
  </si>
  <si>
    <t>3. Соціальна послуга - представництво інтересів (код 004.0)</t>
  </si>
  <si>
    <t>Ведення переговорів від імені отримувача соціальних послуг</t>
  </si>
  <si>
    <t>1.1</t>
  </si>
  <si>
    <t>Сприяння у оформленні соціальних допомог (пільг, субсидій тощо)</t>
  </si>
  <si>
    <t>1.2</t>
  </si>
  <si>
    <t>Допомога в оформленні групи інвалідності, пенсій</t>
  </si>
  <si>
    <t>2</t>
  </si>
  <si>
    <t>Допомога в оформленні або відновленні документів</t>
  </si>
  <si>
    <t>2.1</t>
  </si>
  <si>
    <t>Проведення лекцій, бесід, зустрічей з питань оформлення або відновлення документів, у тому числі повноважень закладів, що ведуть облік бездомних осіб, у сприянні в оформленні або відновленні документів</t>
  </si>
  <si>
    <t>2.2</t>
  </si>
  <si>
    <t>2.3</t>
  </si>
  <si>
    <t>Видача документів (довідок) згідно з повноваженнями (посвідчення про взяття на облік, довідка про прийняття на обслуговування в заклад) тощо</t>
  </si>
  <si>
    <t>Допомога у сплаті рахунків за спожиті комунальні послуги тощо</t>
  </si>
  <si>
    <t>3</t>
  </si>
  <si>
    <t>Сприяння в отриманні реєстрації місця проживання або перебування</t>
  </si>
  <si>
    <t>3.1</t>
  </si>
  <si>
    <t>Проведення лекцій, бесід, зустрічей з питань реєстрації місця проживання / перебування в Україні, у тому числі отримання реєстрації місця проживання / перебування за місцезнаходженням центрів обліку бездомних осіб, закладів / установ соціального захисту / обслуговування населення</t>
  </si>
  <si>
    <t>4</t>
  </si>
  <si>
    <t>4.1</t>
  </si>
  <si>
    <t>4.2</t>
  </si>
  <si>
    <t>4.3</t>
  </si>
  <si>
    <t>4.4</t>
  </si>
  <si>
    <t>4.5</t>
  </si>
  <si>
    <t>4.6</t>
  </si>
  <si>
    <t>4.7</t>
  </si>
  <si>
    <t>Сприяння у забезпеченні доступу до ресурсів і послуг за місцем проживання/перебування, встановленні зв’язків з іншими фахівцями, службами, організаціями, підприємствами, органами, закладами, установами тощо</t>
  </si>
  <si>
    <t>Інформування щодо суб’єктів, які надають соціальні послуги, в тому числі притулок, послуги соціальної інтеграції та реінтеграції, підтриманого проживання тощо</t>
  </si>
  <si>
    <t>Сприяння в установленні зв’язків з іншими фахівцями, службами, організаціями, підприємствами, органами, закладами, установами тощо</t>
  </si>
  <si>
    <t>Допомога у влаштуванні до закладів, що надають притулок, закладів соціального обслуговування або соціального захисту населення усіх форм власності</t>
  </si>
  <si>
    <t>Сприяння в отриманні медичного обстеження, розміщенні в закладах охорони здоров’я та лікування</t>
  </si>
  <si>
    <t>Сприяння в отриманні адресної натуральної та грошової допомоги тощо</t>
  </si>
  <si>
    <t>Сприяння в отриманні правових послуг, у тому числі у громадських приймальнях з надання безоплатної первинної правової допомоги, у Координаційному центрі з надання правової допомоги, регіональних центрах з надання безоплатної вторинної правової допомоги</t>
  </si>
  <si>
    <t>Супроводження у медичні заклади, відвідування у лікарнях</t>
  </si>
  <si>
    <t>Витрати часу,  хв.</t>
  </si>
  <si>
    <t>Вартість відповідно до розрахунку, грн.</t>
  </si>
  <si>
    <t>Витати на заробітну плату</t>
  </si>
  <si>
    <t>1 год</t>
  </si>
  <si>
    <t>1 хв</t>
  </si>
  <si>
    <t>Заробітна плата Українець Л.І.</t>
  </si>
  <si>
    <t>Заробітна плата Українець І.І.</t>
  </si>
  <si>
    <t>Заробітна плата Романовський П.П.</t>
  </si>
  <si>
    <t>Заробітна плата Огрисько Ю.</t>
  </si>
  <si>
    <t>Прямі витрати на 1 год роботи</t>
  </si>
  <si>
    <t>Косіння трави</t>
  </si>
  <si>
    <t>Ремонтні роботи внутрішні</t>
  </si>
  <si>
    <t>Перукарські послуги</t>
  </si>
  <si>
    <t>Косіння трави біля будинку</t>
  </si>
  <si>
    <t>Одне косіння</t>
  </si>
  <si>
    <t>5.2.</t>
  </si>
  <si>
    <t>5.3.</t>
  </si>
  <si>
    <t>Косіння трави біля паркану</t>
  </si>
  <si>
    <t>Один захід на піроку</t>
  </si>
  <si>
    <t>Заклеювання вікон (не більше ніж 3 вікна)</t>
  </si>
  <si>
    <t>Заклеювання одного вікна</t>
  </si>
  <si>
    <t>Рубання (розпилювання) дров</t>
  </si>
  <si>
    <t>1.</t>
  </si>
  <si>
    <t>Ремонтні роботи внутрішні (дрібні ремонтно-будівельні роботи в будинку (квартирі), зокрема сантехніки, електромереж (розеток, вимикачів), меблів тощо)</t>
  </si>
  <si>
    <t>Косіння трави біля будинку (площа 0,02 га)</t>
  </si>
  <si>
    <t>Косіння трави біля паркану (не більше ніж 0,02 га)</t>
  </si>
  <si>
    <t>3.6.</t>
  </si>
  <si>
    <t>Ремонтні роботи зовнішні (дрібні ремонтно-будівельні роботи біля будинку, ремонт паркану тощо)</t>
  </si>
  <si>
    <t>Заходи послуги Натуральна допомога, які виконуються соціальним робітником</t>
  </si>
  <si>
    <t>Мотоблок</t>
  </si>
  <si>
    <t xml:space="preserve">1. Розрахунок вартості  роботи  соціального робітника (6 тарифний розряд) </t>
  </si>
  <si>
    <t>Прання білизни</t>
  </si>
  <si>
    <t>Розрахунок витрат на заробітну плату</t>
  </si>
  <si>
    <t>Показники</t>
  </si>
  <si>
    <t>Витрати на заробтну платуна на виконання соціальної послуги, грн.</t>
  </si>
  <si>
    <t>Всього</t>
  </si>
  <si>
    <t>Розрахунок тарифу без прямих матеріальних витрат</t>
  </si>
  <si>
    <t>Показник</t>
  </si>
  <si>
    <t>Сума</t>
  </si>
  <si>
    <t>Витрати на заробітну плату</t>
  </si>
  <si>
    <t>Нарахування на фонд оплати праці</t>
  </si>
  <si>
    <t>Загальновиробничі витрати</t>
  </si>
  <si>
    <t>Всього вартість 1 год.  робітника 6 т.р.</t>
  </si>
  <si>
    <t>Розрахунок прямих матеріальних витрат</t>
  </si>
  <si>
    <t>Назва використаних засобів</t>
  </si>
  <si>
    <t>Термін використання (місяць)</t>
  </si>
  <si>
    <t>Кількість (шт., пар.)</t>
  </si>
  <si>
    <t>Знос використаних засобів, грн..</t>
  </si>
  <si>
    <t>Вартість 1 год. Прямих витрат для розрахунку тарифу платної соціальної послуги, грн..</t>
  </si>
  <si>
    <t>Олива</t>
  </si>
  <si>
    <t>Захисні окуляри</t>
  </si>
  <si>
    <t>Рукавиці</t>
  </si>
  <si>
    <t>Бензопила</t>
  </si>
  <si>
    <t>51*0,5</t>
  </si>
  <si>
    <t>Розрахунок адміністративних витрат</t>
  </si>
  <si>
    <t>відділення соціальної допомоги вдома менканцям села та міста Хмельницької МТГ</t>
  </si>
  <si>
    <t>Частка адміністративних витрат, яка враховується при визначенні вартості соціальної послуги, може розраховуватися за формулою:</t>
  </si>
  <si>
    <r>
      <t>ЧАВ = АВ </t>
    </r>
    <r>
      <rPr>
        <b/>
        <sz val="10"/>
        <color indexed="63"/>
        <rFont val="Arial Unicode MS"/>
        <family val="2"/>
        <charset val="204"/>
      </rPr>
      <t>×</t>
    </r>
    <r>
      <rPr>
        <b/>
        <sz val="10"/>
        <color indexed="63"/>
        <rFont val="Times New Roman"/>
        <family val="1"/>
        <charset val="204"/>
      </rPr>
      <t> KРАВ / РД / НТРД,</t>
    </r>
  </si>
  <si>
    <t>де</t>
  </si>
  <si>
    <t>ЧАВ</t>
  </si>
  <si>
    <t>-</t>
  </si>
  <si>
    <t>частка адміністративних витрат, яка враховується при визначенні вартості соціальної послуги;</t>
  </si>
  <si>
    <t>АВ</t>
  </si>
  <si>
    <t>адміністративні витрати;</t>
  </si>
  <si>
    <t>КРАВ</t>
  </si>
  <si>
    <t>коефіцієнт розподілу адміністративних витрат;</t>
  </si>
  <si>
    <t>РД</t>
  </si>
  <si>
    <t>кількість робочих днів на рік;</t>
  </si>
  <si>
    <t>НТРД</t>
  </si>
  <si>
    <t>норма тривалості робочого дня в годинах;</t>
  </si>
  <si>
    <t>Адміністративні витрати на надання соціальної послуги пропонується розраховувати за формулою</t>
  </si>
  <si>
    <t>АВ = ЗПЄВ + ПТРП + ІАВ,</t>
  </si>
  <si>
    <t>ЗПЄВ</t>
  </si>
  <si>
    <t>заробітна плата і єдиний внесок на загальнообов’язкове державне соціальне страхування адміністративного та управлінського, а також господарського та обслуговуючого персоналу;</t>
  </si>
  <si>
    <t>ПТРП</t>
  </si>
  <si>
    <t>придбання товарів, робіт та послуг на адміністративні потреби;</t>
  </si>
  <si>
    <t>ІАВ</t>
  </si>
  <si>
    <t>інші адміністративні витрати;</t>
  </si>
  <si>
    <t>Коефіцієнт розподілу адміністративних витрат пропонується розраховувати за формулою:</t>
  </si>
  <si>
    <t>КРАВ = ЗП / ЗВЗП,</t>
  </si>
  <si>
    <t>ЗП</t>
  </si>
  <si>
    <t>заробітна плата основного та допоміжного персоналу, що залучається  до надання соціальних послуг у межах замовлення;</t>
  </si>
  <si>
    <t>ЗВЗП</t>
  </si>
  <si>
    <t>загальні витрати на заробітну плату основного та допоміжного персоналу, який здійснює надання соціальних послуг, за всіма договорами / проектами суб’єкта;</t>
  </si>
  <si>
    <t xml:space="preserve">фонд зп. відділ.соц. допом. </t>
  </si>
  <si>
    <t>Адіністративні витрати включаються до тарифу на соціальну послугу в розмірі не більш як 15% витрат на оплату праці, визначених за нормами обслуговування для надання цієї послуги працівником (працівниками)</t>
  </si>
  <si>
    <t>відповідно до пункту 3 Порядку регулювання тарифів на соціальні послуги затвердженого постановою КМУ від 1.06.2020 р. №428</t>
  </si>
  <si>
    <t>Розпилювання дров (2 куб.м. дров)</t>
  </si>
  <si>
    <t>Рубання дров (2 куб.м. дров)</t>
  </si>
  <si>
    <t>Пальне- бензин</t>
  </si>
  <si>
    <t>1р</t>
  </si>
  <si>
    <t>1міс</t>
  </si>
  <si>
    <t>Розпилювання дров</t>
  </si>
  <si>
    <t>Заходи послуги Натуральна допомога, які виконуються перукарем</t>
  </si>
  <si>
    <t xml:space="preserve"> Розрахунок вартості роботи перукаря в приміщенні терцентру </t>
  </si>
  <si>
    <t>знос використаних засобів, грн..</t>
  </si>
  <si>
    <t>Крісло перукарське</t>
  </si>
  <si>
    <t>Розрахунок вартості (тарифу)</t>
  </si>
  <si>
    <t>Прямі матеріальні витрати</t>
  </si>
  <si>
    <t>Електроенергія</t>
  </si>
  <si>
    <t>Теплопостачання</t>
  </si>
  <si>
    <t>Проїзний квиток</t>
  </si>
  <si>
    <t>(52,09+11,46)× 5,3 %</t>
  </si>
  <si>
    <t>Допомога у приготуванні їжі: підготовка продуктів для приготування їжі, миття овочів, фруктів, посуду тощо; винесення сміття.</t>
  </si>
  <si>
    <t>Придбання і доставка продовольчих, промислових та господарських товарів, медикаментів: магазин, аптека, ринок, доставка гарячих обідів.</t>
  </si>
  <si>
    <t>Розпалювання печей, піднесення вугілля, дров, доставка води з колонки, розчищення снігу.</t>
  </si>
  <si>
    <t>Косметичне прибирання житла.</t>
  </si>
  <si>
    <t>Допомога при консервації овочів та фруктів.</t>
  </si>
  <si>
    <t>Приготування їжі.</t>
  </si>
  <si>
    <t>Ремонт одягу (дрібний).</t>
  </si>
  <si>
    <t>7</t>
  </si>
  <si>
    <t>8</t>
  </si>
  <si>
    <t>Вмивання, обтирання, обмивання; допомога при вмиванні, обтиранні, обмиванні.</t>
  </si>
  <si>
    <t>Вдягання, роздягання, взування; допомога при вдяганні, роздяганні, взуванні.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</si>
  <si>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</si>
  <si>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</si>
  <si>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</si>
  <si>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</si>
  <si>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</si>
  <si>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</si>
  <si>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</si>
  <si>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</si>
  <si>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</si>
  <si>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</si>
  <si>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</si>
  <si>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</si>
  <si>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</si>
  <si>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</si>
  <si>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</si>
  <si>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</si>
  <si>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</si>
  <si>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</si>
  <si>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</si>
  <si>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</si>
  <si>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Оплата комунальних платежів (звірення платежів).</t>
  </si>
  <si>
    <t>Зміна натільної білизни; допомога при зміні натільної білизни.</t>
  </si>
  <si>
    <t>Зміна постільної білизни; допомога при зміні постільної білизни.</t>
  </si>
  <si>
    <t>Зміна/заміна підгузок; пелюшок.</t>
  </si>
  <si>
    <t>Купання, надання допомоги при купанні.</t>
  </si>
  <si>
    <t>Чищення зубів; допомога при чищені зубів.</t>
  </si>
  <si>
    <t>Миття голови; допомога при митті голови.</t>
  </si>
  <si>
    <t>Розчісування, допомога при розчісуванні.</t>
  </si>
  <si>
    <t>Гоління, допомога при голінні.</t>
  </si>
  <si>
    <t>Обрізання нігтів (без паталогії) на руках або ногах.</t>
  </si>
  <si>
    <t>Допомога у користуванні туалетом (подача й винесення судна з подальшою обробкою).</t>
  </si>
  <si>
    <t>Допомога у користуванні сечо-чи калоприймачами.</t>
  </si>
  <si>
    <t>Допомога у прийнятті їжі.</t>
  </si>
  <si>
    <t>Годування (для ліжкових хворих).</t>
  </si>
  <si>
    <t>Допомога у виконанні реабілітаційних, лікувально-фізичних вправ.</t>
  </si>
  <si>
    <t>Допомога у догляді за особистими речами, зовнішнім виглядом.</t>
  </si>
  <si>
    <t>Допомога у написанні й прочитанні листів.</t>
  </si>
  <si>
    <t>Допомога при пересуванні в побутових умовах (по квартирі).</t>
  </si>
  <si>
    <t>Допомога в організації взаємодії з іншими фахівцями та службами.</t>
  </si>
  <si>
    <t>Виклик лікаря, працівників комунальних служб, транспортних служб.</t>
  </si>
  <si>
    <t>Відвідання хворих у закладах охорони здоров'я.</t>
  </si>
  <si>
    <t>Допомога в написанні заяв, скарг, отриманні довідок, інших документів, веденні переговорів з питань отримання соціальних та інших послуг.</t>
  </si>
  <si>
    <t>Сприяння в організації консультування отримувачів соціальної послуги з питань отримання комунально-побутових, медичних, соціальних послуг, питань представлення й захисту інтересів отримувачів соціальної послуги в державних і місцевих органах влади, в установах, організаціях, підприємствах, громадських об'єднаннях.</t>
  </si>
  <si>
    <t>Сприяння в направленні до стаціонарної установи охорони здоров'я, соціального захисту населення.</t>
  </si>
  <si>
    <t>29</t>
  </si>
  <si>
    <t>30</t>
  </si>
  <si>
    <t>31</t>
  </si>
  <si>
    <t>32</t>
  </si>
  <si>
    <t>33</t>
  </si>
  <si>
    <t>Навчання навичкам: вмивання, обтирання, обмивання, вдягання, роздягання, зміни натільної білизни, зміни постільної білизни, користування туалетом, користування гігієнічними засобами.</t>
  </si>
  <si>
    <t>Супроводження (супровід) отримувача соціальної послуги в поліклініку, на прогулянку тощо.</t>
  </si>
  <si>
    <t>Бесіда, спілкування, читання газет, журналів, книг.</t>
  </si>
  <si>
    <t>Навчання та вироблення практичних навичок самостійного користування технічними та іншими засобами реабілітації.</t>
  </si>
  <si>
    <t>Допомога у забезпеченні технічними засобами реабілітації (протезами, ортезами, інвалідними колясками тощо) засобами догляду і реабілітації.</t>
  </si>
  <si>
    <t>35</t>
  </si>
  <si>
    <t>36</t>
  </si>
  <si>
    <t>37</t>
  </si>
  <si>
    <t>39</t>
  </si>
  <si>
    <t>41</t>
  </si>
  <si>
    <t>Підтримка в організації консультування отримувача соціальної послуги з питань соціального захисту населення.</t>
  </si>
  <si>
    <t>Надання інформації з питань соціального захисту населення.</t>
  </si>
  <si>
    <t>Консультування щодо отримання правової допомоги через центри безоплатної правової допомоги.</t>
  </si>
  <si>
    <t>Допомога у вигляді скерування, переадресації, супроводу до фахівця з правової допомоги.</t>
  </si>
  <si>
    <t>Допомога в оформленні документів (оформлення субсидії на квартплату і комунальні послуги тощо).</t>
  </si>
  <si>
    <t>Перукарські послуги за місцем проживання.</t>
  </si>
  <si>
    <t>Витрати на заробтну плату на на виконання соціальної послуги, грн.</t>
  </si>
  <si>
    <t>Інші прямі витрати</t>
  </si>
  <si>
    <t>Принесення вугілля, дров.</t>
  </si>
  <si>
    <t>Прання дрібних речей, натільної білизни тощо.</t>
  </si>
  <si>
    <t>Прасування.</t>
  </si>
  <si>
    <t>Прання білизни та одягу автоматичне (прання постільної білизни, рушників, верхнього одягу тощо).</t>
  </si>
  <si>
    <t>Вологе прибирання житла (підмітання підлоги, витирання пилу, миття підлоги, поливання кімнатних рослин).</t>
  </si>
  <si>
    <t>Обробіток присадибної ділянки загальною площею 0,02 га: прополювання городу від бур'яну, прополювання квітника від бур'яну, посадка овочевих культур, підгортання картоплі / оброблення від шкідників, збирання врожаю, у тому числі копання картоплі.</t>
  </si>
  <si>
    <t>Генеральне прибирання (підмітання підлоги, витирання пилу, миття підлоги з відсуванням меблів, вибивання/чищення коврів (доріжок), чищення кухонних меблів (за потреби), прання занавісок і тюлі).</t>
  </si>
  <si>
    <t>1</t>
  </si>
  <si>
    <t>Спостереження за виконанням рекомендацій лікарів відповідно до медичних показань</t>
  </si>
  <si>
    <t>1.1.1</t>
  </si>
  <si>
    <t>1.1.2</t>
  </si>
  <si>
    <t>Процедура міостимуляції</t>
  </si>
  <si>
    <t>1.1.3</t>
  </si>
  <si>
    <t>Процедура "Серагем"</t>
  </si>
  <si>
    <t>1.1.4</t>
  </si>
  <si>
    <t>Розрахунок вартості тарифу без прямих витрат</t>
  </si>
  <si>
    <t>Показник, потужність</t>
  </si>
  <si>
    <t>Вт/год</t>
  </si>
  <si>
    <t>Електроенергія, Квт/год</t>
  </si>
  <si>
    <t>Масажер для ніг НY-19939</t>
  </si>
  <si>
    <t>Масажер для ніг НY-10411</t>
  </si>
  <si>
    <t>Допомога у виконанні лікувальних фізичних вправ (за потреби)</t>
  </si>
  <si>
    <t>Гр</t>
  </si>
  <si>
    <t>Спостереження за станом здоров’я, надання реабілітаційних послуг</t>
  </si>
  <si>
    <t>Проведення заходів щодо емоційного та психологічного розвантаження</t>
  </si>
  <si>
    <t>Організація денної зайнятості, дозвілля</t>
  </si>
  <si>
    <t>3. Заходи послуги Денного догляду, які виконуються сестрою медичною</t>
  </si>
  <si>
    <t>Нарахування на з/п</t>
  </si>
  <si>
    <t>Електроенергія (освітлення кабінету)</t>
  </si>
  <si>
    <t>Процедура дарсонвалізації (апарат Корона)</t>
  </si>
  <si>
    <t>Процедура апаратом Коробова</t>
  </si>
  <si>
    <t xml:space="preserve">І </t>
  </si>
  <si>
    <t>6</t>
  </si>
  <si>
    <t>Форма роботи (І/Гр)*</t>
  </si>
  <si>
    <t>*</t>
  </si>
  <si>
    <t>І - індивідуальна форма роботи, Гр - групова форма роботи</t>
  </si>
  <si>
    <t>Тариф, грн</t>
  </si>
  <si>
    <t>Форма роботи, (І/Гр)*</t>
  </si>
  <si>
    <t>Супроводження у медичні заклади, відвідування у лікарнях.</t>
  </si>
  <si>
    <t>Сприяння в отриманні правових послуг, у тому числі у громадських приймальнях з надання безоплатної первинної правової допомоги, у Координаційному центрі з надання правової допомоги, регіональних центрах з надання безоплатної вторинної правової допомоги.</t>
  </si>
  <si>
    <t>Сприяння в отриманні адресної натуральної та грошової допомоги тощо.</t>
  </si>
  <si>
    <t>Сприяння в отриманні медичного обстеження, розміщенні в закладах охорони здоров’я та лікування.</t>
  </si>
  <si>
    <t>Допомога у влаштуванні до закладів, що надають притулок, закладів соціального обслуговування або соціального захисту населення усіх форм власності.</t>
  </si>
  <si>
    <t>Заклеювання вікон (не більше ніж три вікна).</t>
  </si>
  <si>
    <t>Сприяння у оформленні соціальних допомог (пільг, субсидій тощо).</t>
  </si>
  <si>
    <t>Допомога в оформленні групи інвалідності, пенсій.</t>
  </si>
  <si>
    <t>Проведення лекцій, бесід, зустрічей з питань оформлення або відновлення документів, у тому числі повноважень закладів, що ведуть облік бездомних осіб, у сприянні в оформленні або відновленні документів.</t>
  </si>
  <si>
    <t>Видача документів (довідок) згідно з повноваженнями (посвідчення про взяття на облік, довідка про прийняття на обслуговування в заклад) тощо.</t>
  </si>
  <si>
    <t>Допомога у сплаті рахунків за спожиті комунальні послуги тощо.</t>
  </si>
  <si>
    <t>Проведення лекцій, бесід, зустрічей з питань реєстрації місця проживання / перебування в Україні, у тому числі отримання реєстрації місця проживання / перебування за місцезнаходженням центрів обліку бездомних осіб, закладів / установ соціального захисту / обслуговування населення.</t>
  </si>
  <si>
    <t>Допомога в складанні заяв, зборі документів (довідок, запитів тощо).</t>
  </si>
  <si>
    <t>Інформування щодо суб’єктів, які надають соціальні послуги, в тому числі притулок, послуги соціальної інтеграції та реінтеграції, підтриманого проживання тощо.</t>
  </si>
  <si>
    <t>Сприяння в установленні зв’язків з іншими фахівцями, службами, організаціями, підприємствами, органами, закладами, установами тощо.</t>
  </si>
  <si>
    <t>відділення організації надання адресної натуральної допомоги</t>
  </si>
  <si>
    <t>соціальний робітник</t>
  </si>
  <si>
    <t>Заходи послуги Денного догляду, які виконуються фахівцем фізичної реабілітації</t>
  </si>
  <si>
    <t>Вимірювання артеріального тиску (фахівець з реабілітації)</t>
  </si>
  <si>
    <t>Вимірювання артеріального тиску</t>
  </si>
  <si>
    <t>Знос (матеріалів, основних засобів)</t>
  </si>
  <si>
    <t>відділення денного, цілодобового тимчасового перебування</t>
  </si>
  <si>
    <t>Сестра медична</t>
  </si>
  <si>
    <t xml:space="preserve">фонд зп. відділ.денного, цілодобового тимчасового перебування. </t>
  </si>
  <si>
    <t>Фахівця з фізичної реабілітації</t>
  </si>
  <si>
    <t>Розрахунок вартості  1 год. роботи сестри медичної</t>
  </si>
  <si>
    <t>- перукарські послуги у приміщенні надавача послуг</t>
  </si>
  <si>
    <t>- перукарські послуги за місцем проживання отримувача послуг</t>
  </si>
  <si>
    <t>ВСЬОГО витрати за 1 годину робочого часу</t>
  </si>
  <si>
    <t>Виконавець: Фахівець з фізичної реабілітації</t>
  </si>
  <si>
    <t>Драбина "Еліт"</t>
  </si>
  <si>
    <t>Мат 1*2</t>
  </si>
  <si>
    <t>Турнік "Еліт"</t>
  </si>
  <si>
    <t>Бігова доріжка електрична НТ</t>
  </si>
  <si>
    <t>Велотренажер магнітний</t>
  </si>
  <si>
    <t>Орбітрек магнітний (Нend Pulse)</t>
  </si>
  <si>
    <t>Реабілітаційний комплекс "Максима"</t>
  </si>
  <si>
    <t>Всього на 1 відвідувача</t>
  </si>
  <si>
    <t>Амортизація Апарат для міостимуляції (АЭСТ-01)</t>
  </si>
  <si>
    <t>Електроенергія, Квт/год  Апарат для міостимуляції (АЭСТ-01)</t>
  </si>
  <si>
    <t>перукар у приміщенні територіального центру</t>
  </si>
  <si>
    <t xml:space="preserve">Спостереження за виконанням рекомендацій лікарів відповідно до медичних показань </t>
  </si>
  <si>
    <t>Розрахунок потужності та знос фотонних матриць Коробова</t>
  </si>
  <si>
    <t>Розрахунок потужності та зносу апаратів для масажу ніг</t>
  </si>
  <si>
    <t>Амортизація апарату "Корона-02"</t>
  </si>
  <si>
    <t xml:space="preserve">Розрахунок </t>
  </si>
  <si>
    <t>1. Цілодобовий догляд</t>
  </si>
  <si>
    <t>Основні заходи, що становлять зміст соціальної послуги - цілодобовий догляд</t>
  </si>
  <si>
    <t>Керуючий справами виконавчого комітету</t>
  </si>
  <si>
    <t>Директор Хмельницького міського територіального центру соціального обслуговування (надання соціальних послуг)</t>
  </si>
  <si>
    <t>Розрахунок вартості  1 год. Роботи соціального робітника</t>
  </si>
  <si>
    <t>Водопостачання</t>
  </si>
  <si>
    <t>Харчування</t>
  </si>
  <si>
    <t>Всього 1 люд.доба з харч.</t>
  </si>
  <si>
    <t xml:space="preserve"> Захід відділення денного, цілодобового тимчасового перебування цілодобового перебування, який надаєтьсяя соціальним робітником та сестрою медичною</t>
  </si>
  <si>
    <t>Всього 1 люд.год. без харч. на 14.ос</t>
  </si>
  <si>
    <t>Всього 1 люд.доба без харч. на 14 осіб</t>
  </si>
  <si>
    <t>Всього 1 люд.доба без харч. на 1 особу</t>
  </si>
  <si>
    <t>Витрати часу, грн..</t>
  </si>
  <si>
    <t xml:space="preserve">Розрахунок вартості тарифу </t>
  </si>
  <si>
    <t>Цілодобовий догляд</t>
  </si>
  <si>
    <t>Вартість згідно розрахунку, грн.</t>
  </si>
  <si>
    <t>1 люд.- доба</t>
  </si>
  <si>
    <t>1. Спостереження за виконанням рекомендацій лікарів відповідно до медичних показань  (процедура міостимуляції)</t>
  </si>
  <si>
    <t>1. Спостереження за виконанням рекомендацій лікарів відповідно до медичних показань (процедура апаратом Коробова)</t>
  </si>
  <si>
    <t>Вартість надання соціальної послуги на 1 особу</t>
  </si>
  <si>
    <t>амортизація Масажного ліжка "Серегем"</t>
  </si>
  <si>
    <t>Форма роботи (І)*</t>
  </si>
  <si>
    <t>соціальний робітник, сестра медична</t>
  </si>
  <si>
    <t>Розрахунок вартості соціальних послуг, які надаються Хмельницьким міським територіальним центром соціального обслуговування (надання соціальних послуг)</t>
  </si>
  <si>
    <t>І. Відділення соціальної допомоги вдома мешканцям міста Хмельницького та відділення соціальної допомоги вдома мешканцям сіл Хмельницької міської територіальної громади</t>
  </si>
  <si>
    <t>Од. вим.</t>
  </si>
  <si>
    <t>1. Соціальна послуга: - догляд вдома (код 015.1)</t>
  </si>
  <si>
    <t>Основні заходи, що становлять зміст соціальної послуги - догляд вдома (код 015.1):</t>
  </si>
  <si>
    <t>Основні заходи, що становлять зміст соціальної послуги - представництво інтересів (код 004.0):</t>
  </si>
  <si>
    <t>Основні заходи, що становлять зміст соціальної послуги - натуральна допомога (код 019.0):</t>
  </si>
  <si>
    <t>3. Соціальна послуга - натуральна допомога (код 019.0)</t>
  </si>
  <si>
    <t>4. Соціальна послуга - натуральна допомога (код 019.0)</t>
  </si>
  <si>
    <t>5. Соціальна послуга - натуральна допомога (код 019.0)</t>
  </si>
  <si>
    <t>6. Соціальна послуга - натуральна допомога (код 019.0)</t>
  </si>
  <si>
    <t>Основні заходи, що становлять зміст соціальної послуги - денний догляд (код 015.3):</t>
  </si>
  <si>
    <t>2. Соціальна послуга - денний догляд (код 015.3)</t>
  </si>
  <si>
    <t>Перукарські послуги у приміщенні надавача соціальних послуг.</t>
  </si>
  <si>
    <t>Кількість осіб, які одночасно можуть перебувати під спостереженням</t>
  </si>
  <si>
    <t>чол.</t>
  </si>
  <si>
    <t>3. Соціальна послуга - денний догляд (код 015.3)</t>
  </si>
  <si>
    <t>4. Соціальна послуга - денний догляд (код 015.3)</t>
  </si>
  <si>
    <t>5. Соціальна послуга - денний догляд (код 015.3)</t>
  </si>
  <si>
    <t>6. Соціальна послуга - денний догляд (код 015.3)</t>
  </si>
  <si>
    <t>Од. вимір.</t>
  </si>
  <si>
    <t>7. Соціальна послуга - денний догляд (код 015.3)</t>
  </si>
  <si>
    <t>8. Соціальна послуга - денний догляд (код 015.3)</t>
  </si>
  <si>
    <t>Виконавець: Сестра медична, Соціальний робітник</t>
  </si>
  <si>
    <t>Вартість надання соціальної послуги без харчування із розрахунку догляду 14 осіб</t>
  </si>
  <si>
    <t>Вартість надання соціальної послуги без харчування на 1 особу</t>
  </si>
  <si>
    <t>Вартість надання соціальної послуги без харчування на 1 особу за добу</t>
  </si>
  <si>
    <t>Вартість надання соціальної послуги з харчуванням на 1 особу за добу</t>
  </si>
  <si>
    <t>ІІІ. Відділення денного, цілодобового тимчасового перебування</t>
  </si>
  <si>
    <t>ІІ. Відділення організації надання адресної натуральної допомоги</t>
  </si>
  <si>
    <t>Примітка: Коди соціальних послуг зазначені відповідно до Класифікатора соціальних послуг.</t>
  </si>
  <si>
    <t>Соціальна послуга  -цілодобовий догляд</t>
  </si>
  <si>
    <t>Цілодобовий догляд без харчування</t>
  </si>
  <si>
    <t>Цілодобовий догляд  з харчуванням</t>
  </si>
  <si>
    <t>Витрати часу,  год.</t>
  </si>
  <si>
    <t>Заробітна плата за 1 годину робочого часу соціального робітника</t>
  </si>
  <si>
    <t>вартість</t>
  </si>
  <si>
    <t>термін викор.</t>
  </si>
  <si>
    <t>ВСЬОГО</t>
  </si>
  <si>
    <t>Соціальний працівник (ІІ кат)</t>
  </si>
  <si>
    <t>Інспектор з кадрів (старший)</t>
  </si>
  <si>
    <t>Бухгалтер (І кат)</t>
  </si>
  <si>
    <t>матеріальна допомога</t>
  </si>
  <si>
    <t>Рукавиці нітрилові тонкі</t>
  </si>
  <si>
    <t>1 міс</t>
  </si>
  <si>
    <t>143448,63/2096</t>
  </si>
  <si>
    <t>68,44*22%</t>
  </si>
  <si>
    <t>68,44*15%</t>
  </si>
  <si>
    <t>68,44+15,06+10,27</t>
  </si>
  <si>
    <t>Куртка робоча</t>
  </si>
  <si>
    <t>Напівкомбінезон робочий</t>
  </si>
  <si>
    <t>Кепка робоча</t>
  </si>
  <si>
    <t>Травокосарка 531RS</t>
  </si>
  <si>
    <t>20 мл *0,63л пал</t>
  </si>
  <si>
    <t>0,013*330</t>
  </si>
  <si>
    <t>15,3/2096</t>
  </si>
  <si>
    <t>980/2/2096</t>
  </si>
  <si>
    <t>1150/2/2096</t>
  </si>
  <si>
    <t>160/2/2096</t>
  </si>
  <si>
    <t>25*/174,67</t>
  </si>
  <si>
    <t>1640/2096</t>
  </si>
  <si>
    <t>Масло для цепів</t>
  </si>
  <si>
    <t>Рубання дров</t>
  </si>
  <si>
    <t>Ножиці прямі</t>
  </si>
  <si>
    <t>Сумка для інструментів</t>
  </si>
  <si>
    <t>Накидка для стрижки</t>
  </si>
  <si>
    <t>Накидка для стрижки BARBER</t>
  </si>
  <si>
    <t>Побілка стін вапном (зовнішня/внутрішня) ( не більше ніж 40 кв.м стін)</t>
  </si>
  <si>
    <t>5.4.</t>
  </si>
  <si>
    <t>Заробітна плата</t>
  </si>
  <si>
    <t>0,97*51,0</t>
  </si>
  <si>
    <t>Розрахунок потужності та зносу апаратів</t>
  </si>
  <si>
    <t>Всього витрат (процедура міостимуляції)</t>
  </si>
  <si>
    <t>Всього витрат (процедура апаратний масаж ніг)</t>
  </si>
  <si>
    <t>Середнє значення по  використанню електроенергії (апаратний масаж ніг)</t>
  </si>
  <si>
    <t>Амортизація масажерів для ніг</t>
  </si>
  <si>
    <t>знос</t>
  </si>
  <si>
    <t>Середнє значення по  амортизації (апаратні масажі ніг)</t>
  </si>
  <si>
    <t>Масажер для ніг НY-19939G</t>
  </si>
  <si>
    <t>Масажер для ніг RT 1887</t>
  </si>
  <si>
    <t>Розрахунок потужності апарату АЛІМП</t>
  </si>
  <si>
    <t>Всього витрат (фотонні матриці Коробова)</t>
  </si>
  <si>
    <t xml:space="preserve">Знос фотонних матриць Коробова </t>
  </si>
  <si>
    <t>Всього витрат (апарат АЛІМП)</t>
  </si>
  <si>
    <t>Вт/год, знос</t>
  </si>
  <si>
    <t xml:space="preserve">Розрахунок прямих матеріальних витрат </t>
  </si>
  <si>
    <t>Всього витрат</t>
  </si>
  <si>
    <t>Розрахунок потужності апарату  "Корона"</t>
  </si>
  <si>
    <t>Розрахунок потужності апарату  масажного ліжка "Серагем"</t>
  </si>
  <si>
    <t>Розрахунок потужності ліжка  "Нуга Бест"</t>
  </si>
  <si>
    <t xml:space="preserve">Амортизація апарату </t>
  </si>
  <si>
    <t>Розрахунок потужності масажного ліжка"Релакс"</t>
  </si>
  <si>
    <t>Сегментний масаж шийно-грудного відділу хребта</t>
  </si>
  <si>
    <t>Процедура дарсоніфікації (апарат Корона)</t>
  </si>
  <si>
    <t>Процедура Нуга Бест</t>
  </si>
  <si>
    <t>Процедура Релакс</t>
  </si>
  <si>
    <t>Оксигенотерапія (кисневий коктель)</t>
  </si>
  <si>
    <t>Фітотерапія</t>
  </si>
  <si>
    <t>Амортизація апарату для  оксигенотерапії (МИТ-С)</t>
  </si>
  <si>
    <t>Електроенергія, Квт/год  апарат для оксигенотерапії (МИТ-С)</t>
  </si>
  <si>
    <t>Вт/год, знос, к-ть,</t>
  </si>
  <si>
    <t>Сироп корення солодки (15 мл) для 1 закладки 10 порцій</t>
  </si>
  <si>
    <t>Процедура оксигенотерапії</t>
  </si>
  <si>
    <t>Процедура фітотерапії</t>
  </si>
  <si>
    <t>Електроенергія, Квт/год  електрочайника</t>
  </si>
  <si>
    <t>Амортизація електрочайника</t>
  </si>
  <si>
    <t>Фіточай 1 шт (20пак)</t>
  </si>
  <si>
    <t>Проведення заходів щодо емоційного та психологічного розвантаження (аромотерапія)</t>
  </si>
  <si>
    <t>Вода, л</t>
  </si>
  <si>
    <t>Всього витрат на 10 чол</t>
  </si>
  <si>
    <t>Всього на 1 отримувача процедури фітотерапії</t>
  </si>
  <si>
    <t>Витрати на заробтну плату на виконання соціальної послуги, грн.</t>
  </si>
  <si>
    <t>Інші прямі матеріальні витрати</t>
  </si>
  <si>
    <t>Побілка стін вапном (зовнішня і внутрішня) (не більше ніж 40 м2 стін)</t>
  </si>
  <si>
    <t xml:space="preserve">1. Спостереження за виконанням рекомендацій лікарів відповідно до медичних показань (апаратний масаж для ніг ) </t>
  </si>
  <si>
    <t>1. Спостереження за виконанням рекомендацій лікарів відповідно до медичних показань (процедура магнітотерапії)</t>
  </si>
  <si>
    <t>12. Соціальна послуга - денний догляд (код 015.3)</t>
  </si>
  <si>
    <t>1 п</t>
  </si>
  <si>
    <t>13. Соціальна послуга - денний догляд (код 015.3)</t>
  </si>
  <si>
    <t>14. Соціальна послуга - денний догляд (код 015.3)</t>
  </si>
  <si>
    <t>15. Соціальна послуга - денний догляд (код 015.3)</t>
  </si>
  <si>
    <t>16. Соціальна послуга - денний догляд (код 015.3)</t>
  </si>
  <si>
    <t>1. Вимірювання артеріального тиску.</t>
  </si>
  <si>
    <t>17. Соціальна послуга - денний догляд (код 015.3)</t>
  </si>
  <si>
    <t>1. Проведення заходів щодо емоційного та психологічного розвантаження (аромотерапія)</t>
  </si>
  <si>
    <t>Електроенергія, Квт/год  аромолампа Iherbs</t>
  </si>
  <si>
    <t>Процедура аромотерапії</t>
  </si>
  <si>
    <t>Амортизація аромолампи</t>
  </si>
  <si>
    <t>Ефірна олія, 10 мл</t>
  </si>
  <si>
    <t xml:space="preserve">Всього на 1 отримувача процедури </t>
  </si>
  <si>
    <t>Дмитро СТАРЦУН</t>
  </si>
  <si>
    <t>для одної процедури потрібно 5 крапель (1мл= 15кр), вартість 1 мл-4,5 грн, 4,5/15=0,3 грн вартість 1 краплі</t>
  </si>
  <si>
    <t>0,013*189</t>
  </si>
  <si>
    <t>189*0,02</t>
  </si>
  <si>
    <t>площа для обрах. 404,2 м2</t>
  </si>
  <si>
    <t>Сік/нектар (200мл) для 1 закладки на 10 порцій</t>
  </si>
  <si>
    <t>Консультації психолога, соціального працівника, соціального педагога з метою профілактики та контролю депресії, депресивного стану, страху й тривожності, станів шоку, розпачу, розвитку реактивного психозу; мотивації до активності тощо</t>
  </si>
  <si>
    <t>Розрахунок потужності та амотризації  компютера та принтера</t>
  </si>
  <si>
    <t>7.3.</t>
  </si>
  <si>
    <t>7.4.</t>
  </si>
  <si>
    <t>Консультації психолога, соціального працівника з метою профілактики та контролю депресії, депресивного стану, страху й тривожності, станів шоку, розпачу, розвитку реактивного психозу, мотивації до активності тощо</t>
  </si>
  <si>
    <t>ЗАТВЕРДЖУЮ</t>
  </si>
  <si>
    <t>штатна кількість  146 штатних одиниць</t>
  </si>
  <si>
    <t>Начальник управління праці та соціального захисту населення</t>
  </si>
  <si>
    <t>________________ Словян Воронецький</t>
  </si>
  <si>
    <t>Оклад по ЄТС на  1шт.од.</t>
  </si>
  <si>
    <t>Фонд заробітної плати на січень-грудень</t>
  </si>
  <si>
    <t>для розрах</t>
  </si>
  <si>
    <t>фонд зп соц. роб.</t>
  </si>
  <si>
    <t>фонд/к-ть 86,5</t>
  </si>
  <si>
    <t>Розрахунок адміністративних витрат (соціальний робітник)</t>
  </si>
  <si>
    <t>Розрахунок адміністративних витрат (психолог)</t>
  </si>
  <si>
    <t>для Організація спортивно-оздоровчої, технічної, художньої діяльності тощо</t>
  </si>
  <si>
    <t>Апаратний масаж для ніг  (масажер HY-10411)</t>
  </si>
  <si>
    <t>Процедура низькочастотної магнітотерапії АЛІМП</t>
  </si>
  <si>
    <t>Процедура "Нуга Бест"</t>
  </si>
  <si>
    <t>Процедура "Релакс"</t>
  </si>
  <si>
    <t>Залучення до життідіяльності територіальної громади (інформування про проведення місцевих свят, конкурсів, фестивалів та інших заходів, організація участі у них або їх відвідування)</t>
  </si>
  <si>
    <t xml:space="preserve">2. </t>
  </si>
  <si>
    <t>Консультації психолога, соціального працівника, соціального педагога з метою профілактики та контролю депресії, деприсивного стану, страху й тривожності, станів шоку, розпачу, розвитку реактивного психозу; мотивації до активності тощо</t>
  </si>
  <si>
    <t>Тариф</t>
  </si>
  <si>
    <t>на одну особу</t>
  </si>
  <si>
    <t>Амортизація ноутбука</t>
  </si>
  <si>
    <t>Електроенергія (спож. ноутбука), Квт/год</t>
  </si>
  <si>
    <t>Розрахунок  зносу тенісного стола для для заходу перегляд телепрограм, читання книжок, журналів, газет, спільні ігри тощо</t>
  </si>
  <si>
    <t>Тенісний стіл</t>
  </si>
  <si>
    <t>Середне значення, грн</t>
  </si>
  <si>
    <t>Консультації психолога, соціального працівника з метою профілактики та контролю депресії, депресивного стану, страхуй тривожності, станів шоку, розпачу, розвитку реактивного психозу, мотивації до активності тощо.</t>
  </si>
  <si>
    <t>38</t>
  </si>
  <si>
    <t>40</t>
  </si>
  <si>
    <t>42</t>
  </si>
  <si>
    <t>43</t>
  </si>
  <si>
    <t>3. Соціальна послуга: - догляд вдома (код 015.1)</t>
  </si>
  <si>
    <t>Виконавець: Психолог</t>
  </si>
  <si>
    <t>1. Проведення заходів щодо емоційного та психологічного розвантаження</t>
  </si>
  <si>
    <t>2. Консультації психолога, соціального працівника, соціального педагога з метою профілактики та контролю депресії, деприсивного стану, страху й тривожності, станів шоку, розпачу, розвитку реактивного психозу; мотивації до активності тощо</t>
  </si>
  <si>
    <t>2. Соціальна послуга: - натуральна допомога (код 019.0)</t>
  </si>
  <si>
    <t>4. Соціальна послуга - представництво інтересів (код 004.0)</t>
  </si>
  <si>
    <t>Заробітна плата психолога</t>
  </si>
  <si>
    <t>Стакан паперовий, шт</t>
  </si>
  <si>
    <t>Трубочка коктельна, шт</t>
  </si>
  <si>
    <t>75 грн коштує 19л води,  1л-3,95 грн 1,5л-5,93 грн для заходу потрібно 1,5 л.</t>
  </si>
  <si>
    <t>75 грн коштує 19л води,  1л-3,95 грн 0,51л-0,59 грн для заходу потрібно 150мл.</t>
  </si>
  <si>
    <t>Ножниці для стрижки  філіровочні</t>
  </si>
  <si>
    <t>Термін використання (місяць), витр. палива на 1 км</t>
  </si>
  <si>
    <t>Кількість (шт., пар., м3, 1 л., км)</t>
  </si>
  <si>
    <t>Оксигенотерапія (кисневий коктель) (10 осіб)</t>
  </si>
  <si>
    <t>Проведення заходів щодо емоційного та психологічного розвантаження (аромотерапія на 10 осіб)</t>
  </si>
  <si>
    <t>Перегляд телепрограм, читання книжок, журналів, газет, спільні ігри тощо) (теніс на 4 особи)</t>
  </si>
  <si>
    <t>вик. Психолог</t>
  </si>
  <si>
    <t>вик. Сеста медична і фах. з фіз.реаб</t>
  </si>
  <si>
    <t>Розрахунок вартості  1 год. роботи фахівця з фізичної реабілітації</t>
  </si>
  <si>
    <t>КУШНІР</t>
  </si>
  <si>
    <t>NISSEI DS-11</t>
  </si>
  <si>
    <t xml:space="preserve">Розрахунок потужності та знос апаратів для вимірювання тиску </t>
  </si>
  <si>
    <t>апарат</t>
  </si>
  <si>
    <t>середнє значення</t>
  </si>
  <si>
    <t>Ножиці прямі (с.з.)</t>
  </si>
  <si>
    <t>Ножниці для стрижки  філіровочні (с.з.)</t>
  </si>
  <si>
    <t>Машинка для стрижки (с.з.)</t>
  </si>
  <si>
    <t xml:space="preserve">Фен </t>
  </si>
  <si>
    <t>с.з. по витратах палива</t>
  </si>
  <si>
    <t>Проведення заходів щодо подолання психотравматичних ситуацій та стресів, кризових ситуацій, інших психологічних проблем</t>
  </si>
  <si>
    <t>1.2.1.</t>
  </si>
  <si>
    <t>3.1.1.</t>
  </si>
  <si>
    <t>3.1.3.</t>
  </si>
  <si>
    <t>3.1.4.</t>
  </si>
  <si>
    <t>3.1.5.</t>
  </si>
  <si>
    <t>Фітотерапія (10 осіб)</t>
  </si>
  <si>
    <t>3.1.6.</t>
  </si>
  <si>
    <t>3.1.7.</t>
  </si>
  <si>
    <t>3.1.8.</t>
  </si>
  <si>
    <t>3.1.9.</t>
  </si>
  <si>
    <t>мед.сест./фах.фіз.реаб.</t>
  </si>
  <si>
    <t xml:space="preserve">Перегляд телепрограм, читання книжок, журналів, газет, спільні ігри тощо) </t>
  </si>
  <si>
    <t>3.2.1</t>
  </si>
  <si>
    <t>3.1.10.</t>
  </si>
  <si>
    <t xml:space="preserve">Косіння трави біля будинку (площа 0,02 га) </t>
  </si>
  <si>
    <t xml:space="preserve">Косіння трави біля паркану (не більше ніж 0,02 га) </t>
  </si>
  <si>
    <t xml:space="preserve">Рубання дров (2 куб.м. дров) </t>
  </si>
  <si>
    <t xml:space="preserve">Розпилювання дров (2 куб.м. дров) </t>
  </si>
  <si>
    <t>з/п адмін.перс з нарах.</t>
  </si>
  <si>
    <t>з/п адмін.перс. з нарах.</t>
  </si>
  <si>
    <t>з/п адмін.перс з нарах. без психолога</t>
  </si>
  <si>
    <t>Розрахунок витрат на оплату праці психолога</t>
  </si>
  <si>
    <t>Розрахунок витрат на оплату праці соціального робітника</t>
  </si>
  <si>
    <t>з/п адмін.перс без психолога</t>
  </si>
  <si>
    <t>Тренажер універсальний (стіл реабілітаційний)</t>
  </si>
  <si>
    <t>Профілактор Євмінова</t>
  </si>
  <si>
    <t>Середнє значення</t>
  </si>
  <si>
    <t>Всього знос</t>
  </si>
  <si>
    <t>Організація денної зайнятості</t>
  </si>
  <si>
    <t>Організація відвідування театру</t>
  </si>
  <si>
    <t>Заняття у залі підтримки здоровя (гр)</t>
  </si>
  <si>
    <t>Заняття у залі підтримки здоровя (інд)</t>
  </si>
  <si>
    <t>Електроенергія (потужність біг.доріжки)</t>
  </si>
  <si>
    <t>Інші прямі витрати (без пот. біг.дор)</t>
  </si>
  <si>
    <t>Спостереження за станом здоровя, надання реабілітаційних послуг</t>
  </si>
  <si>
    <t>Апаратний масаж ніг</t>
  </si>
  <si>
    <t>Заходи послуги Денного догляду, які виконуються фахівцем фізичної реабілітації та сестрою медичною</t>
  </si>
  <si>
    <t>фонд зп. надав. послуги</t>
  </si>
  <si>
    <t xml:space="preserve">з/п адмін.перс з нарах. </t>
  </si>
  <si>
    <t>4. Заходи послуги Денного догляду, які виконуються психологом</t>
  </si>
  <si>
    <t xml:space="preserve"> Заходи послуги Денного догляду, які виконуються сестрою медичною</t>
  </si>
  <si>
    <t>Залучення до життєдіяльності територіальної громади (інформування про провендення місцевих свят, конкурсів, фестивалів та інших заходів, організація участі у них або їх відвідування)</t>
  </si>
  <si>
    <t>для масажу</t>
  </si>
  <si>
    <t>для ін</t>
  </si>
  <si>
    <t>Теніс</t>
  </si>
  <si>
    <t>фонд зп. Медсестри</t>
  </si>
  <si>
    <t>Витрати палива на дорогу поза межами населеного пункту</t>
  </si>
  <si>
    <t>Заклеювання вікон</t>
  </si>
  <si>
    <t xml:space="preserve"> Розрахунок вартості (тарифу) 1 год. роботи перукаря за місцем проживання отримувача послуг</t>
  </si>
  <si>
    <t>Виконавець: Сестра медична/фахівець з фізичної рабілітації</t>
  </si>
  <si>
    <t>3. Проведення заходів щодо подолання психотравматичних ситуацій та стресів, кризових ситуацій, інших психологічних проблем</t>
  </si>
  <si>
    <t xml:space="preserve">Розрахунок інших  прямих матеріальних витрат </t>
  </si>
  <si>
    <t>прямі матеріальні витрати</t>
  </si>
  <si>
    <t>1.Організація відвідування театру</t>
  </si>
  <si>
    <t>10.  Соціальна послуга - денний догляд (код 015.3)</t>
  </si>
  <si>
    <t xml:space="preserve">1. Оксигенотерапія (кисневий коктель) </t>
  </si>
  <si>
    <t>Кількість осіб, які одночасно можуть перебувати в залі</t>
  </si>
  <si>
    <t>Кількість осіб, які одночасно можуть вживати коктейль</t>
  </si>
  <si>
    <t>1. Фітотерапія</t>
  </si>
  <si>
    <t>Кількість осіб, які одночасно можуть вживати фіточай</t>
  </si>
  <si>
    <t>1. Сегментний масаж шийно-грудного відділу хребта.</t>
  </si>
  <si>
    <t>1. Процедура "Серагем"</t>
  </si>
  <si>
    <t>1. Процедура "Нуга Бест"</t>
  </si>
  <si>
    <t>1. Процедура "Релакс"</t>
  </si>
  <si>
    <t>1. Перегляд телепрограм, читання книжок, журналів, газет, спільні ігри тощо (теніс)</t>
  </si>
  <si>
    <t>Ремонтні роботи</t>
  </si>
  <si>
    <t>Психолога</t>
  </si>
  <si>
    <t>Фахівця з фізичної реабілітації/сестри медичної</t>
  </si>
  <si>
    <t xml:space="preserve">Нарахування на з/п </t>
  </si>
  <si>
    <t>Амотризація травокосарки</t>
  </si>
  <si>
    <t>Амотризація бензопили</t>
  </si>
  <si>
    <t>с.з. по амотризації  сокир</t>
  </si>
  <si>
    <t>Амотризація Сокири-колуна</t>
  </si>
  <si>
    <t>фонд зп. соц.роб і сетри медич.</t>
  </si>
  <si>
    <t>Адміністративні витрати включаються до тарифу на соціальну послугу в розмірі не більш як 15% витрат на оплату праці, визначених за нормами обслуговування для надання цієї послуги працівником (працівниками)</t>
  </si>
  <si>
    <t>Організація відвідування театру (10 ос)</t>
  </si>
  <si>
    <t>Електроенергія (потужність біг.доріжки) для індив. заняття</t>
  </si>
  <si>
    <t>Заняття у залі підтримки здоров'я  (4 особи)</t>
  </si>
  <si>
    <t>Заняття у  залі підтримки здоров'я</t>
  </si>
  <si>
    <t>1. Занаття у залі підтримки здоров'я (групове заняття)</t>
  </si>
  <si>
    <t>1. Занаття у залі підтримки здоров'я (індивідуальне заняття)</t>
  </si>
  <si>
    <t>Всього витрат на 10 чол за 1 год</t>
  </si>
  <si>
    <t>18. Соціальна послуга - денний догляд (код 015.3)</t>
  </si>
  <si>
    <t>ВСЬОГО Середні значення по  амортизації та потужності (апаратні масажі ніг)</t>
  </si>
  <si>
    <t>% у тарифі</t>
  </si>
  <si>
    <t>% у тарифи</t>
  </si>
  <si>
    <t>СІЧЕНЬ-ГРУДЕНЬ 2025 року</t>
  </si>
  <si>
    <t>Директор територіального центру</t>
  </si>
  <si>
    <t>Бухгалтер (провідний)</t>
  </si>
  <si>
    <t>Інженер з охорони праці (провідний)</t>
  </si>
  <si>
    <t>Юрисконсульт  (провідний)</t>
  </si>
  <si>
    <t>Соціальний працівник (І кат)</t>
  </si>
  <si>
    <t>Соціальний працівник (І кат.)</t>
  </si>
  <si>
    <t>Фахівець із соціальної роботи ( І кат.)</t>
  </si>
  <si>
    <t>Фахівець з фізичної реабілітації (ІІ кат)</t>
  </si>
  <si>
    <t>Фахівець із соціальної роботи ( (ІІ кат)</t>
  </si>
  <si>
    <t xml:space="preserve">Фахівець із соціальної роботи (І кат.) </t>
  </si>
  <si>
    <t>Соціальний працівник (1кат.)</t>
  </si>
  <si>
    <t>фонд зп психолога</t>
  </si>
  <si>
    <t>360/174,00</t>
  </si>
  <si>
    <t xml:space="preserve">Змінне взуття (туфлі) </t>
  </si>
  <si>
    <t>187/2088</t>
  </si>
  <si>
    <t>4 пар/міс*14,59 грн=58,36грн   58,36 грн/174,00</t>
  </si>
  <si>
    <t>20пар/міс*2,3 грн=46,00грн   46 грн/174,00</t>
  </si>
  <si>
    <t>Сумка/рюкзак</t>
  </si>
  <si>
    <t>36 міс</t>
  </si>
  <si>
    <t>Фартух</t>
  </si>
  <si>
    <t>1 р.</t>
  </si>
  <si>
    <t>1 сумка/3р (270грн+350грн/2=310 грн)/3=103,3 грн/2088</t>
  </si>
  <si>
    <t>Побілка стін вапном (зовнішня/внутрішня) (не більше ніж 40 м кв. стін)</t>
  </si>
  <si>
    <t>Взуття робоче</t>
  </si>
  <si>
    <t>Знос/вартість використаних засобів, грн..</t>
  </si>
  <si>
    <t>Брюки робочі</t>
  </si>
  <si>
    <t>32/174,00</t>
  </si>
  <si>
    <t>2480/2088</t>
  </si>
  <si>
    <t>1083/2088</t>
  </si>
  <si>
    <t>32*/174,00</t>
  </si>
  <si>
    <t>1030/2/2088</t>
  </si>
  <si>
    <t>12*/174,00</t>
  </si>
  <si>
    <t>402/12/174,00</t>
  </si>
  <si>
    <t>343/12/174,00</t>
  </si>
  <si>
    <t>700/12/174,00</t>
  </si>
  <si>
    <t>144 Вт освітлення /1000*10,22</t>
  </si>
  <si>
    <t xml:space="preserve">15/1000*10,22 грн/60хв*10хв роботи апарату </t>
  </si>
  <si>
    <t>1520/2088</t>
  </si>
  <si>
    <t>58 грн коштує 100 мл, 1 мл 5,8 грн*15 мл=8,7 грн</t>
  </si>
  <si>
    <t>0,28*10 шт</t>
  </si>
  <si>
    <t>1650/1000*10,22 грн/60*5 хв роботи чайника</t>
  </si>
  <si>
    <t>484,5/2088</t>
  </si>
  <si>
    <t>12/1000*10,22/60*25</t>
  </si>
  <si>
    <t>164/2088</t>
  </si>
  <si>
    <t>0,05+0,08+0,59+1,5</t>
  </si>
  <si>
    <t>144/1000*10,22</t>
  </si>
  <si>
    <t>1839,75Вт потуж. біг.дор/1000*10,22//60хв*40хв</t>
  </si>
  <si>
    <t>1839,75Вт потуж. біг.дор/1000*10,22//60хв*10хв</t>
  </si>
  <si>
    <t>223,2/2088</t>
  </si>
  <si>
    <t>754/2088</t>
  </si>
  <si>
    <t>1290/2088</t>
  </si>
  <si>
    <t>4158/2088</t>
  </si>
  <si>
    <t>2950/2088</t>
  </si>
  <si>
    <t>175/2088</t>
  </si>
  <si>
    <t>67,8/2088</t>
  </si>
  <si>
    <t>2300/2088</t>
  </si>
  <si>
    <t>182/1000*10,22</t>
  </si>
  <si>
    <t>20/1000*10,22</t>
  </si>
  <si>
    <t>90/1000*10,22</t>
  </si>
  <si>
    <t>40/1000*10,22</t>
  </si>
  <si>
    <t>50/1000*10,22</t>
  </si>
  <si>
    <t>980/2009,7</t>
  </si>
  <si>
    <t>390/2009,7</t>
  </si>
  <si>
    <t>680/2009,7</t>
  </si>
  <si>
    <t>54/1000*10,22</t>
  </si>
  <si>
    <t>7854/2009,7</t>
  </si>
  <si>
    <t>250/1000/*10,22</t>
  </si>
  <si>
    <t>45/1000*10,22</t>
  </si>
  <si>
    <t>75,65/2009,7</t>
  </si>
  <si>
    <t>445418,47/3</t>
  </si>
  <si>
    <t>фах</t>
  </si>
  <si>
    <t>фонд зп. Перекуря</t>
  </si>
  <si>
    <t>фонд зп. Соц.роб. натур.доп</t>
  </si>
  <si>
    <t>300/1000*10,22</t>
  </si>
  <si>
    <t>260/1000*10,22</t>
  </si>
  <si>
    <t>800/1000*10,22</t>
  </si>
  <si>
    <t>144Вт/1000*10,22</t>
  </si>
  <si>
    <t>4/1000*10,22</t>
  </si>
  <si>
    <t>256/2009,7</t>
  </si>
  <si>
    <t>longevita</t>
  </si>
  <si>
    <t>Тренажер для спини гіперекстензія</t>
  </si>
  <si>
    <t>930/2088</t>
  </si>
  <si>
    <t>6/1000*10,22</t>
  </si>
  <si>
    <t>170370,99/2088</t>
  </si>
  <si>
    <t>81,6*22%</t>
  </si>
  <si>
    <t>Премія керівнику згідно контракту та працівникам місячна</t>
  </si>
  <si>
    <t>Премія  до дня працівника соцфсери</t>
  </si>
  <si>
    <t>70,47× 22%</t>
  </si>
  <si>
    <t>132830,98/2088</t>
  </si>
  <si>
    <t>63,62*22%</t>
  </si>
  <si>
    <t>63,62+14,00</t>
  </si>
  <si>
    <t>182982,61/2088</t>
  </si>
  <si>
    <t>1,26*10 шт</t>
  </si>
  <si>
    <t>Амортизація Сокири ручка Традиційна</t>
  </si>
  <si>
    <t>103,85*0,33/2</t>
  </si>
  <si>
    <t>0,63*60,0</t>
  </si>
  <si>
    <t>Пальне (А-92)</t>
  </si>
  <si>
    <t>Пальне- бензин (А-95)</t>
  </si>
  <si>
    <t>313,33/12/174,00</t>
  </si>
  <si>
    <t>Машинка для стрижки Moser</t>
  </si>
  <si>
    <t>Машинка для стрижки Primat</t>
  </si>
  <si>
    <t>Машинка для стрижки Super jet</t>
  </si>
  <si>
    <t>Машинка для стрижки Moser mini</t>
  </si>
  <si>
    <t>Пеньюар з дівчиною</t>
  </si>
  <si>
    <t>спож у 2024 р. 12480,95 к.Вт</t>
  </si>
  <si>
    <t>12480,95/365дні/24год</t>
  </si>
  <si>
    <t>208174,04/12/174</t>
  </si>
  <si>
    <t>99,7*22%</t>
  </si>
  <si>
    <t>208174,04/12/174,00</t>
  </si>
  <si>
    <t>1*15,48 грн</t>
  </si>
  <si>
    <t>33,91 грн/20 пакетів</t>
  </si>
  <si>
    <t>- зміни постільної білизни;</t>
  </si>
  <si>
    <t>- користування туалетом</t>
  </si>
  <si>
    <t>Допомога в складанні заяв, зборі документів (довідок тощо)</t>
  </si>
  <si>
    <t>Масажер для ніг Shiatsu</t>
  </si>
  <si>
    <t>1,56/4</t>
  </si>
  <si>
    <t>158787,89/12/174,00</t>
  </si>
  <si>
    <t>76,05*22%</t>
  </si>
  <si>
    <t>Масажер для ніг  Shiatsu</t>
  </si>
  <si>
    <t>208174,04/2088</t>
  </si>
  <si>
    <t>105,74*22%</t>
  </si>
  <si>
    <t>95,86 Гкал/1658,1 вся опал. пл=0,058*11м2*3590,72/2088</t>
  </si>
  <si>
    <t>95,86 Гкал/1658,1 вся опал.пл=0,058*204 м2 акт.зал*3590,72/2088</t>
  </si>
  <si>
    <t>95,86 Гкал/1658,1 вся опал.пл=0,058*20,4 м2 16 каб*3590,72/2088</t>
  </si>
  <si>
    <t>95,868 Гкал/1658,1 вся опал.пл=0,058*39,5м2 *3590,72/2088</t>
  </si>
  <si>
    <t>95,86 Гкал/1658,1 вся опал. пл=0,058*36,7м2=2,5667 Гкал*3590,72/2009,7</t>
  </si>
  <si>
    <t>95,868 Гкал/1658,1 вся опал. пл=0,058*14,3м2=1,001 Гкал*3590,72/2088</t>
  </si>
  <si>
    <t>95,86 Гкал/1658,1 вся опал. пл=0,058*8,8м2*3522/2009,7</t>
  </si>
  <si>
    <t>95,86 Гкал/1658,1 вся опал. пл=0,058*8,8м2*3590,72/2009,7</t>
  </si>
  <si>
    <t>95,86 Гкал/11658,1 вся опал.пл=0,058*39,5 м2 каб 15 лфк*3590,72/2088</t>
  </si>
  <si>
    <t>72/1000*10,22 16 каб</t>
  </si>
  <si>
    <t>спож.у 2024 р-512,00м3</t>
  </si>
  <si>
    <t>Заробітна плата за 1 годину робочого часу фахівця</t>
  </si>
  <si>
    <t>197875,1/2088/14,4</t>
  </si>
  <si>
    <t>фонд зп фах/соцроб/завід</t>
  </si>
  <si>
    <t>Розрахунок адміністративних витрат (фахівця з соціальної допомоги/соціального працівника/заступника завідувача відділення)</t>
  </si>
  <si>
    <t>6,58*22%</t>
  </si>
  <si>
    <t>Рукавиці латексні міцні</t>
  </si>
  <si>
    <t>вартість, грн</t>
  </si>
  <si>
    <t>360/174</t>
  </si>
  <si>
    <t>2,07+0,87</t>
  </si>
  <si>
    <t>0,09+0,26+0,34+0,05+0,13</t>
  </si>
  <si>
    <t>(1,41+0,23+5,93+16,96)</t>
  </si>
  <si>
    <t>Чашка (благ)</t>
  </si>
  <si>
    <t>999.7/2088</t>
  </si>
  <si>
    <t>95,86 Гкал/1658,1 вся опал. пл = 0,058*36,7м2 *3590,72/2009,7</t>
  </si>
  <si>
    <t>1080/2009,7</t>
  </si>
  <si>
    <t>0,92+0,41+0,51+0,46+2,3</t>
  </si>
  <si>
    <t xml:space="preserve">Захисна маска </t>
  </si>
  <si>
    <t>170/2088</t>
  </si>
  <si>
    <t>1шт на рік (270+280+290)/3=280 грн/2088</t>
  </si>
  <si>
    <t>2,30 /4</t>
  </si>
  <si>
    <t>70,47+15,5*15%</t>
  </si>
  <si>
    <t>76,05+16,73× 15 %</t>
  </si>
  <si>
    <t>63,62+14,00*15%</t>
  </si>
  <si>
    <t>99,70+21,93*15%</t>
  </si>
  <si>
    <t>99,7+21,93× 15 %</t>
  </si>
  <si>
    <t>99,7+21,93+18,24+5,41</t>
  </si>
  <si>
    <t>99,7+21,93+18,24+2,77</t>
  </si>
  <si>
    <t>99,7+21,93+18,24+20,35</t>
  </si>
  <si>
    <t>76,05+16,62+1,84+13,92</t>
  </si>
  <si>
    <t>Автомобіль VOLKSWAGEN CADDY</t>
  </si>
  <si>
    <t>Витрати палива на дорогу в місті</t>
  </si>
  <si>
    <t>Витрати палива на дорогу в селі</t>
  </si>
  <si>
    <t>Витрати палива ( VOLKSWAGEN CADDY) на дорогу (місто)</t>
  </si>
  <si>
    <t>Побілка стін,   генеральне прибирання, заклеювання вікон, принесення вугілля, дров</t>
  </si>
  <si>
    <t>масажна палиця, еспандер метелик, палиця-еспандер 20 кг, фітнес резинки, резиновий тренажер, масажер для ніг, масажний пазл, еспандер тренажер для пальців і кисті</t>
  </si>
  <si>
    <t>12848/9/2088</t>
  </si>
  <si>
    <t>0,16+0,68</t>
  </si>
  <si>
    <t>Всього витра апарату  "Корона"</t>
  </si>
  <si>
    <t>623,33/2088</t>
  </si>
  <si>
    <t>312/12/174,00</t>
  </si>
  <si>
    <t>7200/12/174,00</t>
  </si>
  <si>
    <t>Дзеркало з підсвіткою</t>
  </si>
  <si>
    <t>335/12/174,00</t>
  </si>
  <si>
    <t xml:space="preserve">Підставка перукаря (для клієнта) </t>
  </si>
  <si>
    <t>90/12/174,00</t>
  </si>
  <si>
    <t>0,074*8,6*55,99/2</t>
  </si>
  <si>
    <t>0,074*3*55,99</t>
  </si>
  <si>
    <t>0,081*10*55,99</t>
  </si>
  <si>
    <t>0,056*28*55,99</t>
  </si>
  <si>
    <t>0,074*6,3*55,99</t>
  </si>
  <si>
    <t>0,081*2,7*55,99</t>
  </si>
  <si>
    <t>0,056*9,8*55,99</t>
  </si>
  <si>
    <t>фонд зп. без адмін. перс. + психолог+цпх</t>
  </si>
  <si>
    <t>фонд зп. без адмін. перс +цпх</t>
  </si>
  <si>
    <t>фонд зп. без адмін. перс.+цпх</t>
  </si>
  <si>
    <t>фонд зп. без адмін. перс. і психолога+цпх</t>
  </si>
  <si>
    <t>фонд зп. без адмін. перс. І психол.+цпх</t>
  </si>
  <si>
    <t>Єдиний внесок на загальнообов'язкове державне соціальне страхування</t>
  </si>
  <si>
    <t>Залучення до життєдіяльності територіальної громади (інформування про проведення місцевих свят, конкурсів, фестивалів та інших заходів, організація участі у них або їх відвідування)</t>
  </si>
  <si>
    <t>980/2/2088</t>
  </si>
  <si>
    <t>970/2/2088</t>
  </si>
  <si>
    <t>980/2088</t>
  </si>
  <si>
    <t>970/2088</t>
  </si>
  <si>
    <t>160/2/2088</t>
  </si>
  <si>
    <t>160/2088</t>
  </si>
  <si>
    <t>5320405,47*0,00761/2088</t>
  </si>
  <si>
    <t>158787,89/22376657,91</t>
  </si>
  <si>
    <t>5320405,47*0,00710/2088</t>
  </si>
  <si>
    <t>197875,1/22376657,91</t>
  </si>
  <si>
    <t>5320405,47*0,00884/2088</t>
  </si>
  <si>
    <t>147141,72/22376657,91</t>
  </si>
  <si>
    <t>5320405,47*0,00660/2088</t>
  </si>
  <si>
    <t>132830,98/22376657,91</t>
  </si>
  <si>
    <t>5320405,47*0,00590/2088</t>
  </si>
  <si>
    <t>208174,04/22376657,91</t>
  </si>
  <si>
    <t>5320405,47*0,00930/2088</t>
  </si>
  <si>
    <t>5320405,47*0,007100/2088</t>
  </si>
  <si>
    <t>Заходи без визначеної періодичності</t>
  </si>
  <si>
    <t>Надання продуктів харчування, предметів і засобів особистої гігієни, санітарно-гігієнічних засобів та засобів догляду, одягу, взуття та інших предметів першої необхідності</t>
  </si>
  <si>
    <t xml:space="preserve">5. </t>
  </si>
  <si>
    <t>198101,65/2088/14,4</t>
  </si>
  <si>
    <t>81,68+17,97*15%</t>
  </si>
  <si>
    <t>81,68+17,97+6,59+1,45+14,95</t>
  </si>
  <si>
    <t>122,64+2,94</t>
  </si>
  <si>
    <t>158989,68/2088</t>
  </si>
  <si>
    <t>76,14*22%</t>
  </si>
  <si>
    <t>76,14+16,75× 15 %</t>
  </si>
  <si>
    <t>76,14+16,75+13,93</t>
  </si>
  <si>
    <t>81,60+17,95*15%</t>
  </si>
  <si>
    <t>81,6+17,95+6,58+1,45+14,93</t>
  </si>
  <si>
    <t>170370,99/2236657,91</t>
  </si>
  <si>
    <t>147141,722/2088</t>
  </si>
  <si>
    <t>405668,17/22376567,91</t>
  </si>
  <si>
    <t>5320405,47*0,01810/4097,7</t>
  </si>
  <si>
    <t>215771,26/22376657,91</t>
  </si>
  <si>
    <t>5320405,47*0,00960/2009,7</t>
  </si>
  <si>
    <t>107,36*22%</t>
  </si>
  <si>
    <t>107,36+23,62× 15 %</t>
  </si>
  <si>
    <t>107,36+23,62+19,65+5,66</t>
  </si>
  <si>
    <t>215771,26/2009,7</t>
  </si>
  <si>
    <t>107,36+23,62+2,77+19,65</t>
  </si>
  <si>
    <t>107,36+23,62+5,66+19,65</t>
  </si>
  <si>
    <t>432945,3/22376657,91</t>
  </si>
  <si>
    <t>5320405,47*0,01890/4097,7</t>
  </si>
  <si>
    <t>60353,95/2088</t>
  </si>
  <si>
    <t>99,23+21,83*15%</t>
  </si>
  <si>
    <t>222685,56/2009,7</t>
  </si>
  <si>
    <t>Надання продуктів харчування, предметів і засобів особистої гігієни, санітарно-гігієнічних засобів та засобів догляду,  одягу, взуття та інших предметів першої необхідності</t>
  </si>
  <si>
    <t>1. Надання продуктів харчування, предметів і засобів особистої гігієни, санітарно-гігієнічних засобів та засобів догляду,  одягу, взуття та інших предметів першої необхідності</t>
  </si>
  <si>
    <t>Виконавець: Соціальний робітник/соціальний працівник/фахівець з соціальної роботи/заступник завідувача відділення організації надання натуральної адресної допомоги</t>
  </si>
  <si>
    <t>Єдиний внесок на загальнообв'язкове державне соціальне страхування</t>
  </si>
  <si>
    <t>середнє значення 1472,5/9=16361/2088</t>
  </si>
  <si>
    <t>Основні заходи, що становлять зміст соціальної послуги - Консультування (код 002.0):</t>
  </si>
  <si>
    <t>Допомога в аналізі життєвої ситуації, визначенні основних проблем і шляхів їх розв’язання</t>
  </si>
  <si>
    <t>Збір і аналіз інформації; ідентифікація проблеми клієнта і подій, які її спричинили. Прогнозування перспектив поліпшення становища</t>
  </si>
  <si>
    <t>Залучення отримувача соціальної послуги до вирішення власних проблем, складання плану виходу зі складної життєвої ситуації та допомога в його реалізації</t>
  </si>
  <si>
    <t>Вибір шляхів розв’язання проблеми, допомога у формуванні позитивної мотивації, вибір доступних і сприятливих можливостей та ресурсів</t>
  </si>
  <si>
    <t>Надання психологічної допомоги</t>
  </si>
  <si>
    <t>Кризове короткотермінове консультування (застосовується при таких кризових станах, як суїцидальний намір, тривожність, ворожість, повідомлення про ВІЛ-інфікування, втрати, агресія, спрямована на себе чи на інших, тощо)</t>
  </si>
  <si>
    <t>Проведення заходів з метою подолання психотравмуючих ситуацій та стресів, інших психологічних проблем</t>
  </si>
  <si>
    <t>Основні заходи, що становлять зміст соціально-педагогічної послуги - Університет третього віку:</t>
  </si>
  <si>
    <t xml:space="preserve">Виконавець: </t>
  </si>
  <si>
    <t>Витрати на оплату за договором ЦПХ</t>
  </si>
  <si>
    <t>Михайло КРИВАК</t>
  </si>
  <si>
    <t>84179,4/365/24</t>
  </si>
  <si>
    <t>23505,92/365дні/24год</t>
  </si>
  <si>
    <t>Заходи, без визначеної періодичності</t>
  </si>
  <si>
    <t>Гр (15 чол)</t>
  </si>
  <si>
    <t>на 1 особу</t>
  </si>
  <si>
    <t>3.3.</t>
  </si>
  <si>
    <t xml:space="preserve">4.  </t>
  </si>
  <si>
    <t>4.1.1</t>
  </si>
  <si>
    <t>4.2.1.</t>
  </si>
  <si>
    <t>4.3.1.</t>
  </si>
  <si>
    <t>4.3.2.</t>
  </si>
  <si>
    <t>Директор Хмельницького міського територіального                                              центру соціального обслуговування (надання соціальних послуг)</t>
  </si>
  <si>
    <t>6.</t>
  </si>
  <si>
    <t>99,23*22%</t>
  </si>
  <si>
    <t>28,91+99,23+26,85+21,83+18,16</t>
  </si>
  <si>
    <t>194,98*24 год</t>
  </si>
  <si>
    <t>4679,52/14 осіб переб у відділ.</t>
  </si>
  <si>
    <t>334,26 (4679,52/14)+200,00 грн</t>
  </si>
  <si>
    <t>14,56+9,61+2,68</t>
  </si>
  <si>
    <t xml:space="preserve">Соціально-педагогічна послуга "Університет третього віку"                   </t>
  </si>
  <si>
    <t xml:space="preserve"> Соціальна послуга Консультування</t>
  </si>
  <si>
    <t>7.</t>
  </si>
  <si>
    <t>8.</t>
  </si>
  <si>
    <t>мова</t>
  </si>
  <si>
    <t>переглянути</t>
  </si>
  <si>
    <t xml:space="preserve">Апаратний масаж для ніг </t>
  </si>
  <si>
    <t>3.1.11.</t>
  </si>
  <si>
    <t>Виконавець: Соціальний робітник</t>
  </si>
  <si>
    <t>7. Соціальна послуга - натуральна допомога (код 019.0)</t>
  </si>
  <si>
    <t>8. Соціальна послуга - натуральна допомога (код 019.0)</t>
  </si>
  <si>
    <t xml:space="preserve">Гр </t>
  </si>
  <si>
    <t>Організація відвідування театру (10 осіб)</t>
  </si>
  <si>
    <t>Факультет "Основи вивчення смартфону" (кабінет №16)</t>
  </si>
  <si>
    <t>Факультет "Крою, пошиття та ремонту одягу" (кабінет №16)</t>
  </si>
  <si>
    <t>Факультети "Польська мова", "Німецька мова", "Правознавство", "Історія", "Психологія" (аудиторія №11)</t>
  </si>
  <si>
    <t>Факультет "Театр та спів" (кабінет №16)</t>
  </si>
  <si>
    <t>Факультети "Основи збереження здоров'я",  "Хореографія", "Хоровий спів", "Вокальний спів", "Оздоровча аеробіка та фітнес", "Танцювальний фітнес", "Скандинавська ходьба" (актова зала)</t>
  </si>
  <si>
    <t>Факультети "Обазотворче мистецтво", "Академічний малюнок"  (актова зала)</t>
  </si>
  <si>
    <t>Факультет "Основи володіння оргтехнікою" (кабінет №19)</t>
  </si>
  <si>
    <t>0,58+0,39</t>
  </si>
  <si>
    <t>Факультети "Польська мова", "Німецька мова", "Правознавство", "Історія", "Психологія"  (15 осіб)</t>
  </si>
  <si>
    <t>Факультет "Основи вивчення смартфону" (15 осіб)</t>
  </si>
  <si>
    <t>Факультет "Крою, пошиття та ремонту одягу (15 осіб)</t>
  </si>
  <si>
    <t>Факультет "Театр та спів"  (15 осіб)</t>
  </si>
  <si>
    <t>Факультети "Основи збереження здоров'я",  "Хореографія", "Хоровий спів", "Вокальний спів", "Оздоровча аеробіка та фітнес", "Танцювальний фітнес", "Скандинавська ходьба" (15 осіб)</t>
  </si>
  <si>
    <t>Факультети "Обазотворче мистецтво", "Академічний малюнок"  (15 осіб)</t>
  </si>
  <si>
    <t>Факультет "Основи володіння оргтехнікою" (15 осіб)</t>
  </si>
  <si>
    <t>Факультети "Англійська мова", "Українська мова", Живопису", "Основи християнської етики", "Італійська мова", "Агроландшафт" (15 осіб)</t>
  </si>
  <si>
    <t>Факультети "Англійська мова", "Українська мова", Живопису", "Основи християнської етики", "Італійська мова", "Агроландшафт"  (аудиторія №12)</t>
  </si>
  <si>
    <t>Соціальна послуга - Консультування (код 002.0)</t>
  </si>
  <si>
    <t xml:space="preserve">Факультети "Польська мова", "Німецька мова", "Правознавство", "Історія", "Психологія" </t>
  </si>
  <si>
    <t xml:space="preserve">Факультети "Англійська мова", "Українська мова", Живопису", "Основи християнської етики", "Італійська мова", "Агроландшафт" </t>
  </si>
  <si>
    <t>3. Соціальна послуга - Консультування (код 002.0)</t>
  </si>
  <si>
    <t>2. Соціальна послуга- цілодобовий догляд</t>
  </si>
  <si>
    <t>4. Соціальна-педагогічна послуга - Університет третього віку</t>
  </si>
  <si>
    <t>5. Соціальна-педагогічна послуга - Університет третього віку</t>
  </si>
  <si>
    <t>6. Соціальна-педагогічна послуга - Університет третього віку</t>
  </si>
  <si>
    <t xml:space="preserve">Факультет "Основи вивчення смартфону" </t>
  </si>
  <si>
    <t>7. Соціальна-педагогічна послуга - Університет третього віку</t>
  </si>
  <si>
    <t>Факультет "Крою, пошиття та ремонту одягу"</t>
  </si>
  <si>
    <t>8. Соціальна-педагогічна послуга - Університет третього віку</t>
  </si>
  <si>
    <t>Факультет "Театр та спів"</t>
  </si>
  <si>
    <t>9. Соціальна-педагогічна послуга - Університет третього віку</t>
  </si>
  <si>
    <t>Факультети "Основи збереження здоров'я",  "Хореографія", "Хоровий спів", "Вокальний спів", "Оздоровча аеробіка та фітнес", "Танцювальний фітнес", "Скандинавська ходьба"</t>
  </si>
  <si>
    <t>10. Соціальна-педагогічна послуга - Університет третього віку</t>
  </si>
  <si>
    <t xml:space="preserve">Факультети "Обазотворче мистецтво", "Академічний малюнок" </t>
  </si>
  <si>
    <t>11. Соціальна-педагогічна послуга - Університет третього віку</t>
  </si>
  <si>
    <t>Факультет "Основи володіння оргтехнікою"</t>
  </si>
  <si>
    <t>1.  Процедура апаратом "Корона"</t>
  </si>
  <si>
    <t>9.  Соціальна послуга - денний догляд (код 015.3)</t>
  </si>
  <si>
    <t>11. Соціальна послуга - денний догляд (код 015.3)</t>
  </si>
  <si>
    <t>Соціальна послуга  - цілодобовий догляд</t>
  </si>
  <si>
    <t>Заступник міського голови</t>
  </si>
  <si>
    <t xml:space="preserve">Додаток 2 </t>
  </si>
  <si>
    <t xml:space="preserve">Додаток 1 </t>
  </si>
  <si>
    <t>до рішення виконавчого комітету                                від 24.04.2025 № 581</t>
  </si>
  <si>
    <t>до рішення виконавчого комітету                               від 24.04.2025 № 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</si>
</sst>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"/>
    <numFmt numFmtId="165" formatCode="0.0"/>
    <numFmt numFmtId="166" formatCode="#,##0.000"/>
    <numFmt numFmtId="167" formatCode="0.0%"/>
    <numFmt numFmtId="168" formatCode="#,##0.0000"/>
    <numFmt numFmtId="169" formatCode="0.000"/>
    <numFmt numFmtId="170" formatCode="0.00000"/>
    <numFmt numFmtId="171" formatCode="0.0000"/>
    <numFmt numFmtId="172" formatCode="#,##0.00\ _₽"/>
    <numFmt numFmtId="173" formatCode="0.00000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10"/>
      <color indexed="63"/>
      <name val="Arial Unicode MS"/>
      <family val="2"/>
      <charset val="204"/>
    </font>
    <font>
      <b/>
      <sz val="10"/>
      <color indexed="6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7" tint="0.3999755851924192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sz val="12"/>
      <color theme="1"/>
      <name val="Traditional Arabic"/>
      <family val="1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raditional Arabic"/>
      <family val="1"/>
    </font>
    <font>
      <i/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7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36" fillId="0" borderId="0"/>
    <xf numFmtId="9" fontId="36" fillId="0" borderId="0" applyFont="0" applyFill="0" applyBorder="0" applyAlignment="0" applyProtection="0"/>
    <xf numFmtId="0" fontId="45" fillId="0" borderId="0"/>
    <xf numFmtId="0" fontId="36" fillId="0" borderId="0"/>
    <xf numFmtId="0" fontId="1" fillId="0" borderId="0"/>
    <xf numFmtId="0" fontId="74" fillId="0" borderId="0"/>
  </cellStyleXfs>
  <cellXfs count="1268"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right"/>
    </xf>
    <xf numFmtId="2" fontId="17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9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2" fontId="23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2" fontId="1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0" xfId="0" applyFont="1"/>
    <xf numFmtId="0" fontId="24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/>
    <xf numFmtId="0" fontId="18" fillId="0" borderId="7" xfId="0" applyFont="1" applyBorder="1"/>
    <xf numFmtId="0" fontId="20" fillId="0" borderId="7" xfId="0" applyFont="1" applyBorder="1" applyAlignment="1">
      <alignment vertical="center" wrapText="1"/>
    </xf>
    <xf numFmtId="0" fontId="19" fillId="0" borderId="0" xfId="0" applyFont="1"/>
    <xf numFmtId="2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/>
    <xf numFmtId="4" fontId="19" fillId="0" borderId="0" xfId="0" applyNumberFormat="1" applyFont="1"/>
    <xf numFmtId="0" fontId="18" fillId="0" borderId="1" xfId="0" applyFont="1" applyBorder="1"/>
    <xf numFmtId="164" fontId="19" fillId="0" borderId="0" xfId="0" applyNumberFormat="1" applyFont="1"/>
    <xf numFmtId="2" fontId="2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68" fontId="19" fillId="0" borderId="0" xfId="0" applyNumberFormat="1" applyFont="1"/>
    <xf numFmtId="0" fontId="18" fillId="0" borderId="0" xfId="0" applyFont="1" applyAlignment="1">
      <alignment vertical="center"/>
    </xf>
    <xf numFmtId="2" fontId="18" fillId="0" borderId="0" xfId="0" applyNumberFormat="1" applyFont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wrapText="1"/>
    </xf>
    <xf numFmtId="2" fontId="25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164" fontId="18" fillId="0" borderId="0" xfId="0" applyNumberFormat="1" applyFont="1"/>
    <xf numFmtId="0" fontId="2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2" fillId="0" borderId="0" xfId="3" applyFont="1"/>
    <xf numFmtId="0" fontId="21" fillId="0" borderId="1" xfId="3" applyFont="1" applyBorder="1"/>
    <xf numFmtId="0" fontId="21" fillId="0" borderId="1" xfId="3" applyFont="1" applyBorder="1" applyAlignment="1">
      <alignment horizontal="center"/>
    </xf>
    <xf numFmtId="0" fontId="21" fillId="0" borderId="0" xfId="3" applyFont="1"/>
    <xf numFmtId="0" fontId="2" fillId="0" borderId="1" xfId="3" applyFont="1" applyBorder="1"/>
    <xf numFmtId="2" fontId="2" fillId="0" borderId="1" xfId="3" applyNumberFormat="1" applyFont="1" applyBorder="1"/>
    <xf numFmtId="0" fontId="8" fillId="0" borderId="0" xfId="3" applyFont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2" fontId="21" fillId="0" borderId="1" xfId="3" applyNumberFormat="1" applyFont="1" applyBorder="1"/>
    <xf numFmtId="0" fontId="2" fillId="0" borderId="1" xfId="3" applyFont="1" applyBorder="1" applyAlignment="1">
      <alignment horizontal="center" vertical="center"/>
    </xf>
    <xf numFmtId="2" fontId="2" fillId="0" borderId="1" xfId="3" applyNumberFormat="1" applyFont="1" applyBorder="1" applyAlignment="1">
      <alignment horizontal="center" vertical="center"/>
    </xf>
    <xf numFmtId="0" fontId="2" fillId="0" borderId="0" xfId="3" applyFont="1" applyAlignment="1">
      <alignment vertical="center" wrapText="1"/>
    </xf>
    <xf numFmtId="0" fontId="11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center" vertical="center" wrapText="1"/>
    </xf>
    <xf numFmtId="0" fontId="3" fillId="0" borderId="0" xfId="3" applyFont="1" applyAlignment="1">
      <alignment wrapText="1"/>
    </xf>
    <xf numFmtId="0" fontId="28" fillId="0" borderId="0" xfId="3" applyFont="1" applyAlignment="1">
      <alignment wrapText="1"/>
    </xf>
    <xf numFmtId="2" fontId="20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/>
    <xf numFmtId="0" fontId="8" fillId="0" borderId="1" xfId="3" applyFont="1" applyBorder="1" applyAlignment="1">
      <alignment wrapText="1"/>
    </xf>
    <xf numFmtId="0" fontId="2" fillId="0" borderId="0" xfId="3" applyFont="1" applyAlignment="1">
      <alignment horizontal="left" vertical="center" wrapText="1"/>
    </xf>
    <xf numFmtId="0" fontId="9" fillId="0" borderId="1" xfId="3" applyFont="1" applyBorder="1" applyAlignment="1">
      <alignment wrapText="1"/>
    </xf>
    <xf numFmtId="0" fontId="4" fillId="0" borderId="1" xfId="3" applyFont="1" applyBorder="1" applyAlignment="1">
      <alignment horizontal="center" vertical="center" wrapText="1"/>
    </xf>
    <xf numFmtId="2" fontId="2" fillId="0" borderId="0" xfId="3" applyNumberFormat="1" applyFont="1"/>
    <xf numFmtId="9" fontId="11" fillId="0" borderId="1" xfId="3" applyNumberFormat="1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37" fillId="0" borderId="1" xfId="3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left" vertical="center" wrapText="1"/>
    </xf>
    <xf numFmtId="2" fontId="11" fillId="0" borderId="0" xfId="3" applyNumberFormat="1" applyFont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vertical="center" wrapText="1"/>
    </xf>
    <xf numFmtId="0" fontId="2" fillId="0" borderId="1" xfId="3" applyFont="1" applyBorder="1" applyAlignment="1">
      <alignment horizontal="center" vertical="center" wrapText="1"/>
    </xf>
    <xf numFmtId="2" fontId="2" fillId="0" borderId="1" xfId="3" applyNumberFormat="1" applyFont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 wrapText="1"/>
    </xf>
    <xf numFmtId="165" fontId="2" fillId="0" borderId="1" xfId="3" applyNumberFormat="1" applyFont="1" applyBorder="1" applyAlignment="1">
      <alignment horizontal="center" vertical="center"/>
    </xf>
    <xf numFmtId="0" fontId="39" fillId="0" borderId="0" xfId="0" applyFont="1"/>
    <xf numFmtId="0" fontId="31" fillId="5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42" fillId="0" borderId="0" xfId="0" applyFont="1"/>
    <xf numFmtId="4" fontId="42" fillId="0" borderId="0" xfId="0" applyNumberFormat="1" applyFont="1"/>
    <xf numFmtId="17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left"/>
    </xf>
    <xf numFmtId="0" fontId="4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horizontal="left"/>
    </xf>
    <xf numFmtId="3" fontId="0" fillId="0" borderId="0" xfId="0" applyNumberFormat="1" applyAlignment="1">
      <alignment wrapText="1"/>
    </xf>
    <xf numFmtId="3" fontId="0" fillId="0" borderId="0" xfId="0" applyNumberFormat="1"/>
    <xf numFmtId="4" fontId="0" fillId="0" borderId="0" xfId="0" applyNumberFormat="1"/>
    <xf numFmtId="171" fontId="0" fillId="0" borderId="0" xfId="0" applyNumberFormat="1"/>
    <xf numFmtId="0" fontId="44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/>
    </xf>
    <xf numFmtId="3" fontId="2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9" fontId="2" fillId="0" borderId="1" xfId="3" applyNumberFormat="1" applyFont="1" applyBorder="1" applyAlignment="1">
      <alignment horizontal="center" vertical="center" wrapText="1"/>
    </xf>
    <xf numFmtId="0" fontId="2" fillId="0" borderId="0" xfId="5" applyFont="1" applyAlignment="1">
      <alignment vertical="center"/>
    </xf>
    <xf numFmtId="0" fontId="2" fillId="0" borderId="0" xfId="5" applyFont="1" applyAlignment="1">
      <alignment horizontal="left" vertical="center"/>
    </xf>
    <xf numFmtId="0" fontId="21" fillId="0" borderId="0" xfId="5" applyFont="1" applyAlignment="1">
      <alignment horizontal="left"/>
    </xf>
    <xf numFmtId="0" fontId="11" fillId="0" borderId="0" xfId="5" applyFont="1"/>
    <xf numFmtId="0" fontId="11" fillId="0" borderId="0" xfId="5" applyFont="1" applyAlignment="1">
      <alignment vertical="center" wrapText="1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4" fillId="0" borderId="1" xfId="5" applyFont="1" applyBorder="1" applyAlignment="1">
      <alignment horizontal="center" vertical="center" wrapText="1"/>
    </xf>
    <xf numFmtId="0" fontId="37" fillId="0" borderId="1" xfId="5" applyFont="1" applyBorder="1" applyAlignment="1">
      <alignment vertical="center" wrapText="1"/>
    </xf>
    <xf numFmtId="0" fontId="11" fillId="0" borderId="1" xfId="5" applyFont="1" applyBorder="1" applyAlignment="1">
      <alignment horizontal="center" vertical="center" wrapText="1"/>
    </xf>
    <xf numFmtId="9" fontId="11" fillId="0" borderId="1" xfId="5" applyNumberFormat="1" applyFont="1" applyBorder="1" applyAlignment="1">
      <alignment horizontal="center" vertical="center" wrapText="1"/>
    </xf>
    <xf numFmtId="2" fontId="2" fillId="0" borderId="0" xfId="5" applyNumberFormat="1" applyFont="1" applyAlignment="1">
      <alignment vertical="center"/>
    </xf>
    <xf numFmtId="0" fontId="11" fillId="0" borderId="1" xfId="5" applyFont="1" applyBorder="1" applyAlignment="1">
      <alignment vertical="center" wrapText="1"/>
    </xf>
    <xf numFmtId="0" fontId="4" fillId="0" borderId="1" xfId="5" applyFont="1" applyBorder="1" applyAlignment="1">
      <alignment vertical="center" wrapText="1"/>
    </xf>
    <xf numFmtId="10" fontId="11" fillId="0" borderId="1" xfId="5" applyNumberFormat="1" applyFont="1" applyBorder="1" applyAlignment="1">
      <alignment horizontal="center" vertical="center" wrapText="1"/>
    </xf>
    <xf numFmtId="0" fontId="11" fillId="0" borderId="0" xfId="5" applyFont="1" applyAlignment="1">
      <alignment horizontal="left" vertical="center" wrapText="1"/>
    </xf>
    <xf numFmtId="10" fontId="11" fillId="0" borderId="0" xfId="5" applyNumberFormat="1" applyFont="1" applyAlignment="1">
      <alignment horizontal="center" vertical="center" wrapText="1"/>
    </xf>
    <xf numFmtId="0" fontId="11" fillId="0" borderId="0" xfId="5" applyFont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11" fillId="0" borderId="1" xfId="5" applyFont="1" applyBorder="1" applyAlignment="1">
      <alignment horizontal="left" vertical="center" wrapText="1"/>
    </xf>
    <xf numFmtId="0" fontId="11" fillId="2" borderId="1" xfId="5" applyFont="1" applyFill="1" applyBorder="1" applyAlignment="1">
      <alignment horizontal="center" vertical="center" wrapText="1"/>
    </xf>
    <xf numFmtId="165" fontId="11" fillId="2" borderId="1" xfId="5" applyNumberFormat="1" applyFont="1" applyFill="1" applyBorder="1" applyAlignment="1">
      <alignment horizontal="center" vertical="center" wrapText="1"/>
    </xf>
    <xf numFmtId="2" fontId="4" fillId="2" borderId="1" xfId="5" applyNumberFormat="1" applyFont="1" applyFill="1" applyBorder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4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 wrapText="1"/>
    </xf>
    <xf numFmtId="0" fontId="37" fillId="0" borderId="1" xfId="5" applyFont="1" applyBorder="1" applyAlignment="1">
      <alignment horizontal="center" vertical="center" wrapText="1"/>
    </xf>
    <xf numFmtId="2" fontId="11" fillId="2" borderId="1" xfId="5" applyNumberFormat="1" applyFont="1" applyFill="1" applyBorder="1" applyAlignment="1">
      <alignment horizontal="center" vertical="center" wrapText="1"/>
    </xf>
    <xf numFmtId="2" fontId="11" fillId="2" borderId="0" xfId="5" applyNumberFormat="1" applyFont="1" applyFill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/>
    </xf>
    <xf numFmtId="2" fontId="8" fillId="0" borderId="0" xfId="5" applyNumberFormat="1" applyFont="1" applyAlignment="1">
      <alignment horizontal="center" vertical="center" wrapText="1"/>
    </xf>
    <xf numFmtId="0" fontId="2" fillId="0" borderId="0" xfId="5" applyFont="1" applyAlignment="1">
      <alignment vertical="center" wrapText="1"/>
    </xf>
    <xf numFmtId="0" fontId="8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2" fontId="19" fillId="2" borderId="0" xfId="0" applyNumberFormat="1" applyFont="1" applyFill="1" applyAlignment="1">
      <alignment horizontal="center" vertical="center"/>
    </xf>
    <xf numFmtId="165" fontId="18" fillId="2" borderId="0" xfId="0" applyNumberFormat="1" applyFont="1" applyFill="1" applyAlignment="1">
      <alignment horizontal="center" vertical="center"/>
    </xf>
    <xf numFmtId="2" fontId="23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wrapText="1"/>
    </xf>
    <xf numFmtId="2" fontId="35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vertical="top" wrapText="1"/>
    </xf>
    <xf numFmtId="0" fontId="18" fillId="2" borderId="0" xfId="0" applyFont="1" applyFill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/>
    </xf>
    <xf numFmtId="0" fontId="34" fillId="2" borderId="0" xfId="0" applyFont="1" applyFill="1"/>
    <xf numFmtId="165" fontId="19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wrapText="1"/>
    </xf>
    <xf numFmtId="2" fontId="28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165" fontId="28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/>
    <xf numFmtId="0" fontId="27" fillId="0" borderId="0" xfId="0" applyFont="1"/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17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5" fillId="0" borderId="1" xfId="7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172" fontId="17" fillId="0" borderId="0" xfId="0" applyNumberFormat="1" applyFont="1"/>
    <xf numFmtId="2" fontId="17" fillId="0" borderId="0" xfId="0" applyNumberFormat="1" applyFont="1"/>
    <xf numFmtId="0" fontId="34" fillId="0" borderId="1" xfId="0" applyFont="1" applyBorder="1" applyAlignment="1">
      <alignment vertical="top" wrapText="1"/>
    </xf>
    <xf numFmtId="2" fontId="17" fillId="0" borderId="1" xfId="0" applyNumberFormat="1" applyFont="1" applyBorder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top"/>
    </xf>
    <xf numFmtId="0" fontId="27" fillId="0" borderId="1" xfId="0" applyFont="1" applyBorder="1" applyAlignment="1">
      <alignment vertical="center"/>
    </xf>
    <xf numFmtId="9" fontId="2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/>
    <xf numFmtId="0" fontId="27" fillId="0" borderId="0" xfId="0" applyFont="1" applyAlignment="1">
      <alignment vertical="center"/>
    </xf>
    <xf numFmtId="2" fontId="49" fillId="0" borderId="0" xfId="0" applyNumberFormat="1" applyFont="1" applyAlignment="1">
      <alignment horizontal="center" vertical="center"/>
    </xf>
    <xf numFmtId="2" fontId="49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27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2" fontId="49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8" fillId="2" borderId="1" xfId="5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7" fillId="0" borderId="0" xfId="0" applyFont="1" applyAlignment="1">
      <alignment horizontal="right"/>
    </xf>
    <xf numFmtId="2" fontId="17" fillId="0" borderId="0" xfId="0" applyNumberFormat="1" applyFont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7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165" fontId="20" fillId="0" borderId="1" xfId="0" applyNumberFormat="1" applyFont="1" applyBorder="1"/>
    <xf numFmtId="0" fontId="3" fillId="0" borderId="1" xfId="7" applyFont="1" applyBorder="1" applyAlignment="1">
      <alignment horizontal="center" vertical="center" wrapText="1"/>
    </xf>
    <xf numFmtId="165" fontId="3" fillId="0" borderId="1" xfId="0" applyNumberFormat="1" applyFont="1" applyBorder="1"/>
    <xf numFmtId="0" fontId="50" fillId="0" borderId="0" xfId="0" applyFont="1"/>
    <xf numFmtId="0" fontId="46" fillId="0" borderId="0" xfId="0" applyFont="1" applyAlignment="1">
      <alignment horizontal="left" wrapText="1"/>
    </xf>
    <xf numFmtId="49" fontId="3" fillId="5" borderId="0" xfId="0" applyNumberFormat="1" applyFont="1" applyFill="1" applyAlignment="1">
      <alignment horizontal="center" vertical="top" wrapText="1"/>
    </xf>
    <xf numFmtId="0" fontId="25" fillId="0" borderId="0" xfId="0" applyFont="1" applyAlignment="1">
      <alignment vertical="center" wrapText="1"/>
    </xf>
    <xf numFmtId="0" fontId="11" fillId="0" borderId="8" xfId="5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69" fontId="27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0" fontId="49" fillId="0" borderId="0" xfId="0" applyFont="1"/>
    <xf numFmtId="0" fontId="27" fillId="0" borderId="6" xfId="0" applyFont="1" applyBorder="1"/>
    <xf numFmtId="2" fontId="7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9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vertical="top" wrapText="1"/>
    </xf>
    <xf numFmtId="9" fontId="27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left"/>
    </xf>
    <xf numFmtId="0" fontId="14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2" fontId="27" fillId="0" borderId="0" xfId="0" applyNumberFormat="1" applyFont="1"/>
    <xf numFmtId="0" fontId="16" fillId="0" borderId="0" xfId="0" applyFont="1" applyAlignment="1">
      <alignment horizontal="center" wrapText="1"/>
    </xf>
    <xf numFmtId="0" fontId="49" fillId="0" borderId="0" xfId="0" applyFont="1" applyAlignment="1">
      <alignment horizontal="center" vertical="center"/>
    </xf>
    <xf numFmtId="3" fontId="49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0" fontId="27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72" fontId="17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vertical="top" wrapText="1"/>
    </xf>
    <xf numFmtId="0" fontId="52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16" fontId="1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7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49" fontId="17" fillId="5" borderId="0" xfId="0" applyNumberFormat="1" applyFont="1" applyFill="1" applyAlignment="1">
      <alignment horizontal="right" vertical="top" wrapText="1"/>
    </xf>
    <xf numFmtId="49" fontId="3" fillId="5" borderId="0" xfId="0" applyNumberFormat="1" applyFont="1" applyFill="1" applyAlignment="1">
      <alignment horizontal="right" vertical="top" wrapText="1"/>
    </xf>
    <xf numFmtId="0" fontId="3" fillId="0" borderId="0" xfId="3" applyFont="1" applyAlignment="1">
      <alignment horizontal="right" vertical="top" wrapText="1"/>
    </xf>
    <xf numFmtId="0" fontId="3" fillId="0" borderId="0" xfId="3" applyFont="1" applyAlignment="1">
      <alignment horizontal="right" vertical="center" wrapText="1"/>
    </xf>
    <xf numFmtId="0" fontId="17" fillId="0" borderId="0" xfId="0" applyFont="1" applyAlignment="1">
      <alignment horizontal="right" wrapText="1"/>
    </xf>
    <xf numFmtId="1" fontId="17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2" fontId="11" fillId="0" borderId="1" xfId="5" applyNumberFormat="1" applyFont="1" applyBorder="1" applyAlignment="1">
      <alignment horizontal="center" vertical="center" wrapText="1"/>
    </xf>
    <xf numFmtId="167" fontId="19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top"/>
    </xf>
    <xf numFmtId="0" fontId="47" fillId="0" borderId="1" xfId="0" applyFont="1" applyBorder="1" applyAlignment="1">
      <alignment horizontal="center" vertical="center" wrapText="1"/>
    </xf>
    <xf numFmtId="0" fontId="46" fillId="0" borderId="1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center" vertical="center" wrapText="1"/>
    </xf>
    <xf numFmtId="0" fontId="46" fillId="0" borderId="1" xfId="3" applyFont="1" applyBorder="1" applyAlignment="1">
      <alignment horizontal="center" vertical="center" wrapText="1"/>
    </xf>
    <xf numFmtId="2" fontId="46" fillId="0" borderId="1" xfId="3" applyNumberFormat="1" applyFont="1" applyBorder="1" applyAlignment="1">
      <alignment horizontal="center" vertical="center" wrapText="1"/>
    </xf>
    <xf numFmtId="169" fontId="46" fillId="0" borderId="1" xfId="3" applyNumberFormat="1" applyFont="1" applyBorder="1" applyAlignment="1">
      <alignment horizontal="center" vertical="center" wrapText="1"/>
    </xf>
    <xf numFmtId="2" fontId="37" fillId="0" borderId="1" xfId="3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46" fillId="0" borderId="2" xfId="3" applyNumberFormat="1" applyFont="1" applyBorder="1" applyAlignment="1">
      <alignment horizontal="center" vertical="center" wrapText="1"/>
    </xf>
    <xf numFmtId="2" fontId="21" fillId="0" borderId="0" xfId="3" applyNumberFormat="1" applyFont="1" applyAlignment="1">
      <alignment horizontal="center"/>
    </xf>
    <xf numFmtId="0" fontId="4" fillId="0" borderId="0" xfId="3" applyFont="1" applyAlignment="1">
      <alignment wrapText="1"/>
    </xf>
    <xf numFmtId="0" fontId="4" fillId="0" borderId="0" xfId="3" applyFont="1"/>
    <xf numFmtId="1" fontId="2" fillId="0" borderId="0" xfId="5" applyNumberFormat="1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left" vertical="center" wrapText="1"/>
    </xf>
    <xf numFmtId="2" fontId="7" fillId="0" borderId="5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4" fillId="0" borderId="0" xfId="3" applyFont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/>
    <xf numFmtId="0" fontId="16" fillId="0" borderId="1" xfId="0" applyFont="1" applyBorder="1" applyAlignment="1">
      <alignment horizontal="center"/>
    </xf>
    <xf numFmtId="169" fontId="1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/>
    </xf>
    <xf numFmtId="2" fontId="42" fillId="0" borderId="0" xfId="0" applyNumberFormat="1" applyFont="1" applyAlignment="1">
      <alignment horizontal="left" vertical="center"/>
    </xf>
    <xf numFmtId="4" fontId="42" fillId="0" borderId="0" xfId="0" applyNumberFormat="1" applyFont="1" applyAlignment="1">
      <alignment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0" fillId="0" borderId="10" xfId="0" applyFont="1" applyBorder="1"/>
    <xf numFmtId="0" fontId="0" fillId="0" borderId="10" xfId="0" applyBorder="1"/>
    <xf numFmtId="0" fontId="14" fillId="0" borderId="4" xfId="0" applyFont="1" applyBorder="1" applyAlignment="1">
      <alignment horizontal="left" vertical="center"/>
    </xf>
    <xf numFmtId="0" fontId="14" fillId="0" borderId="1" xfId="0" applyFont="1" applyBorder="1"/>
    <xf numFmtId="0" fontId="56" fillId="0" borderId="1" xfId="0" applyFont="1" applyBorder="1" applyAlignment="1">
      <alignment horizontal="left"/>
    </xf>
    <xf numFmtId="2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6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169" fontId="27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2" fontId="11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59" fillId="0" borderId="0" xfId="0" applyFont="1"/>
    <xf numFmtId="2" fontId="7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wrapText="1"/>
    </xf>
    <xf numFmtId="0" fontId="17" fillId="2" borderId="0" xfId="0" applyFont="1" applyFill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2" fontId="0" fillId="0" borderId="0" xfId="0" applyNumberFormat="1"/>
    <xf numFmtId="0" fontId="10" fillId="0" borderId="0" xfId="0" applyFont="1" applyAlignment="1">
      <alignment wrapText="1"/>
    </xf>
    <xf numFmtId="9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left"/>
    </xf>
    <xf numFmtId="0" fontId="4" fillId="0" borderId="0" xfId="3" applyFont="1" applyAlignment="1">
      <alignment horizontal="left" vertical="center" wrapText="1"/>
    </xf>
    <xf numFmtId="2" fontId="11" fillId="0" borderId="4" xfId="5" applyNumberFormat="1" applyFont="1" applyBorder="1" applyAlignment="1">
      <alignment vertical="center" wrapText="1"/>
    </xf>
    <xf numFmtId="2" fontId="11" fillId="0" borderId="6" xfId="5" applyNumberFormat="1" applyFont="1" applyBorder="1" applyAlignment="1">
      <alignment vertical="center" wrapText="1"/>
    </xf>
    <xf numFmtId="9" fontId="11" fillId="0" borderId="4" xfId="5" applyNumberFormat="1" applyFont="1" applyBorder="1" applyAlignment="1">
      <alignment horizontal="center" vertical="center" wrapText="1"/>
    </xf>
    <xf numFmtId="2" fontId="11" fillId="0" borderId="5" xfId="5" applyNumberFormat="1" applyFont="1" applyBorder="1" applyAlignment="1">
      <alignment horizontal="center" vertical="center" wrapText="1"/>
    </xf>
    <xf numFmtId="0" fontId="2" fillId="0" borderId="12" xfId="5" applyFont="1" applyBorder="1" applyAlignment="1">
      <alignment vertical="center"/>
    </xf>
    <xf numFmtId="2" fontId="4" fillId="0" borderId="4" xfId="5" applyNumberFormat="1" applyFont="1" applyBorder="1" applyAlignment="1">
      <alignment vertical="center" wrapText="1"/>
    </xf>
    <xf numFmtId="2" fontId="4" fillId="0" borderId="6" xfId="5" applyNumberFormat="1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/>
    </xf>
    <xf numFmtId="2" fontId="11" fillId="0" borderId="6" xfId="5" applyNumberFormat="1" applyFont="1" applyBorder="1" applyAlignment="1">
      <alignment horizontal="center" vertical="center" wrapText="1"/>
    </xf>
    <xf numFmtId="2" fontId="4" fillId="0" borderId="6" xfId="5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2" fontId="4" fillId="0" borderId="1" xfId="3" applyNumberFormat="1" applyFont="1" applyBorder="1" applyAlignment="1">
      <alignment horizontal="center" vertical="center" wrapText="1"/>
    </xf>
    <xf numFmtId="0" fontId="7" fillId="0" borderId="1" xfId="0" applyFont="1" applyBorder="1"/>
    <xf numFmtId="2" fontId="1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0" borderId="0" xfId="5" applyFont="1" applyAlignment="1">
      <alignment horizontal="left" vertical="center" wrapText="1"/>
    </xf>
    <xf numFmtId="2" fontId="4" fillId="2" borderId="0" xfId="5" applyNumberFormat="1" applyFont="1" applyFill="1" applyAlignment="1">
      <alignment horizontal="center" vertical="center" wrapText="1"/>
    </xf>
    <xf numFmtId="0" fontId="2" fillId="0" borderId="4" xfId="5" applyFont="1" applyBorder="1" applyAlignment="1">
      <alignment vertic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vertical="center" wrapText="1"/>
    </xf>
    <xf numFmtId="2" fontId="10" fillId="0" borderId="0" xfId="0" applyNumberFormat="1" applyFont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2" fontId="27" fillId="0" borderId="4" xfId="0" applyNumberFormat="1" applyFont="1" applyBorder="1"/>
    <xf numFmtId="2" fontId="16" fillId="0" borderId="2" xfId="0" applyNumberFormat="1" applyFont="1" applyBorder="1" applyAlignment="1">
      <alignment horizontal="center" vertical="center"/>
    </xf>
    <xf numFmtId="2" fontId="49" fillId="0" borderId="15" xfId="0" applyNumberFormat="1" applyFont="1" applyBorder="1" applyAlignment="1">
      <alignment horizontal="center"/>
    </xf>
    <xf numFmtId="0" fontId="27" fillId="0" borderId="4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9" fontId="17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0" fontId="11" fillId="0" borderId="1" xfId="3" applyFont="1" applyBorder="1" applyAlignment="1">
      <alignment horizontal="left" vertical="center" wrapText="1"/>
    </xf>
    <xf numFmtId="0" fontId="21" fillId="0" borderId="14" xfId="3" applyFont="1" applyBorder="1" applyAlignment="1">
      <alignment horizontal="center" vertical="center" wrapText="1"/>
    </xf>
    <xf numFmtId="0" fontId="55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3" applyFont="1" applyAlignment="1">
      <alignment wrapText="1"/>
    </xf>
    <xf numFmtId="0" fontId="63" fillId="0" borderId="0" xfId="0" applyFont="1"/>
    <xf numFmtId="2" fontId="0" fillId="0" borderId="1" xfId="0" applyNumberFormat="1" applyBorder="1"/>
    <xf numFmtId="2" fontId="50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" fontId="35" fillId="0" borderId="1" xfId="7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57" fillId="0" borderId="0" xfId="0" applyFont="1" applyAlignment="1">
      <alignment wrapText="1"/>
    </xf>
    <xf numFmtId="0" fontId="49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left"/>
    </xf>
    <xf numFmtId="2" fontId="48" fillId="6" borderId="0" xfId="0" applyNumberFormat="1" applyFont="1" applyFill="1" applyAlignment="1">
      <alignment horizontal="center"/>
    </xf>
    <xf numFmtId="2" fontId="17" fillId="0" borderId="0" xfId="0" applyNumberFormat="1" applyFont="1" applyAlignment="1">
      <alignment horizontal="center" vertical="center" wrapText="1"/>
    </xf>
    <xf numFmtId="2" fontId="4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8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top"/>
    </xf>
    <xf numFmtId="0" fontId="17" fillId="2" borderId="0" xfId="0" applyFont="1" applyFill="1" applyAlignment="1">
      <alignment horizontal="left" vertical="top" wrapText="1"/>
    </xf>
    <xf numFmtId="2" fontId="18" fillId="0" borderId="1" xfId="0" applyNumberFormat="1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2" fontId="46" fillId="0" borderId="0" xfId="3" applyNumberFormat="1" applyFont="1" applyAlignment="1">
      <alignment horizontal="center" vertical="center" wrapText="1"/>
    </xf>
    <xf numFmtId="0" fontId="46" fillId="0" borderId="0" xfId="3" applyFont="1" applyAlignment="1">
      <alignment horizontal="left" vertical="center" wrapText="1"/>
    </xf>
    <xf numFmtId="0" fontId="37" fillId="0" borderId="0" xfId="3" applyFont="1" applyAlignment="1">
      <alignment horizontal="center" vertical="center" wrapText="1"/>
    </xf>
    <xf numFmtId="0" fontId="46" fillId="0" borderId="0" xfId="3" applyFont="1" applyAlignment="1">
      <alignment horizontal="center" vertical="center" wrapText="1"/>
    </xf>
    <xf numFmtId="0" fontId="46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left" vertical="center" wrapText="1"/>
    </xf>
    <xf numFmtId="0" fontId="21" fillId="0" borderId="2" xfId="3" applyFont="1" applyBorder="1" applyAlignment="1">
      <alignment horizontal="center" vertical="center" wrapText="1"/>
    </xf>
    <xf numFmtId="0" fontId="21" fillId="0" borderId="20" xfId="3" applyFont="1" applyBorder="1" applyAlignment="1">
      <alignment horizontal="left" vertical="center" wrapText="1"/>
    </xf>
    <xf numFmtId="0" fontId="21" fillId="0" borderId="16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 wrapText="1"/>
    </xf>
    <xf numFmtId="2" fontId="21" fillId="0" borderId="18" xfId="3" applyNumberFormat="1" applyFont="1" applyBorder="1" applyAlignment="1">
      <alignment horizontal="center" vertical="center" wrapText="1"/>
    </xf>
    <xf numFmtId="0" fontId="21" fillId="0" borderId="2" xfId="3" applyFont="1" applyBorder="1" applyAlignment="1">
      <alignment horizontal="left" vertical="center" wrapText="1"/>
    </xf>
    <xf numFmtId="0" fontId="37" fillId="0" borderId="2" xfId="3" applyFont="1" applyBorder="1" applyAlignment="1">
      <alignment horizontal="center" vertical="center" wrapText="1"/>
    </xf>
    <xf numFmtId="2" fontId="21" fillId="0" borderId="1" xfId="3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2" fontId="4" fillId="0" borderId="1" xfId="5" applyNumberFormat="1" applyFont="1" applyBorder="1" applyAlignment="1">
      <alignment horizontal="center" vertical="center" wrapText="1"/>
    </xf>
    <xf numFmtId="2" fontId="4" fillId="0" borderId="8" xfId="5" applyNumberFormat="1" applyFont="1" applyBorder="1" applyAlignment="1">
      <alignment horizontal="center" vertical="center" wrapText="1"/>
    </xf>
    <xf numFmtId="0" fontId="46" fillId="0" borderId="4" xfId="3" applyFont="1" applyBorder="1" applyAlignment="1">
      <alignment horizontal="center" vertical="center" wrapText="1"/>
    </xf>
    <xf numFmtId="0" fontId="46" fillId="0" borderId="6" xfId="3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59" fillId="0" borderId="0" xfId="0" applyFont="1" applyAlignment="1">
      <alignment vertical="top" wrapText="1"/>
    </xf>
    <xf numFmtId="9" fontId="14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27" fillId="0" borderId="21" xfId="0" applyFont="1" applyBorder="1"/>
    <xf numFmtId="2" fontId="16" fillId="0" borderId="6" xfId="0" applyNumberFormat="1" applyFont="1" applyBorder="1" applyAlignment="1">
      <alignment horizontal="center" vertical="center"/>
    </xf>
    <xf numFmtId="2" fontId="21" fillId="0" borderId="6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0" fillId="0" borderId="21" xfId="0" applyFont="1" applyBorder="1"/>
    <xf numFmtId="0" fontId="0" fillId="0" borderId="2" xfId="0" applyBorder="1"/>
    <xf numFmtId="0" fontId="7" fillId="0" borderId="4" xfId="0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center" vertical="center" wrapText="1"/>
    </xf>
    <xf numFmtId="2" fontId="49" fillId="0" borderId="13" xfId="0" applyNumberFormat="1" applyFont="1" applyBorder="1" applyAlignment="1">
      <alignment horizontal="center" vertical="center"/>
    </xf>
    <xf numFmtId="0" fontId="27" fillId="0" borderId="7" xfId="0" applyFont="1" applyBorder="1"/>
    <xf numFmtId="0" fontId="0" fillId="0" borderId="23" xfId="0" applyBorder="1"/>
    <xf numFmtId="2" fontId="7" fillId="0" borderId="4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66" fillId="0" borderId="0" xfId="0" applyFont="1" applyAlignment="1">
      <alignment horizontal="center" vertical="center"/>
    </xf>
    <xf numFmtId="0" fontId="16" fillId="0" borderId="1" xfId="0" applyFont="1" applyBorder="1" applyAlignment="1">
      <alignment vertical="top" wrapText="1"/>
    </xf>
    <xf numFmtId="0" fontId="27" fillId="0" borderId="4" xfId="0" applyFont="1" applyBorder="1"/>
    <xf numFmtId="0" fontId="46" fillId="0" borderId="4" xfId="0" applyFont="1" applyBorder="1" applyAlignment="1">
      <alignment wrapText="1"/>
    </xf>
    <xf numFmtId="0" fontId="57" fillId="0" borderId="5" xfId="0" applyFont="1" applyBorder="1"/>
    <xf numFmtId="0" fontId="57" fillId="0" borderId="6" xfId="0" applyFont="1" applyBorder="1"/>
    <xf numFmtId="0" fontId="27" fillId="0" borderId="25" xfId="0" applyFont="1" applyBorder="1"/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center"/>
    </xf>
    <xf numFmtId="0" fontId="8" fillId="2" borderId="21" xfId="0" applyFont="1" applyFill="1" applyBorder="1" applyAlignment="1">
      <alignment horizontal="left" vertical="center" wrapText="1"/>
    </xf>
    <xf numFmtId="0" fontId="8" fillId="2" borderId="21" xfId="5" applyFont="1" applyFill="1" applyBorder="1" applyAlignment="1">
      <alignment vertical="center" wrapText="1"/>
    </xf>
    <xf numFmtId="0" fontId="0" fillId="0" borderId="6" xfId="0" applyBorder="1"/>
    <xf numFmtId="0" fontId="57" fillId="0" borderId="24" xfId="0" applyFont="1" applyBorder="1"/>
    <xf numFmtId="0" fontId="10" fillId="0" borderId="21" xfId="0" applyFont="1" applyBorder="1" applyAlignment="1">
      <alignment horizontal="left" vertical="center" wrapText="1"/>
    </xf>
    <xf numFmtId="0" fontId="27" fillId="0" borderId="21" xfId="0" applyFont="1" applyBorder="1" applyAlignment="1">
      <alignment vertical="center"/>
    </xf>
    <xf numFmtId="0" fontId="27" fillId="0" borderId="5" xfId="0" applyFont="1" applyBorder="1"/>
    <xf numFmtId="0" fontId="57" fillId="0" borderId="0" xfId="0" applyFont="1"/>
    <xf numFmtId="2" fontId="49" fillId="0" borderId="1" xfId="0" applyNumberFormat="1" applyFont="1" applyBorder="1" applyAlignment="1">
      <alignment horizontal="center" wrapText="1"/>
    </xf>
    <xf numFmtId="0" fontId="2" fillId="2" borderId="4" xfId="5" applyFont="1" applyFill="1" applyBorder="1" applyAlignment="1">
      <alignment horizontal="center" vertical="center" wrapText="1"/>
    </xf>
    <xf numFmtId="0" fontId="2" fillId="2" borderId="6" xfId="5" applyFont="1" applyFill="1" applyBorder="1" applyAlignment="1">
      <alignment horizontal="center" vertical="center" wrapText="1"/>
    </xf>
    <xf numFmtId="2" fontId="4" fillId="0" borderId="0" xfId="5" applyNumberFormat="1" applyFont="1" applyAlignment="1">
      <alignment horizontal="center" vertical="center" wrapText="1"/>
    </xf>
    <xf numFmtId="0" fontId="67" fillId="0" borderId="1" xfId="5" applyFont="1" applyBorder="1" applyAlignment="1">
      <alignment horizontal="left" vertical="center" wrapText="1"/>
    </xf>
    <xf numFmtId="165" fontId="21" fillId="0" borderId="1" xfId="3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172" fontId="17" fillId="0" borderId="0" xfId="0" applyNumberFormat="1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27" fillId="2" borderId="0" xfId="0" applyFont="1" applyFill="1" applyAlignment="1">
      <alignment vertical="top" wrapText="1"/>
    </xf>
    <xf numFmtId="0" fontId="57" fillId="2" borderId="0" xfId="0" applyFont="1" applyFill="1" applyAlignment="1">
      <alignment vertical="top" wrapText="1"/>
    </xf>
    <xf numFmtId="4" fontId="0" fillId="0" borderId="0" xfId="0" applyNumberFormat="1" applyAlignment="1">
      <alignment horizontal="left" vertical="center"/>
    </xf>
    <xf numFmtId="171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46" fillId="0" borderId="12" xfId="3" applyFont="1" applyBorder="1" applyAlignment="1">
      <alignment horizontal="center" vertical="center" wrapText="1"/>
    </xf>
    <xf numFmtId="0" fontId="46" fillId="0" borderId="11" xfId="3" applyFont="1" applyBorder="1" applyAlignment="1">
      <alignment horizontal="center" vertical="center" wrapText="1"/>
    </xf>
    <xf numFmtId="0" fontId="2" fillId="0" borderId="0" xfId="3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49" fontId="46" fillId="0" borderId="1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7" fillId="0" borderId="0" xfId="0" applyFont="1" applyAlignment="1">
      <alignment horizontal="left"/>
    </xf>
    <xf numFmtId="2" fontId="15" fillId="0" borderId="1" xfId="0" applyNumberFormat="1" applyFont="1" applyBorder="1" applyAlignment="1">
      <alignment horizontal="center"/>
    </xf>
    <xf numFmtId="0" fontId="43" fillId="0" borderId="1" xfId="0" applyFont="1" applyBorder="1"/>
    <xf numFmtId="0" fontId="7" fillId="0" borderId="0" xfId="0" applyFont="1"/>
    <xf numFmtId="2" fontId="37" fillId="4" borderId="2" xfId="3" applyNumberFormat="1" applyFont="1" applyFill="1" applyBorder="1" applyAlignment="1">
      <alignment horizontal="center" vertical="center" wrapText="1"/>
    </xf>
    <xf numFmtId="2" fontId="21" fillId="4" borderId="1" xfId="3" applyNumberFormat="1" applyFont="1" applyFill="1" applyBorder="1" applyAlignment="1">
      <alignment horizontal="center" vertical="center" wrapText="1"/>
    </xf>
    <xf numFmtId="2" fontId="21" fillId="4" borderId="1" xfId="3" applyNumberFormat="1" applyFont="1" applyFill="1" applyBorder="1" applyAlignment="1">
      <alignment horizontal="center" vertical="center"/>
    </xf>
    <xf numFmtId="2" fontId="21" fillId="2" borderId="1" xfId="3" applyNumberFormat="1" applyFont="1" applyFill="1" applyBorder="1" applyAlignment="1">
      <alignment horizontal="center" vertical="center"/>
    </xf>
    <xf numFmtId="2" fontId="37" fillId="2" borderId="2" xfId="3" applyNumberFormat="1" applyFont="1" applyFill="1" applyBorder="1" applyAlignment="1">
      <alignment horizontal="center" vertical="center" wrapText="1"/>
    </xf>
    <xf numFmtId="2" fontId="21" fillId="4" borderId="18" xfId="3" applyNumberFormat="1" applyFont="1" applyFill="1" applyBorder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2" fillId="0" borderId="0" xfId="3" applyFont="1" applyAlignment="1">
      <alignment vertical="center"/>
    </xf>
    <xf numFmtId="0" fontId="2" fillId="0" borderId="4" xfId="3" applyFont="1" applyBorder="1" applyAlignment="1">
      <alignment horizontal="center" vertical="center" wrapText="1"/>
    </xf>
    <xf numFmtId="0" fontId="21" fillId="0" borderId="15" xfId="3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top" wrapText="1"/>
    </xf>
    <xf numFmtId="2" fontId="21" fillId="0" borderId="1" xfId="3" applyNumberFormat="1" applyFont="1" applyBorder="1" applyAlignment="1">
      <alignment horizontal="center" vertical="center"/>
    </xf>
    <xf numFmtId="0" fontId="17" fillId="0" borderId="0" xfId="7" applyFont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/>
    </xf>
    <xf numFmtId="0" fontId="3" fillId="2" borderId="0" xfId="7" applyFont="1" applyFill="1" applyAlignment="1">
      <alignment vertical="center" wrapText="1"/>
    </xf>
    <xf numFmtId="0" fontId="35" fillId="0" borderId="0" xfId="0" applyFont="1" applyAlignment="1">
      <alignment vertical="center"/>
    </xf>
    <xf numFmtId="2" fontId="0" fillId="0" borderId="0" xfId="0" applyNumberFormat="1" applyAlignment="1">
      <alignment horizontal="center" vertical="center"/>
    </xf>
    <xf numFmtId="0" fontId="47" fillId="0" borderId="2" xfId="0" applyFont="1" applyBorder="1" applyAlignment="1">
      <alignment horizontal="center" vertical="center" wrapText="1"/>
    </xf>
    <xf numFmtId="9" fontId="18" fillId="0" borderId="4" xfId="0" applyNumberFormat="1" applyFont="1" applyBorder="1" applyAlignment="1">
      <alignment horizontal="center" vertical="center"/>
    </xf>
    <xf numFmtId="9" fontId="18" fillId="0" borderId="6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top" wrapText="1"/>
    </xf>
    <xf numFmtId="0" fontId="3" fillId="8" borderId="0" xfId="0" applyFont="1" applyFill="1" applyAlignment="1">
      <alignment vertical="center" wrapText="1"/>
    </xf>
    <xf numFmtId="2" fontId="3" fillId="8" borderId="1" xfId="0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 wrapText="1"/>
    </xf>
    <xf numFmtId="9" fontId="18" fillId="0" borderId="6" xfId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2" fontId="63" fillId="0" borderId="0" xfId="0" applyNumberFormat="1" applyFont="1" applyAlignment="1">
      <alignment horizontal="left" vertical="center"/>
    </xf>
    <xf numFmtId="0" fontId="63" fillId="0" borderId="0" xfId="0" applyFont="1" applyAlignment="1">
      <alignment vertical="center"/>
    </xf>
    <xf numFmtId="170" fontId="63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left" vertical="center" wrapText="1"/>
    </xf>
    <xf numFmtId="0" fontId="63" fillId="0" borderId="0" xfId="0" applyFont="1" applyAlignment="1">
      <alignment horizontal="center" vertical="center" wrapText="1"/>
    </xf>
    <xf numFmtId="4" fontId="63" fillId="0" borderId="0" xfId="0" applyNumberFormat="1" applyFont="1" applyAlignment="1">
      <alignment horizontal="left"/>
    </xf>
    <xf numFmtId="2" fontId="63" fillId="0" borderId="0" xfId="0" applyNumberFormat="1" applyFont="1"/>
    <xf numFmtId="0" fontId="37" fillId="0" borderId="1" xfId="0" applyFont="1" applyBorder="1" applyAlignment="1">
      <alignment horizontal="center" vertical="center" wrapText="1"/>
    </xf>
    <xf numFmtId="171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2" fontId="3" fillId="2" borderId="1" xfId="3" applyNumberFormat="1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wrapText="1"/>
    </xf>
    <xf numFmtId="0" fontId="27" fillId="9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17" fillId="2" borderId="0" xfId="0" applyFont="1" applyFill="1"/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right"/>
    </xf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right" vertical="center"/>
    </xf>
    <xf numFmtId="0" fontId="17" fillId="2" borderId="0" xfId="7" applyFont="1" applyFill="1" applyAlignment="1">
      <alignment vertical="center" wrapText="1"/>
    </xf>
    <xf numFmtId="0" fontId="17" fillId="2" borderId="0" xfId="0" applyFont="1" applyFill="1" applyAlignment="1">
      <alignment horizontal="right"/>
    </xf>
    <xf numFmtId="0" fontId="3" fillId="2" borderId="0" xfId="0" applyFont="1" applyFill="1" applyAlignment="1">
      <alignment wrapText="1"/>
    </xf>
    <xf numFmtId="0" fontId="17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top" wrapText="1"/>
    </xf>
    <xf numFmtId="0" fontId="33" fillId="2" borderId="0" xfId="0" applyFont="1" applyFill="1" applyAlignment="1">
      <alignment vertical="center"/>
    </xf>
    <xf numFmtId="2" fontId="27" fillId="4" borderId="1" xfId="0" applyNumberFormat="1" applyFont="1" applyFill="1" applyBorder="1" applyAlignment="1">
      <alignment horizontal="center" vertical="center"/>
    </xf>
    <xf numFmtId="2" fontId="49" fillId="4" borderId="1" xfId="0" applyNumberFormat="1" applyFont="1" applyFill="1" applyBorder="1" applyAlignment="1">
      <alignment horizontal="center"/>
    </xf>
    <xf numFmtId="2" fontId="27" fillId="4" borderId="0" xfId="0" applyNumberFormat="1" applyFont="1" applyFill="1" applyAlignment="1">
      <alignment horizontal="left"/>
    </xf>
    <xf numFmtId="2" fontId="0" fillId="4" borderId="1" xfId="0" applyNumberFormat="1" applyFill="1" applyBorder="1" applyAlignment="1">
      <alignment horizontal="center"/>
    </xf>
    <xf numFmtId="2" fontId="68" fillId="4" borderId="1" xfId="0" applyNumberFormat="1" applyFont="1" applyFill="1" applyBorder="1" applyAlignment="1">
      <alignment horizontal="center"/>
    </xf>
    <xf numFmtId="2" fontId="18" fillId="0" borderId="0" xfId="0" applyNumberFormat="1" applyFont="1"/>
    <xf numFmtId="2" fontId="4" fillId="4" borderId="1" xfId="5" applyNumberFormat="1" applyFont="1" applyFill="1" applyBorder="1" applyAlignment="1">
      <alignment horizontal="center" vertical="center" wrapText="1"/>
    </xf>
    <xf numFmtId="2" fontId="8" fillId="0" borderId="0" xfId="5" applyNumberFormat="1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2" fontId="2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9" fontId="10" fillId="0" borderId="1" xfId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shrinkToFit="1"/>
    </xf>
    <xf numFmtId="164" fontId="16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shrinkToFit="1"/>
    </xf>
    <xf numFmtId="3" fontId="10" fillId="2" borderId="1" xfId="0" applyNumberFormat="1" applyFont="1" applyFill="1" applyBorder="1" applyAlignment="1">
      <alignment horizontal="center" vertical="center" wrapText="1"/>
    </xf>
    <xf numFmtId="9" fontId="10" fillId="2" borderId="1" xfId="1" applyFont="1" applyFill="1" applyBorder="1" applyAlignment="1">
      <alignment horizontal="center" vertical="center" wrapText="1"/>
    </xf>
    <xf numFmtId="4" fontId="70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164" fontId="16" fillId="3" borderId="0" xfId="0" applyNumberFormat="1" applyFont="1" applyFill="1" applyAlignment="1">
      <alignment horizontal="center" vertical="center" wrapText="1"/>
    </xf>
    <xf numFmtId="4" fontId="16" fillId="3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4" fontId="71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164" fontId="13" fillId="2" borderId="0" xfId="0" applyNumberFormat="1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164" fontId="13" fillId="2" borderId="0" xfId="0" applyNumberFormat="1" applyFont="1" applyFill="1" applyAlignment="1">
      <alignment horizontal="left" vertical="center" wrapText="1"/>
    </xf>
    <xf numFmtId="4" fontId="10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shrinkToFit="1"/>
    </xf>
    <xf numFmtId="9" fontId="10" fillId="0" borderId="0" xfId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2" borderId="0" xfId="0" applyFont="1" applyFill="1" applyAlignment="1">
      <alignment horizontal="left" vertical="center" wrapText="1" shrinkToFit="1"/>
    </xf>
    <xf numFmtId="0" fontId="10" fillId="2" borderId="0" xfId="0" applyFont="1" applyFill="1" applyAlignment="1">
      <alignment horizontal="center" vertical="center" wrapText="1"/>
    </xf>
    <xf numFmtId="2" fontId="10" fillId="0" borderId="0" xfId="0" applyNumberFormat="1" applyFont="1" applyAlignment="1">
      <alignment horizontal="center" wrapText="1"/>
    </xf>
    <xf numFmtId="9" fontId="10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 shrinkToFit="1"/>
    </xf>
    <xf numFmtId="164" fontId="16" fillId="0" borderId="0" xfId="0" applyNumberFormat="1" applyFont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 shrinkToFit="1"/>
    </xf>
    <xf numFmtId="3" fontId="10" fillId="2" borderId="0" xfId="0" applyNumberFormat="1" applyFont="1" applyFill="1" applyAlignment="1">
      <alignment horizontal="center" vertical="center" wrapText="1"/>
    </xf>
    <xf numFmtId="9" fontId="10" fillId="2" borderId="0" xfId="1" applyFont="1" applyFill="1" applyBorder="1" applyAlignment="1">
      <alignment horizontal="center" vertical="center" wrapText="1"/>
    </xf>
    <xf numFmtId="4" fontId="70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4" fontId="16" fillId="2" borderId="0" xfId="0" applyNumberFormat="1" applyFont="1" applyFill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left" vertical="center"/>
    </xf>
    <xf numFmtId="4" fontId="11" fillId="0" borderId="4" xfId="5" applyNumberFormat="1" applyFont="1" applyBorder="1" applyAlignment="1">
      <alignment horizontal="center" vertical="center" wrapText="1"/>
    </xf>
    <xf numFmtId="4" fontId="11" fillId="0" borderId="1" xfId="5" applyNumberFormat="1" applyFont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4" fontId="2" fillId="0" borderId="0" xfId="5" applyNumberFormat="1" applyFont="1" applyAlignment="1">
      <alignment vertical="center"/>
    </xf>
    <xf numFmtId="4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5" fillId="4" borderId="1" xfId="0" applyFont="1" applyFill="1" applyBorder="1" applyAlignment="1">
      <alignment vertical="center"/>
    </xf>
    <xf numFmtId="166" fontId="19" fillId="4" borderId="1" xfId="0" applyNumberFormat="1" applyFont="1" applyFill="1" applyBorder="1"/>
    <xf numFmtId="2" fontId="18" fillId="4" borderId="1" xfId="0" applyNumberFormat="1" applyFont="1" applyFill="1" applyBorder="1" applyAlignment="1">
      <alignment horizontal="center" vertical="center"/>
    </xf>
    <xf numFmtId="2" fontId="25" fillId="4" borderId="1" xfId="0" applyNumberFormat="1" applyFont="1" applyFill="1" applyBorder="1" applyAlignment="1">
      <alignment horizontal="center" vertical="center"/>
    </xf>
    <xf numFmtId="164" fontId="19" fillId="4" borderId="1" xfId="0" applyNumberFormat="1" applyFont="1" applyFill="1" applyBorder="1"/>
    <xf numFmtId="2" fontId="11" fillId="2" borderId="6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27" fillId="0" borderId="22" xfId="0" applyFont="1" applyBorder="1" applyAlignment="1">
      <alignment horizontal="center" vertical="center"/>
    </xf>
    <xf numFmtId="2" fontId="27" fillId="0" borderId="6" xfId="0" applyNumberFormat="1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2" fontId="49" fillId="0" borderId="0" xfId="0" applyNumberFormat="1" applyFont="1" applyAlignment="1">
      <alignment vertical="center" wrapText="1"/>
    </xf>
    <xf numFmtId="0" fontId="14" fillId="0" borderId="0" xfId="0" applyFont="1" applyAlignment="1">
      <alignment vertical="top" wrapText="1"/>
    </xf>
    <xf numFmtId="2" fontId="14" fillId="0" borderId="0" xfId="0" applyNumberFormat="1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 shrinkToFit="1"/>
    </xf>
    <xf numFmtId="0" fontId="10" fillId="10" borderId="1" xfId="0" applyFont="1" applyFill="1" applyBorder="1" applyAlignment="1">
      <alignment horizontal="center" vertical="center" wrapText="1"/>
    </xf>
    <xf numFmtId="1" fontId="10" fillId="10" borderId="1" xfId="0" applyNumberFormat="1" applyFont="1" applyFill="1" applyBorder="1" applyAlignment="1">
      <alignment horizontal="center" vertical="center" wrapText="1"/>
    </xf>
    <xf numFmtId="3" fontId="10" fillId="10" borderId="1" xfId="0" applyNumberFormat="1" applyFont="1" applyFill="1" applyBorder="1" applyAlignment="1">
      <alignment horizontal="center" vertical="center" wrapText="1"/>
    </xf>
    <xf numFmtId="9" fontId="10" fillId="10" borderId="1" xfId="1" applyFont="1" applyFill="1" applyBorder="1" applyAlignment="1">
      <alignment horizontal="center" vertical="center" wrapText="1"/>
    </xf>
    <xf numFmtId="2" fontId="10" fillId="10" borderId="1" xfId="0" applyNumberFormat="1" applyFont="1" applyFill="1" applyBorder="1" applyAlignment="1">
      <alignment horizontal="center" vertical="center" wrapText="1"/>
    </xf>
    <xf numFmtId="9" fontId="10" fillId="10" borderId="1" xfId="0" applyNumberFormat="1" applyFont="1" applyFill="1" applyBorder="1" applyAlignment="1">
      <alignment horizontal="center" vertical="center" wrapText="1"/>
    </xf>
    <xf numFmtId="4" fontId="10" fillId="10" borderId="1" xfId="0" applyNumberFormat="1" applyFont="1" applyFill="1" applyBorder="1" applyAlignment="1">
      <alignment horizontal="center" vertical="center" wrapText="1"/>
    </xf>
    <xf numFmtId="4" fontId="16" fillId="1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49" fontId="27" fillId="0" borderId="4" xfId="0" applyNumberFormat="1" applyFont="1" applyBorder="1" applyAlignment="1">
      <alignment horizontal="center"/>
    </xf>
    <xf numFmtId="49" fontId="27" fillId="0" borderId="6" xfId="0" applyNumberFormat="1" applyFont="1" applyBorder="1" applyAlignment="1">
      <alignment horizontal="center"/>
    </xf>
    <xf numFmtId="49" fontId="27" fillId="0" borderId="4" xfId="0" applyNumberFormat="1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47" fillId="0" borderId="0" xfId="0" applyFont="1"/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11" fillId="0" borderId="0" xfId="3" applyFont="1" applyAlignment="1">
      <alignment vertical="center" wrapText="1"/>
    </xf>
    <xf numFmtId="2" fontId="27" fillId="0" borderId="4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left"/>
    </xf>
    <xf numFmtId="0" fontId="27" fillId="0" borderId="12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17" fillId="2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0" fillId="4" borderId="1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center" vertical="center"/>
    </xf>
    <xf numFmtId="0" fontId="10" fillId="0" borderId="3" xfId="0" applyFont="1" applyBorder="1"/>
    <xf numFmtId="4" fontId="10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2" fontId="72" fillId="0" borderId="0" xfId="0" applyNumberFormat="1" applyFont="1" applyAlignment="1">
      <alignment horizontal="center" vertical="center"/>
    </xf>
    <xf numFmtId="2" fontId="72" fillId="0" borderId="0" xfId="0" applyNumberFormat="1" applyFont="1" applyAlignment="1">
      <alignment horizontal="center"/>
    </xf>
    <xf numFmtId="2" fontId="49" fillId="0" borderId="26" xfId="0" applyNumberFormat="1" applyFont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2" fontId="18" fillId="0" borderId="13" xfId="0" applyNumberFormat="1" applyFont="1" applyBorder="1" applyAlignment="1">
      <alignment horizontal="center" vertical="center"/>
    </xf>
    <xf numFmtId="0" fontId="29" fillId="0" borderId="0" xfId="0" applyFont="1"/>
    <xf numFmtId="0" fontId="73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 shrinkToFit="1"/>
    </xf>
    <xf numFmtId="3" fontId="10" fillId="4" borderId="1" xfId="0" applyNumberFormat="1" applyFont="1" applyFill="1" applyBorder="1" applyAlignment="1">
      <alignment horizontal="center" vertical="center" wrapText="1"/>
    </xf>
    <xf numFmtId="9" fontId="10" fillId="4" borderId="1" xfId="1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0" fontId="21" fillId="0" borderId="0" xfId="5" applyFont="1" applyAlignment="1">
      <alignment horizontal="left" vertical="center"/>
    </xf>
    <xf numFmtId="0" fontId="11" fillId="2" borderId="1" xfId="5" applyFont="1" applyFill="1" applyBorder="1" applyAlignment="1">
      <alignment horizontal="left" vertical="center" wrapText="1"/>
    </xf>
    <xf numFmtId="2" fontId="37" fillId="4" borderId="1" xfId="3" applyNumberFormat="1" applyFont="1" applyFill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left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left" vertical="center" wrapText="1"/>
    </xf>
    <xf numFmtId="0" fontId="34" fillId="5" borderId="1" xfId="0" applyFont="1" applyFill="1" applyBorder="1" applyAlignment="1">
      <alignment vertical="center" wrapText="1"/>
    </xf>
    <xf numFmtId="0" fontId="34" fillId="5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20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3" fillId="2" borderId="1" xfId="7" applyFont="1" applyFill="1" applyBorder="1" applyAlignment="1">
      <alignment vertical="center" wrapText="1"/>
    </xf>
    <xf numFmtId="0" fontId="17" fillId="2" borderId="1" xfId="7" applyFont="1" applyFill="1" applyBorder="1" applyAlignment="1">
      <alignment vertical="center" wrapText="1"/>
    </xf>
    <xf numFmtId="0" fontId="38" fillId="0" borderId="1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56" fillId="0" borderId="1" xfId="0" applyFont="1" applyBorder="1" applyAlignment="1">
      <alignment vertical="top" wrapText="1"/>
    </xf>
    <xf numFmtId="0" fontId="65" fillId="0" borderId="1" xfId="0" applyFont="1" applyBorder="1" applyAlignment="1">
      <alignment vertical="top" wrapText="1"/>
    </xf>
    <xf numFmtId="0" fontId="56" fillId="0" borderId="1" xfId="0" applyFont="1" applyBorder="1" applyAlignment="1">
      <alignment vertical="center" wrapText="1"/>
    </xf>
    <xf numFmtId="0" fontId="35" fillId="0" borderId="1" xfId="7" applyFont="1" applyBorder="1" applyAlignment="1">
      <alignment vertical="center" wrapText="1"/>
    </xf>
    <xf numFmtId="0" fontId="65" fillId="2" borderId="1" xfId="0" applyFont="1" applyFill="1" applyBorder="1" applyAlignment="1">
      <alignment vertical="center" wrapText="1"/>
    </xf>
    <xf numFmtId="0" fontId="3" fillId="0" borderId="1" xfId="3" applyFont="1" applyBorder="1" applyAlignment="1">
      <alignment wrapText="1"/>
    </xf>
    <xf numFmtId="49" fontId="11" fillId="0" borderId="1" xfId="3" applyNumberFormat="1" applyFont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2" borderId="0" xfId="0" applyFont="1" applyFill="1" applyAlignment="1">
      <alignment wrapText="1"/>
    </xf>
    <xf numFmtId="0" fontId="17" fillId="2" borderId="0" xfId="0" applyFont="1" applyFill="1" applyAlignment="1">
      <alignment horizontal="center" vertical="center"/>
    </xf>
    <xf numFmtId="2" fontId="17" fillId="2" borderId="0" xfId="0" applyNumberFormat="1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17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10" fillId="0" borderId="1" xfId="0" applyFont="1" applyBorder="1" applyAlignment="1">
      <alignment vertical="center"/>
    </xf>
    <xf numFmtId="0" fontId="2" fillId="0" borderId="14" xfId="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" xfId="3" applyFont="1" applyBorder="1" applyAlignment="1">
      <alignment horizontal="left" vertical="center" wrapText="1"/>
    </xf>
    <xf numFmtId="49" fontId="3" fillId="0" borderId="1" xfId="3" applyNumberFormat="1" applyFont="1" applyBorder="1" applyAlignment="1">
      <alignment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63" fillId="0" borderId="1" xfId="0" applyFont="1" applyBorder="1"/>
    <xf numFmtId="0" fontId="3" fillId="0" borderId="1" xfId="3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56" fillId="0" borderId="1" xfId="7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wrapText="1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38" fillId="0" borderId="7" xfId="0" applyFont="1" applyBorder="1" applyAlignment="1">
      <alignment vertical="center"/>
    </xf>
    <xf numFmtId="0" fontId="59" fillId="0" borderId="1" xfId="0" applyFont="1" applyBorder="1" applyAlignment="1">
      <alignment vertical="top" wrapText="1"/>
    </xf>
    <xf numFmtId="0" fontId="59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top" wrapText="1"/>
    </xf>
    <xf numFmtId="0" fontId="59" fillId="0" borderId="0" xfId="7" applyFont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0" fontId="59" fillId="0" borderId="1" xfId="7" applyFont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 wrapText="1"/>
    </xf>
    <xf numFmtId="2" fontId="28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/>
    <xf numFmtId="0" fontId="22" fillId="0" borderId="1" xfId="0" applyFont="1" applyBorder="1"/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2" fontId="28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/>
    <xf numFmtId="0" fontId="3" fillId="8" borderId="1" xfId="0" applyFont="1" applyFill="1" applyBorder="1" applyAlignment="1">
      <alignment horizontal="center" vertical="center"/>
    </xf>
    <xf numFmtId="2" fontId="28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0" fontId="22" fillId="0" borderId="0" xfId="0" applyFont="1"/>
    <xf numFmtId="0" fontId="11" fillId="0" borderId="1" xfId="3" applyFont="1" applyBorder="1" applyAlignment="1">
      <alignment vertical="center" wrapText="1"/>
    </xf>
    <xf numFmtId="49" fontId="3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7" fillId="0" borderId="0" xfId="0" applyFont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wrapText="1"/>
    </xf>
    <xf numFmtId="2" fontId="49" fillId="4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31" fillId="5" borderId="0" xfId="0" applyFont="1" applyFill="1" applyAlignment="1">
      <alignment horizontal="left" vertical="top" wrapText="1"/>
    </xf>
    <xf numFmtId="0" fontId="38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6" fillId="0" borderId="10" xfId="0" applyFont="1" applyBorder="1" applyAlignment="1">
      <alignment horizontal="left" wrapText="1"/>
    </xf>
    <xf numFmtId="0" fontId="46" fillId="0" borderId="0" xfId="0" applyFont="1" applyAlignment="1">
      <alignment horizontal="left" wrapText="1"/>
    </xf>
    <xf numFmtId="0" fontId="57" fillId="0" borderId="0" xfId="0" applyFont="1" applyAlignment="1">
      <alignment horizontal="left" wrapText="1"/>
    </xf>
    <xf numFmtId="0" fontId="27" fillId="0" borderId="1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left"/>
    </xf>
    <xf numFmtId="0" fontId="57" fillId="0" borderId="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/>
    </xf>
    <xf numFmtId="0" fontId="49" fillId="0" borderId="4" xfId="0" applyFont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0" fontId="5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27" fillId="0" borderId="1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57" fillId="0" borderId="4" xfId="0" applyFont="1" applyBorder="1" applyAlignment="1">
      <alignment horizontal="left"/>
    </xf>
    <xf numFmtId="0" fontId="57" fillId="0" borderId="5" xfId="0" applyFont="1" applyBorder="1" applyAlignment="1">
      <alignment horizontal="left"/>
    </xf>
    <xf numFmtId="0" fontId="57" fillId="0" borderId="6" xfId="0" applyFont="1" applyBorder="1" applyAlignment="1">
      <alignment horizontal="left"/>
    </xf>
    <xf numFmtId="0" fontId="49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/>
    </xf>
    <xf numFmtId="0" fontId="57" fillId="0" borderId="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56" fillId="0" borderId="1" xfId="0" applyFont="1" applyBorder="1" applyAlignment="1">
      <alignment horizontal="left"/>
    </xf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0" borderId="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46" fillId="0" borderId="1" xfId="0" applyFont="1" applyBorder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27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27" fillId="0" borderId="14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7" borderId="1" xfId="0" applyFont="1" applyFill="1" applyBorder="1" applyAlignment="1">
      <alignment horizontal="left" wrapText="1"/>
    </xf>
    <xf numFmtId="0" fontId="49" fillId="0" borderId="1" xfId="0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1" fillId="9" borderId="1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wrapText="1"/>
    </xf>
    <xf numFmtId="0" fontId="10" fillId="7" borderId="6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left" vertical="top" wrapText="1"/>
    </xf>
    <xf numFmtId="0" fontId="10" fillId="7" borderId="6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27" fillId="7" borderId="4" xfId="0" applyFont="1" applyFill="1" applyBorder="1" applyAlignment="1">
      <alignment horizontal="left" wrapText="1"/>
    </xf>
    <xf numFmtId="0" fontId="27" fillId="7" borderId="6" xfId="0" applyFont="1" applyFill="1" applyBorder="1" applyAlignment="1">
      <alignment horizontal="left" wrapText="1"/>
    </xf>
    <xf numFmtId="0" fontId="59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10" fillId="7" borderId="6" xfId="0" applyFont="1" applyFill="1" applyBorder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  <xf numFmtId="0" fontId="58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58" fillId="0" borderId="1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8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7" fillId="0" borderId="4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69" fillId="3" borderId="0" xfId="0" applyFont="1" applyFill="1" applyAlignment="1">
      <alignment horizontal="center" vertical="center" wrapText="1"/>
    </xf>
    <xf numFmtId="0" fontId="69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64" fontId="13" fillId="2" borderId="0" xfId="0" applyNumberFormat="1" applyFont="1" applyFill="1" applyAlignment="1">
      <alignment horizontal="left" vertical="center" wrapText="1"/>
    </xf>
    <xf numFmtId="2" fontId="6" fillId="0" borderId="0" xfId="0" applyNumberFormat="1" applyFont="1" applyAlignment="1">
      <alignment horizontal="center" wrapText="1"/>
    </xf>
    <xf numFmtId="4" fontId="6" fillId="2" borderId="0" xfId="0" applyNumberFormat="1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69" fillId="3" borderId="4" xfId="0" applyFont="1" applyFill="1" applyBorder="1" applyAlignment="1">
      <alignment horizontal="center" vertical="center" wrapText="1"/>
    </xf>
    <xf numFmtId="0" fontId="69" fillId="3" borderId="5" xfId="0" applyFont="1" applyFill="1" applyBorder="1" applyAlignment="1">
      <alignment horizontal="center" vertical="center" wrapText="1"/>
    </xf>
    <xf numFmtId="0" fontId="69" fillId="3" borderId="6" xfId="0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textRotation="90" wrapText="1"/>
    </xf>
    <xf numFmtId="0" fontId="4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7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5" fillId="0" borderId="1" xfId="7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17" fillId="2" borderId="1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4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7" fillId="5" borderId="0" xfId="0" applyFont="1" applyFill="1" applyAlignment="1">
      <alignment horizontal="left" vertical="center" wrapText="1"/>
    </xf>
    <xf numFmtId="49" fontId="3" fillId="0" borderId="0" xfId="3" applyNumberFormat="1" applyFont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3" fillId="0" borderId="0" xfId="3" applyFont="1" applyAlignment="1">
      <alignment horizontal="left" vertical="top" wrapText="1"/>
    </xf>
    <xf numFmtId="0" fontId="17" fillId="2" borderId="0" xfId="0" applyFont="1" applyFill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7" fillId="0" borderId="2" xfId="7" applyFont="1" applyBorder="1" applyAlignment="1">
      <alignment horizontal="center" vertical="center" wrapText="1"/>
    </xf>
    <xf numFmtId="0" fontId="17" fillId="0" borderId="3" xfId="7" applyFont="1" applyBorder="1" applyAlignment="1">
      <alignment horizontal="center" vertical="center" wrapText="1"/>
    </xf>
    <xf numFmtId="0" fontId="35" fillId="0" borderId="2" xfId="7" applyFont="1" applyBorder="1" applyAlignment="1">
      <alignment horizontal="center" vertical="center" wrapText="1"/>
    </xf>
    <xf numFmtId="0" fontId="35" fillId="0" borderId="3" xfId="7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51" fillId="5" borderId="0" xfId="0" applyFont="1" applyFill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27" fillId="0" borderId="0" xfId="0" applyFont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30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51" fillId="5" borderId="0" xfId="0" applyFont="1" applyFill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3" fillId="0" borderId="0" xfId="7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2" fontId="14" fillId="0" borderId="10" xfId="0" applyNumberFormat="1" applyFont="1" applyBorder="1" applyAlignment="1">
      <alignment horizontal="left" wrapText="1"/>
    </xf>
    <xf numFmtId="2" fontId="14" fillId="0" borderId="9" xfId="0" applyNumberFormat="1" applyFont="1" applyBorder="1" applyAlignment="1">
      <alignment horizontal="left" wrapText="1"/>
    </xf>
    <xf numFmtId="0" fontId="27" fillId="4" borderId="4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1" fillId="0" borderId="1" xfId="5" applyFont="1" applyBorder="1" applyAlignment="1">
      <alignment horizontal="left" vertical="center" wrapText="1"/>
    </xf>
    <xf numFmtId="0" fontId="4" fillId="0" borderId="14" xfId="5" applyFont="1" applyBorder="1" applyAlignment="1">
      <alignment horizontal="left" vertical="center" wrapText="1"/>
    </xf>
    <xf numFmtId="0" fontId="4" fillId="0" borderId="13" xfId="5" applyFont="1" applyBorder="1" applyAlignment="1">
      <alignment horizontal="left" vertical="center" wrapText="1"/>
    </xf>
    <xf numFmtId="0" fontId="2" fillId="2" borderId="4" xfId="5" applyFont="1" applyFill="1" applyBorder="1" applyAlignment="1">
      <alignment horizontal="center" vertical="center" wrapText="1"/>
    </xf>
    <xf numFmtId="0" fontId="2" fillId="2" borderId="6" xfId="5" applyFont="1" applyFill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11" fillId="0" borderId="1" xfId="3" applyFont="1" applyBorder="1" applyAlignment="1">
      <alignment horizontal="left" vertical="center" wrapText="1"/>
    </xf>
    <xf numFmtId="2" fontId="4" fillId="0" borderId="4" xfId="5" applyNumberFormat="1" applyFont="1" applyBorder="1" applyAlignment="1">
      <alignment horizontal="center" vertical="center" wrapText="1"/>
    </xf>
    <xf numFmtId="2" fontId="4" fillId="0" borderId="6" xfId="5" applyNumberFormat="1" applyFont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2" fontId="4" fillId="0" borderId="0" xfId="5" applyNumberFormat="1" applyFont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0" fontId="37" fillId="0" borderId="1" xfId="5" applyFont="1" applyBorder="1" applyAlignment="1">
      <alignment horizontal="center" vertical="center" wrapText="1"/>
    </xf>
    <xf numFmtId="2" fontId="21" fillId="0" borderId="8" xfId="5" applyNumberFormat="1" applyFont="1" applyBorder="1" applyAlignment="1">
      <alignment horizontal="center" vertical="center" wrapText="1"/>
    </xf>
    <xf numFmtId="0" fontId="21" fillId="0" borderId="8" xfId="5" applyFont="1" applyBorder="1" applyAlignment="1">
      <alignment horizontal="center" vertical="center" wrapText="1"/>
    </xf>
    <xf numFmtId="2" fontId="2" fillId="0" borderId="4" xfId="5" applyNumberFormat="1" applyFont="1" applyBorder="1" applyAlignment="1">
      <alignment horizontal="left" vertical="center" wrapText="1"/>
    </xf>
    <xf numFmtId="2" fontId="2" fillId="0" borderId="6" xfId="5" applyNumberFormat="1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2" fillId="2" borderId="4" xfId="5" applyFont="1" applyFill="1" applyBorder="1" applyAlignment="1">
      <alignment horizontal="left" vertical="center" wrapText="1"/>
    </xf>
    <xf numFmtId="0" fontId="2" fillId="2" borderId="6" xfId="5" applyFont="1" applyFill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 wrapText="1"/>
    </xf>
    <xf numFmtId="0" fontId="9" fillId="0" borderId="6" xfId="5" applyFont="1" applyBorder="1" applyAlignment="1">
      <alignment horizontal="center" vertical="center" wrapText="1"/>
    </xf>
    <xf numFmtId="0" fontId="11" fillId="0" borderId="8" xfId="5" applyFont="1" applyBorder="1" applyAlignment="1">
      <alignment horizontal="left" vertical="center" wrapText="1"/>
    </xf>
    <xf numFmtId="2" fontId="4" fillId="0" borderId="1" xfId="5" applyNumberFormat="1" applyFont="1" applyBorder="1" applyAlignment="1">
      <alignment horizontal="center" vertical="center" wrapText="1"/>
    </xf>
    <xf numFmtId="0" fontId="11" fillId="0" borderId="4" xfId="5" applyFont="1" applyBorder="1" applyAlignment="1">
      <alignment horizontal="left" vertical="center" wrapText="1"/>
    </xf>
    <xf numFmtId="0" fontId="11" fillId="0" borderId="6" xfId="5" applyFont="1" applyBorder="1" applyAlignment="1">
      <alignment horizontal="left" vertical="center" wrapText="1"/>
    </xf>
    <xf numFmtId="0" fontId="2" fillId="0" borderId="4" xfId="5" applyFont="1" applyBorder="1" applyAlignment="1">
      <alignment horizontal="left" vertical="center"/>
    </xf>
    <xf numFmtId="0" fontId="2" fillId="0" borderId="6" xfId="5" applyFont="1" applyBorder="1" applyAlignment="1">
      <alignment horizontal="left" vertical="center"/>
    </xf>
    <xf numFmtId="0" fontId="37" fillId="0" borderId="4" xfId="5" applyFont="1" applyBorder="1" applyAlignment="1">
      <alignment horizontal="center" vertical="center" wrapText="1"/>
    </xf>
    <xf numFmtId="0" fontId="37" fillId="0" borderId="6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left" vertical="center" wrapText="1"/>
    </xf>
    <xf numFmtId="0" fontId="4" fillId="0" borderId="0" xfId="5" applyFont="1" applyAlignment="1">
      <alignment horizontal="center" vertical="center" wrapText="1"/>
    </xf>
    <xf numFmtId="0" fontId="8" fillId="2" borderId="4" xfId="5" applyFont="1" applyFill="1" applyBorder="1" applyAlignment="1">
      <alignment horizontal="left" vertical="top" wrapText="1"/>
    </xf>
    <xf numFmtId="0" fontId="8" fillId="2" borderId="5" xfId="5" applyFont="1" applyFill="1" applyBorder="1" applyAlignment="1">
      <alignment horizontal="left" vertical="top" wrapText="1"/>
    </xf>
    <xf numFmtId="0" fontId="8" fillId="2" borderId="6" xfId="5" applyFont="1" applyFill="1" applyBorder="1" applyAlignment="1">
      <alignment horizontal="left" vertical="top" wrapText="1"/>
    </xf>
    <xf numFmtId="0" fontId="46" fillId="2" borderId="1" xfId="5" applyFont="1" applyFill="1" applyBorder="1" applyAlignment="1">
      <alignment horizontal="left" vertical="center" wrapText="1"/>
    </xf>
    <xf numFmtId="0" fontId="21" fillId="0" borderId="0" xfId="5" applyFont="1" applyAlignment="1">
      <alignment horizontal="left"/>
    </xf>
    <xf numFmtId="0" fontId="37" fillId="0" borderId="12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46" fillId="0" borderId="12" xfId="3" applyFont="1" applyBorder="1" applyAlignment="1">
      <alignment horizontal="center" vertical="center" wrapText="1"/>
    </xf>
    <xf numFmtId="0" fontId="46" fillId="0" borderId="11" xfId="3" applyFont="1" applyBorder="1" applyAlignment="1">
      <alignment horizontal="center" vertical="center" wrapText="1"/>
    </xf>
    <xf numFmtId="0" fontId="46" fillId="0" borderId="4" xfId="3" applyFont="1" applyBorder="1" applyAlignment="1">
      <alignment horizontal="center" vertical="center" wrapText="1"/>
    </xf>
    <xf numFmtId="0" fontId="46" fillId="0" borderId="6" xfId="3" applyFont="1" applyBorder="1" applyAlignment="1">
      <alignment horizontal="center" vertical="center" wrapText="1"/>
    </xf>
    <xf numFmtId="0" fontId="21" fillId="4" borderId="4" xfId="3" applyFont="1" applyFill="1" applyBorder="1" applyAlignment="1">
      <alignment horizontal="center" vertical="center" wrapText="1"/>
    </xf>
    <xf numFmtId="0" fontId="21" fillId="4" borderId="5" xfId="3" applyFont="1" applyFill="1" applyBorder="1" applyAlignment="1">
      <alignment horizontal="center" vertical="center" wrapText="1"/>
    </xf>
    <xf numFmtId="0" fontId="21" fillId="4" borderId="6" xfId="3" applyFont="1" applyFill="1" applyBorder="1" applyAlignment="1">
      <alignment horizontal="center" vertical="center" wrapText="1"/>
    </xf>
    <xf numFmtId="0" fontId="46" fillId="0" borderId="17" xfId="3" applyFont="1" applyBorder="1" applyAlignment="1">
      <alignment horizontal="center" vertical="center" wrapText="1"/>
    </xf>
    <xf numFmtId="0" fontId="46" fillId="0" borderId="19" xfId="3" applyFont="1" applyBorder="1" applyAlignment="1">
      <alignment horizontal="center" vertical="center" wrapText="1"/>
    </xf>
    <xf numFmtId="0" fontId="46" fillId="0" borderId="1" xfId="3" applyFont="1" applyBorder="1" applyAlignment="1">
      <alignment horizontal="center" vertical="center" wrapText="1"/>
    </xf>
    <xf numFmtId="0" fontId="2" fillId="0" borderId="0" xfId="3" applyFont="1" applyAlignment="1">
      <alignment horizontal="left" vertical="top" wrapText="1"/>
    </xf>
    <xf numFmtId="0" fontId="21" fillId="4" borderId="1" xfId="3" applyFont="1" applyFill="1" applyBorder="1" applyAlignment="1">
      <alignment horizontal="center" vertical="center" wrapText="1"/>
    </xf>
    <xf numFmtId="0" fontId="21" fillId="4" borderId="14" xfId="3" applyFont="1" applyFill="1" applyBorder="1" applyAlignment="1">
      <alignment horizontal="center" vertical="center" wrapText="1"/>
    </xf>
    <xf numFmtId="0" fontId="21" fillId="4" borderId="7" xfId="3" applyFont="1" applyFill="1" applyBorder="1" applyAlignment="1">
      <alignment horizontal="center" vertical="center" wrapText="1"/>
    </xf>
    <xf numFmtId="0" fontId="21" fillId="4" borderId="13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11" fillId="0" borderId="0" xfId="3" applyFont="1" applyAlignment="1">
      <alignment horizontal="left" vertical="center" wrapText="1"/>
    </xf>
    <xf numFmtId="2" fontId="4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/>
    </xf>
    <xf numFmtId="0" fontId="54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1" fillId="0" borderId="0" xfId="3" applyFont="1" applyAlignment="1">
      <alignment horizontal="left"/>
    </xf>
    <xf numFmtId="0" fontId="2" fillId="0" borderId="0" xfId="3" applyFont="1" applyAlignment="1">
      <alignment horizontal="left" vertical="center" wrapText="1"/>
    </xf>
    <xf numFmtId="0" fontId="47" fillId="0" borderId="0" xfId="0" applyFont="1" applyAlignment="1">
      <alignment horizontal="center" vertical="center" wrapText="1"/>
    </xf>
    <xf numFmtId="0" fontId="37" fillId="0" borderId="1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47" fillId="0" borderId="2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horizontal="left" wrapText="1"/>
    </xf>
  </cellXfs>
  <cellStyles count="9">
    <cellStyle name="Excel Built-in Normal" xfId="2"/>
    <cellStyle name="Відсотковий" xfId="1" builtinId="5"/>
    <cellStyle name="Відсотковий 2" xfId="4"/>
    <cellStyle name="Звичайний" xfId="0" builtinId="0"/>
    <cellStyle name="Звичайний 2" xfId="3"/>
    <cellStyle name="Звичайний 3" xfId="5"/>
    <cellStyle name="Звичайний_Лист2" xfId="8"/>
    <cellStyle name="Обычный 2" xfId="7"/>
    <cellStyle name="Обычный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3" name="Text Box 10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4" name="Text Box 11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5" name="Text Box 12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6" name="Text Box 13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7" name="Text Box 14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8" name="Text Box 15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9" name="Text Box 16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0" name="Text Box 17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1" name="Text Box 18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2" name="Text Box 19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3" name="Text Box 20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4" name="Text Box 21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5" name="Text Box 25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6" name="Text Box 26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7" name="Text Box 27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8" name="Text Box 28">
          <a:extLst>
            <a:ext uri="{FF2B5EF4-FFF2-40B4-BE49-F238E27FC236}">
              <a16:creationId xmlns=""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9980</xdr:rowOff>
    </xdr:to>
    <xdr:sp macro="" textlink="">
      <xdr:nvSpPr>
        <xdr:cNvPr id="19" name="Text Box 1"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19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20" name="Text Box 2">
          <a:extLst>
            <a:ext uri="{FF2B5EF4-FFF2-40B4-BE49-F238E27FC236}">
              <a16:creationId xmlns=""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21" name="Text Box 3">
          <a:extLst>
            <a:ext uri="{FF2B5EF4-FFF2-40B4-BE49-F238E27FC236}">
              <a16:creationId xmlns=""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22" name="Text Box 4">
          <a:extLst>
            <a:ext uri="{FF2B5EF4-FFF2-40B4-BE49-F238E27FC236}">
              <a16:creationId xmlns=""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23" name="Text Box 5">
          <a:extLst>
            <a:ext uri="{FF2B5EF4-FFF2-40B4-BE49-F238E27FC236}">
              <a16:creationId xmlns=""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24" name="Text Box 6">
          <a:extLst>
            <a:ext uri="{FF2B5EF4-FFF2-40B4-BE49-F238E27FC236}">
              <a16:creationId xmlns=""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25" name="Text Box 7">
          <a:extLst>
            <a:ext uri="{FF2B5EF4-FFF2-40B4-BE49-F238E27FC236}">
              <a16:creationId xmlns="" xmlns:a16="http://schemas.microsoft.com/office/drawing/2014/main" id="{00000000-0008-0000-0900-00001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26" name="Text Box 8">
          <a:extLst>
            <a:ext uri="{FF2B5EF4-FFF2-40B4-BE49-F238E27FC236}">
              <a16:creationId xmlns="" xmlns:a16="http://schemas.microsoft.com/office/drawing/2014/main" id="{00000000-0008-0000-0900-00001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27" name="Text Box 9">
          <a:extLst>
            <a:ext uri="{FF2B5EF4-FFF2-40B4-BE49-F238E27FC236}">
              <a16:creationId xmlns="" xmlns:a16="http://schemas.microsoft.com/office/drawing/2014/main" id="{00000000-0008-0000-0900-00001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28" name="Text Box 10">
          <a:extLst>
            <a:ext uri="{FF2B5EF4-FFF2-40B4-BE49-F238E27FC236}">
              <a16:creationId xmlns="" xmlns:a16="http://schemas.microsoft.com/office/drawing/2014/main" id="{00000000-0008-0000-0900-00001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29" name="Text Box 11">
          <a:extLst>
            <a:ext uri="{FF2B5EF4-FFF2-40B4-BE49-F238E27FC236}">
              <a16:creationId xmlns="" xmlns:a16="http://schemas.microsoft.com/office/drawing/2014/main" id="{00000000-0008-0000-0900-00001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30" name="Text Box 12">
          <a:extLst>
            <a:ext uri="{FF2B5EF4-FFF2-40B4-BE49-F238E27FC236}">
              <a16:creationId xmlns="" xmlns:a16="http://schemas.microsoft.com/office/drawing/2014/main" id="{00000000-0008-0000-0900-00001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31" name="Text Box 13">
          <a:extLst>
            <a:ext uri="{FF2B5EF4-FFF2-40B4-BE49-F238E27FC236}">
              <a16:creationId xmlns="" xmlns:a16="http://schemas.microsoft.com/office/drawing/2014/main" id="{00000000-0008-0000-0900-00001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32" name="Text Box 14">
          <a:extLst>
            <a:ext uri="{FF2B5EF4-FFF2-40B4-BE49-F238E27FC236}">
              <a16:creationId xmlns="" xmlns:a16="http://schemas.microsoft.com/office/drawing/2014/main" id="{00000000-0008-0000-0900-000020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33" name="Text Box 15">
          <a:extLst>
            <a:ext uri="{FF2B5EF4-FFF2-40B4-BE49-F238E27FC236}">
              <a16:creationId xmlns="" xmlns:a16="http://schemas.microsoft.com/office/drawing/2014/main" id="{00000000-0008-0000-0900-000021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34" name="Text Box 16">
          <a:extLst>
            <a:ext uri="{FF2B5EF4-FFF2-40B4-BE49-F238E27FC236}">
              <a16:creationId xmlns="" xmlns:a16="http://schemas.microsoft.com/office/drawing/2014/main" id="{00000000-0008-0000-0900-00002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35" name="Text Box 17">
          <a:extLst>
            <a:ext uri="{FF2B5EF4-FFF2-40B4-BE49-F238E27FC236}">
              <a16:creationId xmlns="" xmlns:a16="http://schemas.microsoft.com/office/drawing/2014/main" id="{00000000-0008-0000-0900-00002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36" name="Text Box 18">
          <a:extLst>
            <a:ext uri="{FF2B5EF4-FFF2-40B4-BE49-F238E27FC236}">
              <a16:creationId xmlns="" xmlns:a16="http://schemas.microsoft.com/office/drawing/2014/main" id="{00000000-0008-0000-0900-00002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37" name="Text Box 19">
          <a:extLst>
            <a:ext uri="{FF2B5EF4-FFF2-40B4-BE49-F238E27FC236}">
              <a16:creationId xmlns="" xmlns:a16="http://schemas.microsoft.com/office/drawing/2014/main" id="{00000000-0008-0000-0900-00002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38" name="Text Box 20">
          <a:extLst>
            <a:ext uri="{FF2B5EF4-FFF2-40B4-BE49-F238E27FC236}">
              <a16:creationId xmlns="" xmlns:a16="http://schemas.microsoft.com/office/drawing/2014/main" id="{00000000-0008-0000-0900-00002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39" name="Text Box 21">
          <a:extLst>
            <a:ext uri="{FF2B5EF4-FFF2-40B4-BE49-F238E27FC236}">
              <a16:creationId xmlns="" xmlns:a16="http://schemas.microsoft.com/office/drawing/2014/main" id="{00000000-0008-0000-0900-00002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40" name="Text Box 25">
          <a:extLst>
            <a:ext uri="{FF2B5EF4-FFF2-40B4-BE49-F238E27FC236}">
              <a16:creationId xmlns="" xmlns:a16="http://schemas.microsoft.com/office/drawing/2014/main" id="{00000000-0008-0000-0900-00002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41" name="Text Box 26">
          <a:extLst>
            <a:ext uri="{FF2B5EF4-FFF2-40B4-BE49-F238E27FC236}">
              <a16:creationId xmlns="" xmlns:a16="http://schemas.microsoft.com/office/drawing/2014/main" id="{00000000-0008-0000-0900-00002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42" name="Text Box 27">
          <a:extLst>
            <a:ext uri="{FF2B5EF4-FFF2-40B4-BE49-F238E27FC236}">
              <a16:creationId xmlns="" xmlns:a16="http://schemas.microsoft.com/office/drawing/2014/main" id="{00000000-0008-0000-0900-00002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43" name="Text Box 28">
          <a:extLst>
            <a:ext uri="{FF2B5EF4-FFF2-40B4-BE49-F238E27FC236}">
              <a16:creationId xmlns="" xmlns:a16="http://schemas.microsoft.com/office/drawing/2014/main" id="{00000000-0008-0000-0900-00002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9980</xdr:rowOff>
    </xdr:to>
    <xdr:sp macro="" textlink="">
      <xdr:nvSpPr>
        <xdr:cNvPr id="44" name="Text Box 1">
          <a:extLst>
            <a:ext uri="{FF2B5EF4-FFF2-40B4-BE49-F238E27FC236}">
              <a16:creationId xmlns="" xmlns:a16="http://schemas.microsoft.com/office/drawing/2014/main" id="{00000000-0008-0000-0900-00002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19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45" name="Text Box 2">
          <a:extLst>
            <a:ext uri="{FF2B5EF4-FFF2-40B4-BE49-F238E27FC236}">
              <a16:creationId xmlns="" xmlns:a16="http://schemas.microsoft.com/office/drawing/2014/main" id="{00000000-0008-0000-0900-00002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46" name="Text Box 3">
          <a:extLst>
            <a:ext uri="{FF2B5EF4-FFF2-40B4-BE49-F238E27FC236}">
              <a16:creationId xmlns="" xmlns:a16="http://schemas.microsoft.com/office/drawing/2014/main" id="{00000000-0008-0000-0900-00002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47" name="Text Box 4">
          <a:extLst>
            <a:ext uri="{FF2B5EF4-FFF2-40B4-BE49-F238E27FC236}">
              <a16:creationId xmlns="" xmlns:a16="http://schemas.microsoft.com/office/drawing/2014/main" id="{00000000-0008-0000-0900-00002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48" name="Text Box 5">
          <a:extLst>
            <a:ext uri="{FF2B5EF4-FFF2-40B4-BE49-F238E27FC236}">
              <a16:creationId xmlns="" xmlns:a16="http://schemas.microsoft.com/office/drawing/2014/main" id="{00000000-0008-0000-0900-000030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49" name="Text Box 6">
          <a:extLst>
            <a:ext uri="{FF2B5EF4-FFF2-40B4-BE49-F238E27FC236}">
              <a16:creationId xmlns="" xmlns:a16="http://schemas.microsoft.com/office/drawing/2014/main" id="{00000000-0008-0000-0900-000031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50" name="Text Box 1">
          <a:extLst>
            <a:ext uri="{FF2B5EF4-FFF2-40B4-BE49-F238E27FC236}">
              <a16:creationId xmlns="" xmlns:a16="http://schemas.microsoft.com/office/drawing/2014/main" id="{00000000-0008-0000-0900-00003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51" name="Text Box 1">
          <a:extLst>
            <a:ext uri="{FF2B5EF4-FFF2-40B4-BE49-F238E27FC236}">
              <a16:creationId xmlns="" xmlns:a16="http://schemas.microsoft.com/office/drawing/2014/main" id="{00000000-0008-0000-0900-00003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52" name="Text Box 1">
          <a:extLst>
            <a:ext uri="{FF2B5EF4-FFF2-40B4-BE49-F238E27FC236}">
              <a16:creationId xmlns="" xmlns:a16="http://schemas.microsoft.com/office/drawing/2014/main" id="{00000000-0008-0000-0900-00003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53" name="Text Box 1">
          <a:extLst>
            <a:ext uri="{FF2B5EF4-FFF2-40B4-BE49-F238E27FC236}">
              <a16:creationId xmlns="" xmlns:a16="http://schemas.microsoft.com/office/drawing/2014/main" id="{00000000-0008-0000-0900-00003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54" name="Text Box 7">
          <a:extLst>
            <a:ext uri="{FF2B5EF4-FFF2-40B4-BE49-F238E27FC236}">
              <a16:creationId xmlns="" xmlns:a16="http://schemas.microsoft.com/office/drawing/2014/main" id="{00000000-0008-0000-0900-00003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55" name="Text Box 8">
          <a:extLst>
            <a:ext uri="{FF2B5EF4-FFF2-40B4-BE49-F238E27FC236}">
              <a16:creationId xmlns="" xmlns:a16="http://schemas.microsoft.com/office/drawing/2014/main" id="{00000000-0008-0000-0900-00003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56" name="Text Box 9">
          <a:extLst>
            <a:ext uri="{FF2B5EF4-FFF2-40B4-BE49-F238E27FC236}">
              <a16:creationId xmlns="" xmlns:a16="http://schemas.microsoft.com/office/drawing/2014/main" id="{00000000-0008-0000-0900-00003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57" name="Text Box 10">
          <a:extLst>
            <a:ext uri="{FF2B5EF4-FFF2-40B4-BE49-F238E27FC236}">
              <a16:creationId xmlns="" xmlns:a16="http://schemas.microsoft.com/office/drawing/2014/main" id="{00000000-0008-0000-0900-00003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58" name="Text Box 11">
          <a:extLst>
            <a:ext uri="{FF2B5EF4-FFF2-40B4-BE49-F238E27FC236}">
              <a16:creationId xmlns="" xmlns:a16="http://schemas.microsoft.com/office/drawing/2014/main" id="{00000000-0008-0000-0900-00003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59" name="Text Box 12">
          <a:extLst>
            <a:ext uri="{FF2B5EF4-FFF2-40B4-BE49-F238E27FC236}">
              <a16:creationId xmlns="" xmlns:a16="http://schemas.microsoft.com/office/drawing/2014/main" id="{00000000-0008-0000-0900-00003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60" name="Text Box 13">
          <a:extLst>
            <a:ext uri="{FF2B5EF4-FFF2-40B4-BE49-F238E27FC236}">
              <a16:creationId xmlns="" xmlns:a16="http://schemas.microsoft.com/office/drawing/2014/main" id="{00000000-0008-0000-0900-00003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61" name="Text Box 14">
          <a:extLst>
            <a:ext uri="{FF2B5EF4-FFF2-40B4-BE49-F238E27FC236}">
              <a16:creationId xmlns="" xmlns:a16="http://schemas.microsoft.com/office/drawing/2014/main" id="{00000000-0008-0000-0900-00003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62" name="Text Box 15">
          <a:extLst>
            <a:ext uri="{FF2B5EF4-FFF2-40B4-BE49-F238E27FC236}">
              <a16:creationId xmlns="" xmlns:a16="http://schemas.microsoft.com/office/drawing/2014/main" id="{00000000-0008-0000-0900-00003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63" name="Text Box 16">
          <a:extLst>
            <a:ext uri="{FF2B5EF4-FFF2-40B4-BE49-F238E27FC236}">
              <a16:creationId xmlns="" xmlns:a16="http://schemas.microsoft.com/office/drawing/2014/main" id="{00000000-0008-0000-0900-00003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64" name="Text Box 17">
          <a:extLst>
            <a:ext uri="{FF2B5EF4-FFF2-40B4-BE49-F238E27FC236}">
              <a16:creationId xmlns="" xmlns:a16="http://schemas.microsoft.com/office/drawing/2014/main" id="{00000000-0008-0000-0900-000040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65" name="Text Box 18">
          <a:extLst>
            <a:ext uri="{FF2B5EF4-FFF2-40B4-BE49-F238E27FC236}">
              <a16:creationId xmlns="" xmlns:a16="http://schemas.microsoft.com/office/drawing/2014/main" id="{00000000-0008-0000-0900-000041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66" name="Text Box 19">
          <a:extLst>
            <a:ext uri="{FF2B5EF4-FFF2-40B4-BE49-F238E27FC236}">
              <a16:creationId xmlns="" xmlns:a16="http://schemas.microsoft.com/office/drawing/2014/main" id="{00000000-0008-0000-0900-00004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67" name="Text Box 20">
          <a:extLst>
            <a:ext uri="{FF2B5EF4-FFF2-40B4-BE49-F238E27FC236}">
              <a16:creationId xmlns="" xmlns:a16="http://schemas.microsoft.com/office/drawing/2014/main" id="{00000000-0008-0000-0900-00004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68" name="Text Box 21">
          <a:extLst>
            <a:ext uri="{FF2B5EF4-FFF2-40B4-BE49-F238E27FC236}">
              <a16:creationId xmlns="" xmlns:a16="http://schemas.microsoft.com/office/drawing/2014/main" id="{00000000-0008-0000-0900-00004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69" name="Text Box 25">
          <a:extLst>
            <a:ext uri="{FF2B5EF4-FFF2-40B4-BE49-F238E27FC236}">
              <a16:creationId xmlns="" xmlns:a16="http://schemas.microsoft.com/office/drawing/2014/main" id="{00000000-0008-0000-0900-00004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70" name="Text Box 26">
          <a:extLst>
            <a:ext uri="{FF2B5EF4-FFF2-40B4-BE49-F238E27FC236}">
              <a16:creationId xmlns="" xmlns:a16="http://schemas.microsoft.com/office/drawing/2014/main" id="{00000000-0008-0000-0900-00004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71" name="Text Box 27">
          <a:extLst>
            <a:ext uri="{FF2B5EF4-FFF2-40B4-BE49-F238E27FC236}">
              <a16:creationId xmlns="" xmlns:a16="http://schemas.microsoft.com/office/drawing/2014/main" id="{00000000-0008-0000-0900-00004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72" name="Text Box 28">
          <a:extLst>
            <a:ext uri="{FF2B5EF4-FFF2-40B4-BE49-F238E27FC236}">
              <a16:creationId xmlns="" xmlns:a16="http://schemas.microsoft.com/office/drawing/2014/main" id="{00000000-0008-0000-0900-00004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9980</xdr:rowOff>
    </xdr:to>
    <xdr:sp macro="" textlink="">
      <xdr:nvSpPr>
        <xdr:cNvPr id="73" name="Text Box 1">
          <a:extLst>
            <a:ext uri="{FF2B5EF4-FFF2-40B4-BE49-F238E27FC236}">
              <a16:creationId xmlns="" xmlns:a16="http://schemas.microsoft.com/office/drawing/2014/main" id="{00000000-0008-0000-0900-00004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19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74" name="Text Box 2">
          <a:extLst>
            <a:ext uri="{FF2B5EF4-FFF2-40B4-BE49-F238E27FC236}">
              <a16:creationId xmlns="" xmlns:a16="http://schemas.microsoft.com/office/drawing/2014/main" id="{00000000-0008-0000-0900-00004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75" name="Text Box 3">
          <a:extLst>
            <a:ext uri="{FF2B5EF4-FFF2-40B4-BE49-F238E27FC236}">
              <a16:creationId xmlns="" xmlns:a16="http://schemas.microsoft.com/office/drawing/2014/main" id="{00000000-0008-0000-0900-00004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76" name="Text Box 4">
          <a:extLst>
            <a:ext uri="{FF2B5EF4-FFF2-40B4-BE49-F238E27FC236}">
              <a16:creationId xmlns="" xmlns:a16="http://schemas.microsoft.com/office/drawing/2014/main" id="{00000000-0008-0000-0900-00004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77" name="Text Box 5">
          <a:extLst>
            <a:ext uri="{FF2B5EF4-FFF2-40B4-BE49-F238E27FC236}">
              <a16:creationId xmlns="" xmlns:a16="http://schemas.microsoft.com/office/drawing/2014/main" id="{00000000-0008-0000-0900-00004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78" name="Text Box 6">
          <a:extLst>
            <a:ext uri="{FF2B5EF4-FFF2-40B4-BE49-F238E27FC236}">
              <a16:creationId xmlns="" xmlns:a16="http://schemas.microsoft.com/office/drawing/2014/main" id="{00000000-0008-0000-0900-00004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79" name="Text Box 7">
          <a:extLst>
            <a:ext uri="{FF2B5EF4-FFF2-40B4-BE49-F238E27FC236}">
              <a16:creationId xmlns="" xmlns:a16="http://schemas.microsoft.com/office/drawing/2014/main" id="{00000000-0008-0000-0900-00004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80" name="Text Box 8">
          <a:extLst>
            <a:ext uri="{FF2B5EF4-FFF2-40B4-BE49-F238E27FC236}">
              <a16:creationId xmlns="" xmlns:a16="http://schemas.microsoft.com/office/drawing/2014/main" id="{00000000-0008-0000-0900-000050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81" name="Text Box 9">
          <a:extLst>
            <a:ext uri="{FF2B5EF4-FFF2-40B4-BE49-F238E27FC236}">
              <a16:creationId xmlns="" xmlns:a16="http://schemas.microsoft.com/office/drawing/2014/main" id="{00000000-0008-0000-0900-000051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82" name="Text Box 10">
          <a:extLst>
            <a:ext uri="{FF2B5EF4-FFF2-40B4-BE49-F238E27FC236}">
              <a16:creationId xmlns="" xmlns:a16="http://schemas.microsoft.com/office/drawing/2014/main" id="{00000000-0008-0000-0900-00005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83" name="Text Box 11">
          <a:extLst>
            <a:ext uri="{FF2B5EF4-FFF2-40B4-BE49-F238E27FC236}">
              <a16:creationId xmlns="" xmlns:a16="http://schemas.microsoft.com/office/drawing/2014/main" id="{00000000-0008-0000-0900-00005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84" name="Text Box 12">
          <a:extLst>
            <a:ext uri="{FF2B5EF4-FFF2-40B4-BE49-F238E27FC236}">
              <a16:creationId xmlns="" xmlns:a16="http://schemas.microsoft.com/office/drawing/2014/main" id="{00000000-0008-0000-0900-00005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85" name="Text Box 13">
          <a:extLst>
            <a:ext uri="{FF2B5EF4-FFF2-40B4-BE49-F238E27FC236}">
              <a16:creationId xmlns="" xmlns:a16="http://schemas.microsoft.com/office/drawing/2014/main" id="{00000000-0008-0000-0900-00005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86" name="Text Box 14">
          <a:extLst>
            <a:ext uri="{FF2B5EF4-FFF2-40B4-BE49-F238E27FC236}">
              <a16:creationId xmlns="" xmlns:a16="http://schemas.microsoft.com/office/drawing/2014/main" id="{00000000-0008-0000-0900-00005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87" name="Text Box 15">
          <a:extLst>
            <a:ext uri="{FF2B5EF4-FFF2-40B4-BE49-F238E27FC236}">
              <a16:creationId xmlns="" xmlns:a16="http://schemas.microsoft.com/office/drawing/2014/main" id="{00000000-0008-0000-0900-00005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88" name="Text Box 16">
          <a:extLst>
            <a:ext uri="{FF2B5EF4-FFF2-40B4-BE49-F238E27FC236}">
              <a16:creationId xmlns="" xmlns:a16="http://schemas.microsoft.com/office/drawing/2014/main" id="{00000000-0008-0000-0900-00005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89" name="Text Box 17">
          <a:extLst>
            <a:ext uri="{FF2B5EF4-FFF2-40B4-BE49-F238E27FC236}">
              <a16:creationId xmlns="" xmlns:a16="http://schemas.microsoft.com/office/drawing/2014/main" id="{00000000-0008-0000-0900-00005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90" name="Text Box 18">
          <a:extLst>
            <a:ext uri="{FF2B5EF4-FFF2-40B4-BE49-F238E27FC236}">
              <a16:creationId xmlns="" xmlns:a16="http://schemas.microsoft.com/office/drawing/2014/main" id="{00000000-0008-0000-0900-00005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91" name="Text Box 19">
          <a:extLst>
            <a:ext uri="{FF2B5EF4-FFF2-40B4-BE49-F238E27FC236}">
              <a16:creationId xmlns="" xmlns:a16="http://schemas.microsoft.com/office/drawing/2014/main" id="{00000000-0008-0000-0900-00005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92" name="Text Box 20">
          <a:extLst>
            <a:ext uri="{FF2B5EF4-FFF2-40B4-BE49-F238E27FC236}">
              <a16:creationId xmlns="" xmlns:a16="http://schemas.microsoft.com/office/drawing/2014/main" id="{00000000-0008-0000-0900-00005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93" name="Text Box 21">
          <a:extLst>
            <a:ext uri="{FF2B5EF4-FFF2-40B4-BE49-F238E27FC236}">
              <a16:creationId xmlns="" xmlns:a16="http://schemas.microsoft.com/office/drawing/2014/main" id="{00000000-0008-0000-0900-00005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94" name="Text Box 25">
          <a:extLst>
            <a:ext uri="{FF2B5EF4-FFF2-40B4-BE49-F238E27FC236}">
              <a16:creationId xmlns="" xmlns:a16="http://schemas.microsoft.com/office/drawing/2014/main" id="{00000000-0008-0000-0900-00005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95" name="Text Box 26">
          <a:extLst>
            <a:ext uri="{FF2B5EF4-FFF2-40B4-BE49-F238E27FC236}">
              <a16:creationId xmlns="" xmlns:a16="http://schemas.microsoft.com/office/drawing/2014/main" id="{00000000-0008-0000-0900-00005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96" name="Text Box 27">
          <a:extLst>
            <a:ext uri="{FF2B5EF4-FFF2-40B4-BE49-F238E27FC236}">
              <a16:creationId xmlns="" xmlns:a16="http://schemas.microsoft.com/office/drawing/2014/main" id="{00000000-0008-0000-0900-000060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97" name="Text Box 28">
          <a:extLst>
            <a:ext uri="{FF2B5EF4-FFF2-40B4-BE49-F238E27FC236}">
              <a16:creationId xmlns="" xmlns:a16="http://schemas.microsoft.com/office/drawing/2014/main" id="{00000000-0008-0000-0900-000061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9980</xdr:rowOff>
    </xdr:to>
    <xdr:sp macro="" textlink="">
      <xdr:nvSpPr>
        <xdr:cNvPr id="98" name="Text Box 1">
          <a:extLst>
            <a:ext uri="{FF2B5EF4-FFF2-40B4-BE49-F238E27FC236}">
              <a16:creationId xmlns="" xmlns:a16="http://schemas.microsoft.com/office/drawing/2014/main" id="{00000000-0008-0000-0900-00006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19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99" name="Text Box 2">
          <a:extLst>
            <a:ext uri="{FF2B5EF4-FFF2-40B4-BE49-F238E27FC236}">
              <a16:creationId xmlns="" xmlns:a16="http://schemas.microsoft.com/office/drawing/2014/main" id="{00000000-0008-0000-0900-00006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00" name="Text Box 3">
          <a:extLst>
            <a:ext uri="{FF2B5EF4-FFF2-40B4-BE49-F238E27FC236}">
              <a16:creationId xmlns="" xmlns:a16="http://schemas.microsoft.com/office/drawing/2014/main" id="{00000000-0008-0000-0900-00006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01" name="Text Box 4">
          <a:extLst>
            <a:ext uri="{FF2B5EF4-FFF2-40B4-BE49-F238E27FC236}">
              <a16:creationId xmlns="" xmlns:a16="http://schemas.microsoft.com/office/drawing/2014/main" id="{00000000-0008-0000-0900-00006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02" name="Text Box 5">
          <a:extLst>
            <a:ext uri="{FF2B5EF4-FFF2-40B4-BE49-F238E27FC236}">
              <a16:creationId xmlns="" xmlns:a16="http://schemas.microsoft.com/office/drawing/2014/main" id="{00000000-0008-0000-0900-00006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03" name="Text Box 6">
          <a:extLst>
            <a:ext uri="{FF2B5EF4-FFF2-40B4-BE49-F238E27FC236}">
              <a16:creationId xmlns="" xmlns:a16="http://schemas.microsoft.com/office/drawing/2014/main" id="{00000000-0008-0000-0900-00006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04" name="Text Box 1">
          <a:extLst>
            <a:ext uri="{FF2B5EF4-FFF2-40B4-BE49-F238E27FC236}">
              <a16:creationId xmlns="" xmlns:a16="http://schemas.microsoft.com/office/drawing/2014/main" id="{00000000-0008-0000-0900-00006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05" name="Text Box 1">
          <a:extLst>
            <a:ext uri="{FF2B5EF4-FFF2-40B4-BE49-F238E27FC236}">
              <a16:creationId xmlns="" xmlns:a16="http://schemas.microsoft.com/office/drawing/2014/main" id="{00000000-0008-0000-0900-00006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06" name="Text Box 1">
          <a:extLst>
            <a:ext uri="{FF2B5EF4-FFF2-40B4-BE49-F238E27FC236}">
              <a16:creationId xmlns="" xmlns:a16="http://schemas.microsoft.com/office/drawing/2014/main" id="{00000000-0008-0000-0900-00006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07" name="Text Box 1">
          <a:extLst>
            <a:ext uri="{FF2B5EF4-FFF2-40B4-BE49-F238E27FC236}">
              <a16:creationId xmlns="" xmlns:a16="http://schemas.microsoft.com/office/drawing/2014/main" id="{00000000-0008-0000-0900-00006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08" name="Text Box 7">
          <a:extLst>
            <a:ext uri="{FF2B5EF4-FFF2-40B4-BE49-F238E27FC236}">
              <a16:creationId xmlns="" xmlns:a16="http://schemas.microsoft.com/office/drawing/2014/main" id="{00000000-0008-0000-0900-00006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09" name="Text Box 8">
          <a:extLst>
            <a:ext uri="{FF2B5EF4-FFF2-40B4-BE49-F238E27FC236}">
              <a16:creationId xmlns="" xmlns:a16="http://schemas.microsoft.com/office/drawing/2014/main" id="{00000000-0008-0000-0900-00006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10" name="Text Box 9">
          <a:extLst>
            <a:ext uri="{FF2B5EF4-FFF2-40B4-BE49-F238E27FC236}">
              <a16:creationId xmlns="" xmlns:a16="http://schemas.microsoft.com/office/drawing/2014/main" id="{00000000-0008-0000-0900-00006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11" name="Text Box 10">
          <a:extLst>
            <a:ext uri="{FF2B5EF4-FFF2-40B4-BE49-F238E27FC236}">
              <a16:creationId xmlns="" xmlns:a16="http://schemas.microsoft.com/office/drawing/2014/main" id="{00000000-0008-0000-0900-00006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12" name="Text Box 11">
          <a:extLst>
            <a:ext uri="{FF2B5EF4-FFF2-40B4-BE49-F238E27FC236}">
              <a16:creationId xmlns="" xmlns:a16="http://schemas.microsoft.com/office/drawing/2014/main" id="{00000000-0008-0000-0900-000070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13" name="Text Box 12">
          <a:extLst>
            <a:ext uri="{FF2B5EF4-FFF2-40B4-BE49-F238E27FC236}">
              <a16:creationId xmlns="" xmlns:a16="http://schemas.microsoft.com/office/drawing/2014/main" id="{00000000-0008-0000-0900-000071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14" name="Text Box 13">
          <a:extLst>
            <a:ext uri="{FF2B5EF4-FFF2-40B4-BE49-F238E27FC236}">
              <a16:creationId xmlns="" xmlns:a16="http://schemas.microsoft.com/office/drawing/2014/main" id="{00000000-0008-0000-0900-00007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15" name="Text Box 14">
          <a:extLst>
            <a:ext uri="{FF2B5EF4-FFF2-40B4-BE49-F238E27FC236}">
              <a16:creationId xmlns="" xmlns:a16="http://schemas.microsoft.com/office/drawing/2014/main" id="{00000000-0008-0000-0900-00007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16" name="Text Box 15">
          <a:extLst>
            <a:ext uri="{FF2B5EF4-FFF2-40B4-BE49-F238E27FC236}">
              <a16:creationId xmlns="" xmlns:a16="http://schemas.microsoft.com/office/drawing/2014/main" id="{00000000-0008-0000-0900-00007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17" name="Text Box 16">
          <a:extLst>
            <a:ext uri="{FF2B5EF4-FFF2-40B4-BE49-F238E27FC236}">
              <a16:creationId xmlns="" xmlns:a16="http://schemas.microsoft.com/office/drawing/2014/main" id="{00000000-0008-0000-0900-00007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18" name="Text Box 17">
          <a:extLst>
            <a:ext uri="{FF2B5EF4-FFF2-40B4-BE49-F238E27FC236}">
              <a16:creationId xmlns="" xmlns:a16="http://schemas.microsoft.com/office/drawing/2014/main" id="{00000000-0008-0000-0900-00007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19" name="Text Box 18">
          <a:extLst>
            <a:ext uri="{FF2B5EF4-FFF2-40B4-BE49-F238E27FC236}">
              <a16:creationId xmlns="" xmlns:a16="http://schemas.microsoft.com/office/drawing/2014/main" id="{00000000-0008-0000-0900-00007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20" name="Text Box 19">
          <a:extLst>
            <a:ext uri="{FF2B5EF4-FFF2-40B4-BE49-F238E27FC236}">
              <a16:creationId xmlns="" xmlns:a16="http://schemas.microsoft.com/office/drawing/2014/main" id="{00000000-0008-0000-0900-00007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21" name="Text Box 20">
          <a:extLst>
            <a:ext uri="{FF2B5EF4-FFF2-40B4-BE49-F238E27FC236}">
              <a16:creationId xmlns="" xmlns:a16="http://schemas.microsoft.com/office/drawing/2014/main" id="{00000000-0008-0000-0900-00007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22" name="Text Box 21">
          <a:extLst>
            <a:ext uri="{FF2B5EF4-FFF2-40B4-BE49-F238E27FC236}">
              <a16:creationId xmlns="" xmlns:a16="http://schemas.microsoft.com/office/drawing/2014/main" id="{00000000-0008-0000-0900-00007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23" name="Text Box 25">
          <a:extLst>
            <a:ext uri="{FF2B5EF4-FFF2-40B4-BE49-F238E27FC236}">
              <a16:creationId xmlns="" xmlns:a16="http://schemas.microsoft.com/office/drawing/2014/main" id="{00000000-0008-0000-0900-00007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24" name="Text Box 26">
          <a:extLst>
            <a:ext uri="{FF2B5EF4-FFF2-40B4-BE49-F238E27FC236}">
              <a16:creationId xmlns="" xmlns:a16="http://schemas.microsoft.com/office/drawing/2014/main" id="{00000000-0008-0000-0900-00007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25" name="Text Box 27">
          <a:extLst>
            <a:ext uri="{FF2B5EF4-FFF2-40B4-BE49-F238E27FC236}">
              <a16:creationId xmlns="" xmlns:a16="http://schemas.microsoft.com/office/drawing/2014/main" id="{00000000-0008-0000-0900-00007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26" name="Text Box 28">
          <a:extLst>
            <a:ext uri="{FF2B5EF4-FFF2-40B4-BE49-F238E27FC236}">
              <a16:creationId xmlns="" xmlns:a16="http://schemas.microsoft.com/office/drawing/2014/main" id="{00000000-0008-0000-0900-00007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9980</xdr:rowOff>
    </xdr:to>
    <xdr:sp macro="" textlink="">
      <xdr:nvSpPr>
        <xdr:cNvPr id="127" name="Text Box 1">
          <a:extLst>
            <a:ext uri="{FF2B5EF4-FFF2-40B4-BE49-F238E27FC236}">
              <a16:creationId xmlns="" xmlns:a16="http://schemas.microsoft.com/office/drawing/2014/main" id="{00000000-0008-0000-0900-00007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19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28" name="Text Box 2">
          <a:extLst>
            <a:ext uri="{FF2B5EF4-FFF2-40B4-BE49-F238E27FC236}">
              <a16:creationId xmlns="" xmlns:a16="http://schemas.microsoft.com/office/drawing/2014/main" id="{00000000-0008-0000-0900-000080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29" name="Text Box 3">
          <a:extLst>
            <a:ext uri="{FF2B5EF4-FFF2-40B4-BE49-F238E27FC236}">
              <a16:creationId xmlns="" xmlns:a16="http://schemas.microsoft.com/office/drawing/2014/main" id="{00000000-0008-0000-0900-000081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30" name="Text Box 4">
          <a:extLst>
            <a:ext uri="{FF2B5EF4-FFF2-40B4-BE49-F238E27FC236}">
              <a16:creationId xmlns="" xmlns:a16="http://schemas.microsoft.com/office/drawing/2014/main" id="{00000000-0008-0000-0900-00008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31" name="Text Box 5">
          <a:extLst>
            <a:ext uri="{FF2B5EF4-FFF2-40B4-BE49-F238E27FC236}">
              <a16:creationId xmlns="" xmlns:a16="http://schemas.microsoft.com/office/drawing/2014/main" id="{00000000-0008-0000-0900-00008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32" name="Text Box 6">
          <a:extLst>
            <a:ext uri="{FF2B5EF4-FFF2-40B4-BE49-F238E27FC236}">
              <a16:creationId xmlns="" xmlns:a16="http://schemas.microsoft.com/office/drawing/2014/main" id="{00000000-0008-0000-0900-00008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33" name="Text Box 7">
          <a:extLst>
            <a:ext uri="{FF2B5EF4-FFF2-40B4-BE49-F238E27FC236}">
              <a16:creationId xmlns="" xmlns:a16="http://schemas.microsoft.com/office/drawing/2014/main" id="{00000000-0008-0000-0900-00008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34" name="Text Box 8">
          <a:extLst>
            <a:ext uri="{FF2B5EF4-FFF2-40B4-BE49-F238E27FC236}">
              <a16:creationId xmlns="" xmlns:a16="http://schemas.microsoft.com/office/drawing/2014/main" id="{00000000-0008-0000-0900-00008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35" name="Text Box 9">
          <a:extLst>
            <a:ext uri="{FF2B5EF4-FFF2-40B4-BE49-F238E27FC236}">
              <a16:creationId xmlns="" xmlns:a16="http://schemas.microsoft.com/office/drawing/2014/main" id="{00000000-0008-0000-0900-00008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36" name="Text Box 10">
          <a:extLst>
            <a:ext uri="{FF2B5EF4-FFF2-40B4-BE49-F238E27FC236}">
              <a16:creationId xmlns="" xmlns:a16="http://schemas.microsoft.com/office/drawing/2014/main" id="{00000000-0008-0000-0900-00008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37" name="Text Box 11">
          <a:extLst>
            <a:ext uri="{FF2B5EF4-FFF2-40B4-BE49-F238E27FC236}">
              <a16:creationId xmlns="" xmlns:a16="http://schemas.microsoft.com/office/drawing/2014/main" id="{00000000-0008-0000-0900-00008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38" name="Text Box 12">
          <a:extLst>
            <a:ext uri="{FF2B5EF4-FFF2-40B4-BE49-F238E27FC236}">
              <a16:creationId xmlns="" xmlns:a16="http://schemas.microsoft.com/office/drawing/2014/main" id="{00000000-0008-0000-0900-00008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39" name="Text Box 13">
          <a:extLst>
            <a:ext uri="{FF2B5EF4-FFF2-40B4-BE49-F238E27FC236}">
              <a16:creationId xmlns="" xmlns:a16="http://schemas.microsoft.com/office/drawing/2014/main" id="{00000000-0008-0000-0900-00008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40" name="Text Box 14">
          <a:extLst>
            <a:ext uri="{FF2B5EF4-FFF2-40B4-BE49-F238E27FC236}">
              <a16:creationId xmlns="" xmlns:a16="http://schemas.microsoft.com/office/drawing/2014/main" id="{00000000-0008-0000-0900-00008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41" name="Text Box 15">
          <a:extLst>
            <a:ext uri="{FF2B5EF4-FFF2-40B4-BE49-F238E27FC236}">
              <a16:creationId xmlns="" xmlns:a16="http://schemas.microsoft.com/office/drawing/2014/main" id="{00000000-0008-0000-0900-00008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42" name="Text Box 16">
          <a:extLst>
            <a:ext uri="{FF2B5EF4-FFF2-40B4-BE49-F238E27FC236}">
              <a16:creationId xmlns="" xmlns:a16="http://schemas.microsoft.com/office/drawing/2014/main" id="{00000000-0008-0000-0900-00008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43" name="Text Box 17">
          <a:extLst>
            <a:ext uri="{FF2B5EF4-FFF2-40B4-BE49-F238E27FC236}">
              <a16:creationId xmlns="" xmlns:a16="http://schemas.microsoft.com/office/drawing/2014/main" id="{00000000-0008-0000-0900-00008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44" name="Text Box 18">
          <a:extLst>
            <a:ext uri="{FF2B5EF4-FFF2-40B4-BE49-F238E27FC236}">
              <a16:creationId xmlns="" xmlns:a16="http://schemas.microsoft.com/office/drawing/2014/main" id="{00000000-0008-0000-0900-000090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45" name="Text Box 19">
          <a:extLst>
            <a:ext uri="{FF2B5EF4-FFF2-40B4-BE49-F238E27FC236}">
              <a16:creationId xmlns="" xmlns:a16="http://schemas.microsoft.com/office/drawing/2014/main" id="{00000000-0008-0000-0900-000091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46" name="Text Box 20">
          <a:extLst>
            <a:ext uri="{FF2B5EF4-FFF2-40B4-BE49-F238E27FC236}">
              <a16:creationId xmlns="" xmlns:a16="http://schemas.microsoft.com/office/drawing/2014/main" id="{00000000-0008-0000-0900-00009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47" name="Text Box 21">
          <a:extLst>
            <a:ext uri="{FF2B5EF4-FFF2-40B4-BE49-F238E27FC236}">
              <a16:creationId xmlns="" xmlns:a16="http://schemas.microsoft.com/office/drawing/2014/main" id="{00000000-0008-0000-0900-00009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48" name="Text Box 25">
          <a:extLst>
            <a:ext uri="{FF2B5EF4-FFF2-40B4-BE49-F238E27FC236}">
              <a16:creationId xmlns="" xmlns:a16="http://schemas.microsoft.com/office/drawing/2014/main" id="{00000000-0008-0000-0900-00009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49" name="Text Box 26">
          <a:extLst>
            <a:ext uri="{FF2B5EF4-FFF2-40B4-BE49-F238E27FC236}">
              <a16:creationId xmlns="" xmlns:a16="http://schemas.microsoft.com/office/drawing/2014/main" id="{00000000-0008-0000-0900-00009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50" name="Text Box 27">
          <a:extLst>
            <a:ext uri="{FF2B5EF4-FFF2-40B4-BE49-F238E27FC236}">
              <a16:creationId xmlns="" xmlns:a16="http://schemas.microsoft.com/office/drawing/2014/main" id="{00000000-0008-0000-0900-00009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51" name="Text Box 28">
          <a:extLst>
            <a:ext uri="{FF2B5EF4-FFF2-40B4-BE49-F238E27FC236}">
              <a16:creationId xmlns="" xmlns:a16="http://schemas.microsoft.com/office/drawing/2014/main" id="{00000000-0008-0000-0900-00009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9980</xdr:rowOff>
    </xdr:to>
    <xdr:sp macro="" textlink="">
      <xdr:nvSpPr>
        <xdr:cNvPr id="152" name="Text Box 1">
          <a:extLst>
            <a:ext uri="{FF2B5EF4-FFF2-40B4-BE49-F238E27FC236}">
              <a16:creationId xmlns="" xmlns:a16="http://schemas.microsoft.com/office/drawing/2014/main" id="{00000000-0008-0000-0900-00009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19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53" name="Text Box 2">
          <a:extLst>
            <a:ext uri="{FF2B5EF4-FFF2-40B4-BE49-F238E27FC236}">
              <a16:creationId xmlns="" xmlns:a16="http://schemas.microsoft.com/office/drawing/2014/main" id="{00000000-0008-0000-0900-00009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54" name="Text Box 3">
          <a:extLst>
            <a:ext uri="{FF2B5EF4-FFF2-40B4-BE49-F238E27FC236}">
              <a16:creationId xmlns="" xmlns:a16="http://schemas.microsoft.com/office/drawing/2014/main" id="{00000000-0008-0000-0900-00009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55" name="Text Box 4">
          <a:extLst>
            <a:ext uri="{FF2B5EF4-FFF2-40B4-BE49-F238E27FC236}">
              <a16:creationId xmlns="" xmlns:a16="http://schemas.microsoft.com/office/drawing/2014/main" id="{00000000-0008-0000-0900-00009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56" name="Text Box 5">
          <a:extLst>
            <a:ext uri="{FF2B5EF4-FFF2-40B4-BE49-F238E27FC236}">
              <a16:creationId xmlns="" xmlns:a16="http://schemas.microsoft.com/office/drawing/2014/main" id="{00000000-0008-0000-0900-00009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57" name="Text Box 6">
          <a:extLst>
            <a:ext uri="{FF2B5EF4-FFF2-40B4-BE49-F238E27FC236}">
              <a16:creationId xmlns="" xmlns:a16="http://schemas.microsoft.com/office/drawing/2014/main" id="{00000000-0008-0000-0900-00009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58" name="Text Box 1">
          <a:extLst>
            <a:ext uri="{FF2B5EF4-FFF2-40B4-BE49-F238E27FC236}">
              <a16:creationId xmlns="" xmlns:a16="http://schemas.microsoft.com/office/drawing/2014/main" id="{00000000-0008-0000-0900-00009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59" name="Text Box 1">
          <a:extLst>
            <a:ext uri="{FF2B5EF4-FFF2-40B4-BE49-F238E27FC236}">
              <a16:creationId xmlns="" xmlns:a16="http://schemas.microsoft.com/office/drawing/2014/main" id="{00000000-0008-0000-0900-00009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29030</xdr:rowOff>
    </xdr:to>
    <xdr:sp macro="" textlink="">
      <xdr:nvSpPr>
        <xdr:cNvPr id="160" name="Text Box 1">
          <a:extLst>
            <a:ext uri="{FF2B5EF4-FFF2-40B4-BE49-F238E27FC236}">
              <a16:creationId xmlns="" xmlns:a16="http://schemas.microsoft.com/office/drawing/2014/main" id="{00000000-0008-0000-0900-0000A0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61" name="Text Box 7">
          <a:extLst>
            <a:ext uri="{FF2B5EF4-FFF2-40B4-BE49-F238E27FC236}">
              <a16:creationId xmlns="" xmlns:a16="http://schemas.microsoft.com/office/drawing/2014/main" id="{00000000-0008-0000-0900-0000A1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62" name="Text Box 8">
          <a:extLst>
            <a:ext uri="{FF2B5EF4-FFF2-40B4-BE49-F238E27FC236}">
              <a16:creationId xmlns="" xmlns:a16="http://schemas.microsoft.com/office/drawing/2014/main" id="{00000000-0008-0000-0900-0000A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63" name="Text Box 9">
          <a:extLst>
            <a:ext uri="{FF2B5EF4-FFF2-40B4-BE49-F238E27FC236}">
              <a16:creationId xmlns="" xmlns:a16="http://schemas.microsoft.com/office/drawing/2014/main" id="{00000000-0008-0000-0900-0000A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64" name="Text Box 10">
          <a:extLst>
            <a:ext uri="{FF2B5EF4-FFF2-40B4-BE49-F238E27FC236}">
              <a16:creationId xmlns="" xmlns:a16="http://schemas.microsoft.com/office/drawing/2014/main" id="{00000000-0008-0000-0900-0000A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65" name="Text Box 11">
          <a:extLst>
            <a:ext uri="{FF2B5EF4-FFF2-40B4-BE49-F238E27FC236}">
              <a16:creationId xmlns="" xmlns:a16="http://schemas.microsoft.com/office/drawing/2014/main" id="{00000000-0008-0000-0900-0000A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66" name="Text Box 12">
          <a:extLst>
            <a:ext uri="{FF2B5EF4-FFF2-40B4-BE49-F238E27FC236}">
              <a16:creationId xmlns="" xmlns:a16="http://schemas.microsoft.com/office/drawing/2014/main" id="{00000000-0008-0000-0900-0000A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67" name="Text Box 13">
          <a:extLst>
            <a:ext uri="{FF2B5EF4-FFF2-40B4-BE49-F238E27FC236}">
              <a16:creationId xmlns="" xmlns:a16="http://schemas.microsoft.com/office/drawing/2014/main" id="{00000000-0008-0000-0900-0000A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68" name="Text Box 14">
          <a:extLst>
            <a:ext uri="{FF2B5EF4-FFF2-40B4-BE49-F238E27FC236}">
              <a16:creationId xmlns="" xmlns:a16="http://schemas.microsoft.com/office/drawing/2014/main" id="{00000000-0008-0000-0900-0000A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69" name="Text Box 15">
          <a:extLst>
            <a:ext uri="{FF2B5EF4-FFF2-40B4-BE49-F238E27FC236}">
              <a16:creationId xmlns="" xmlns:a16="http://schemas.microsoft.com/office/drawing/2014/main" id="{00000000-0008-0000-0900-0000A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70" name="Text Box 16">
          <a:extLst>
            <a:ext uri="{FF2B5EF4-FFF2-40B4-BE49-F238E27FC236}">
              <a16:creationId xmlns="" xmlns:a16="http://schemas.microsoft.com/office/drawing/2014/main" id="{00000000-0008-0000-0900-0000A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71" name="Text Box 17">
          <a:extLst>
            <a:ext uri="{FF2B5EF4-FFF2-40B4-BE49-F238E27FC236}">
              <a16:creationId xmlns="" xmlns:a16="http://schemas.microsoft.com/office/drawing/2014/main" id="{00000000-0008-0000-0900-0000A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72" name="Text Box 18">
          <a:extLst>
            <a:ext uri="{FF2B5EF4-FFF2-40B4-BE49-F238E27FC236}">
              <a16:creationId xmlns="" xmlns:a16="http://schemas.microsoft.com/office/drawing/2014/main" id="{00000000-0008-0000-0900-0000A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73" name="Text Box 19">
          <a:extLst>
            <a:ext uri="{FF2B5EF4-FFF2-40B4-BE49-F238E27FC236}">
              <a16:creationId xmlns="" xmlns:a16="http://schemas.microsoft.com/office/drawing/2014/main" id="{00000000-0008-0000-0900-0000A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74" name="Text Box 20">
          <a:extLst>
            <a:ext uri="{FF2B5EF4-FFF2-40B4-BE49-F238E27FC236}">
              <a16:creationId xmlns="" xmlns:a16="http://schemas.microsoft.com/office/drawing/2014/main" id="{00000000-0008-0000-0900-0000A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75" name="Text Box 21">
          <a:extLst>
            <a:ext uri="{FF2B5EF4-FFF2-40B4-BE49-F238E27FC236}">
              <a16:creationId xmlns="" xmlns:a16="http://schemas.microsoft.com/office/drawing/2014/main" id="{00000000-0008-0000-0900-0000A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76" name="Text Box 25">
          <a:extLst>
            <a:ext uri="{FF2B5EF4-FFF2-40B4-BE49-F238E27FC236}">
              <a16:creationId xmlns="" xmlns:a16="http://schemas.microsoft.com/office/drawing/2014/main" id="{00000000-0008-0000-0900-0000B0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77" name="Text Box 26">
          <a:extLst>
            <a:ext uri="{FF2B5EF4-FFF2-40B4-BE49-F238E27FC236}">
              <a16:creationId xmlns="" xmlns:a16="http://schemas.microsoft.com/office/drawing/2014/main" id="{00000000-0008-0000-0900-0000B1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78" name="Text Box 27">
          <a:extLst>
            <a:ext uri="{FF2B5EF4-FFF2-40B4-BE49-F238E27FC236}">
              <a16:creationId xmlns="" xmlns:a16="http://schemas.microsoft.com/office/drawing/2014/main" id="{00000000-0008-0000-0900-0000B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79" name="Text Box 28">
          <a:extLst>
            <a:ext uri="{FF2B5EF4-FFF2-40B4-BE49-F238E27FC236}">
              <a16:creationId xmlns="" xmlns:a16="http://schemas.microsoft.com/office/drawing/2014/main" id="{00000000-0008-0000-0900-0000B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80" name="Text Box 1">
          <a:extLst>
            <a:ext uri="{FF2B5EF4-FFF2-40B4-BE49-F238E27FC236}">
              <a16:creationId xmlns="" xmlns:a16="http://schemas.microsoft.com/office/drawing/2014/main" id="{00000000-0008-0000-0900-0000B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81" name="Text Box 2">
          <a:extLst>
            <a:ext uri="{FF2B5EF4-FFF2-40B4-BE49-F238E27FC236}">
              <a16:creationId xmlns="" xmlns:a16="http://schemas.microsoft.com/office/drawing/2014/main" id="{00000000-0008-0000-0900-0000B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82" name="Text Box 3">
          <a:extLst>
            <a:ext uri="{FF2B5EF4-FFF2-40B4-BE49-F238E27FC236}">
              <a16:creationId xmlns="" xmlns:a16="http://schemas.microsoft.com/office/drawing/2014/main" id="{00000000-0008-0000-0900-0000B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83" name="Text Box 4">
          <a:extLst>
            <a:ext uri="{FF2B5EF4-FFF2-40B4-BE49-F238E27FC236}">
              <a16:creationId xmlns="" xmlns:a16="http://schemas.microsoft.com/office/drawing/2014/main" id="{00000000-0008-0000-0900-0000B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84" name="Text Box 5">
          <a:extLst>
            <a:ext uri="{FF2B5EF4-FFF2-40B4-BE49-F238E27FC236}">
              <a16:creationId xmlns="" xmlns:a16="http://schemas.microsoft.com/office/drawing/2014/main" id="{00000000-0008-0000-0900-0000B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85" name="Text Box 6">
          <a:extLst>
            <a:ext uri="{FF2B5EF4-FFF2-40B4-BE49-F238E27FC236}">
              <a16:creationId xmlns="" xmlns:a16="http://schemas.microsoft.com/office/drawing/2014/main" id="{00000000-0008-0000-0900-0000B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86" name="Text Box 7">
          <a:extLst>
            <a:ext uri="{FF2B5EF4-FFF2-40B4-BE49-F238E27FC236}">
              <a16:creationId xmlns="" xmlns:a16="http://schemas.microsoft.com/office/drawing/2014/main" id="{00000000-0008-0000-0900-0000B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87" name="Text Box 8">
          <a:extLst>
            <a:ext uri="{FF2B5EF4-FFF2-40B4-BE49-F238E27FC236}">
              <a16:creationId xmlns="" xmlns:a16="http://schemas.microsoft.com/office/drawing/2014/main" id="{00000000-0008-0000-0900-0000B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88" name="Text Box 9">
          <a:extLst>
            <a:ext uri="{FF2B5EF4-FFF2-40B4-BE49-F238E27FC236}">
              <a16:creationId xmlns="" xmlns:a16="http://schemas.microsoft.com/office/drawing/2014/main" id="{00000000-0008-0000-0900-0000B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89" name="Text Box 10">
          <a:extLst>
            <a:ext uri="{FF2B5EF4-FFF2-40B4-BE49-F238E27FC236}">
              <a16:creationId xmlns="" xmlns:a16="http://schemas.microsoft.com/office/drawing/2014/main" id="{00000000-0008-0000-0900-0000B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90" name="Text Box 11">
          <a:extLst>
            <a:ext uri="{FF2B5EF4-FFF2-40B4-BE49-F238E27FC236}">
              <a16:creationId xmlns="" xmlns:a16="http://schemas.microsoft.com/office/drawing/2014/main" id="{00000000-0008-0000-0900-0000B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91" name="Text Box 12">
          <a:extLst>
            <a:ext uri="{FF2B5EF4-FFF2-40B4-BE49-F238E27FC236}">
              <a16:creationId xmlns="" xmlns:a16="http://schemas.microsoft.com/office/drawing/2014/main" id="{00000000-0008-0000-0900-0000B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92" name="Text Box 13">
          <a:extLst>
            <a:ext uri="{FF2B5EF4-FFF2-40B4-BE49-F238E27FC236}">
              <a16:creationId xmlns="" xmlns:a16="http://schemas.microsoft.com/office/drawing/2014/main" id="{00000000-0008-0000-0900-0000C0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93" name="Text Box 14">
          <a:extLst>
            <a:ext uri="{FF2B5EF4-FFF2-40B4-BE49-F238E27FC236}">
              <a16:creationId xmlns="" xmlns:a16="http://schemas.microsoft.com/office/drawing/2014/main" id="{00000000-0008-0000-0900-0000C1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94" name="Text Box 15">
          <a:extLst>
            <a:ext uri="{FF2B5EF4-FFF2-40B4-BE49-F238E27FC236}">
              <a16:creationId xmlns="" xmlns:a16="http://schemas.microsoft.com/office/drawing/2014/main" id="{00000000-0008-0000-0900-0000C2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95" name="Text Box 16">
          <a:extLst>
            <a:ext uri="{FF2B5EF4-FFF2-40B4-BE49-F238E27FC236}">
              <a16:creationId xmlns="" xmlns:a16="http://schemas.microsoft.com/office/drawing/2014/main" id="{00000000-0008-0000-0900-0000C3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96" name="Text Box 17">
          <a:extLst>
            <a:ext uri="{FF2B5EF4-FFF2-40B4-BE49-F238E27FC236}">
              <a16:creationId xmlns="" xmlns:a16="http://schemas.microsoft.com/office/drawing/2014/main" id="{00000000-0008-0000-0900-0000C4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97" name="Text Box 18">
          <a:extLst>
            <a:ext uri="{FF2B5EF4-FFF2-40B4-BE49-F238E27FC236}">
              <a16:creationId xmlns="" xmlns:a16="http://schemas.microsoft.com/office/drawing/2014/main" id="{00000000-0008-0000-0900-0000C5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98" name="Text Box 19">
          <a:extLst>
            <a:ext uri="{FF2B5EF4-FFF2-40B4-BE49-F238E27FC236}">
              <a16:creationId xmlns="" xmlns:a16="http://schemas.microsoft.com/office/drawing/2014/main" id="{00000000-0008-0000-0900-0000C6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199" name="Text Box 20">
          <a:extLst>
            <a:ext uri="{FF2B5EF4-FFF2-40B4-BE49-F238E27FC236}">
              <a16:creationId xmlns="" xmlns:a16="http://schemas.microsoft.com/office/drawing/2014/main" id="{00000000-0008-0000-0900-0000C7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200" name="Text Box 21">
          <a:extLst>
            <a:ext uri="{FF2B5EF4-FFF2-40B4-BE49-F238E27FC236}">
              <a16:creationId xmlns="" xmlns:a16="http://schemas.microsoft.com/office/drawing/2014/main" id="{00000000-0008-0000-0900-0000C8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201" name="Text Box 25">
          <a:extLst>
            <a:ext uri="{FF2B5EF4-FFF2-40B4-BE49-F238E27FC236}">
              <a16:creationId xmlns="" xmlns:a16="http://schemas.microsoft.com/office/drawing/2014/main" id="{00000000-0008-0000-0900-0000C9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202" name="Text Box 26">
          <a:extLst>
            <a:ext uri="{FF2B5EF4-FFF2-40B4-BE49-F238E27FC236}">
              <a16:creationId xmlns="" xmlns:a16="http://schemas.microsoft.com/office/drawing/2014/main" id="{00000000-0008-0000-0900-0000CA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203" name="Text Box 27">
          <a:extLst>
            <a:ext uri="{FF2B5EF4-FFF2-40B4-BE49-F238E27FC236}">
              <a16:creationId xmlns="" xmlns:a16="http://schemas.microsoft.com/office/drawing/2014/main" id="{00000000-0008-0000-0900-0000CB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204" name="Text Box 28">
          <a:extLst>
            <a:ext uri="{FF2B5EF4-FFF2-40B4-BE49-F238E27FC236}">
              <a16:creationId xmlns="" xmlns:a16="http://schemas.microsoft.com/office/drawing/2014/main" id="{00000000-0008-0000-0900-0000CC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205" name="Text Box 1">
          <a:extLst>
            <a:ext uri="{FF2B5EF4-FFF2-40B4-BE49-F238E27FC236}">
              <a16:creationId xmlns="" xmlns:a16="http://schemas.microsoft.com/office/drawing/2014/main" id="{00000000-0008-0000-0900-0000CD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206" name="Text Box 2">
          <a:extLst>
            <a:ext uri="{FF2B5EF4-FFF2-40B4-BE49-F238E27FC236}">
              <a16:creationId xmlns="" xmlns:a16="http://schemas.microsoft.com/office/drawing/2014/main" id="{00000000-0008-0000-0900-0000CE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4</xdr:row>
      <xdr:rowOff>0</xdr:rowOff>
    </xdr:from>
    <xdr:to>
      <xdr:col>1</xdr:col>
      <xdr:colOff>958094</xdr:colOff>
      <xdr:row>5</xdr:row>
      <xdr:rowOff>27215</xdr:rowOff>
    </xdr:to>
    <xdr:sp macro="" textlink="">
      <xdr:nvSpPr>
        <xdr:cNvPr id="207" name="Text Box 3">
          <a:extLst>
            <a:ext uri="{FF2B5EF4-FFF2-40B4-BE49-F238E27FC236}">
              <a16:creationId xmlns="" xmlns:a16="http://schemas.microsoft.com/office/drawing/2014/main" id="{00000000-0008-0000-0900-0000CF000000}"/>
            </a:ext>
          </a:extLst>
        </xdr:cNvPr>
        <xdr:cNvSpPr txBox="1">
          <a:spLocks noChangeArrowheads="1"/>
        </xdr:cNvSpPr>
      </xdr:nvSpPr>
      <xdr:spPr bwMode="auto">
        <a:xfrm>
          <a:off x="133350" y="830580"/>
          <a:ext cx="1076204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169636</xdr:colOff>
      <xdr:row>13</xdr:row>
      <xdr:rowOff>163286</xdr:rowOff>
    </xdr:from>
    <xdr:to>
      <xdr:col>12</xdr:col>
      <xdr:colOff>293193</xdr:colOff>
      <xdr:row>16</xdr:row>
      <xdr:rowOff>63582</xdr:rowOff>
    </xdr:to>
    <xdr:sp macro="" textlink="">
      <xdr:nvSpPr>
        <xdr:cNvPr id="208" name="Text Box 6">
          <a:extLst>
            <a:ext uri="{FF2B5EF4-FFF2-40B4-BE49-F238E27FC236}">
              <a16:creationId xmlns="" xmlns:a16="http://schemas.microsoft.com/office/drawing/2014/main" id="{00000000-0008-0000-0900-0000D0000000}"/>
            </a:ext>
          </a:extLst>
        </xdr:cNvPr>
        <xdr:cNvSpPr txBox="1">
          <a:spLocks noChangeArrowheads="1"/>
        </xdr:cNvSpPr>
      </xdr:nvSpPr>
      <xdr:spPr bwMode="auto">
        <a:xfrm>
          <a:off x="7835356" y="3317966"/>
          <a:ext cx="760886" cy="39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171450</xdr:colOff>
      <xdr:row>4</xdr:row>
      <xdr:rowOff>0</xdr:rowOff>
    </xdr:from>
    <xdr:to>
      <xdr:col>1</xdr:col>
      <xdr:colOff>607695</xdr:colOff>
      <xdr:row>5</xdr:row>
      <xdr:rowOff>64862</xdr:rowOff>
    </xdr:to>
    <xdr:sp macro="" textlink="">
      <xdr:nvSpPr>
        <xdr:cNvPr id="209" name="Text Box 1">
          <a:extLst>
            <a:ext uri="{FF2B5EF4-FFF2-40B4-BE49-F238E27FC236}">
              <a16:creationId xmlns="" xmlns:a16="http://schemas.microsoft.com/office/drawing/2014/main" id="{00000000-0008-0000-0900-0000D1000000}"/>
            </a:ext>
          </a:extLst>
        </xdr:cNvPr>
        <xdr:cNvSpPr txBox="1">
          <a:spLocks noChangeArrowheads="1"/>
        </xdr:cNvSpPr>
      </xdr:nvSpPr>
      <xdr:spPr bwMode="auto">
        <a:xfrm>
          <a:off x="422910" y="830580"/>
          <a:ext cx="436245" cy="24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581025</xdr:colOff>
      <xdr:row>4</xdr:row>
      <xdr:rowOff>0</xdr:rowOff>
    </xdr:from>
    <xdr:to>
      <xdr:col>1</xdr:col>
      <xdr:colOff>609792</xdr:colOff>
      <xdr:row>5</xdr:row>
      <xdr:rowOff>27215</xdr:rowOff>
    </xdr:to>
    <xdr:sp macro="" textlink="">
      <xdr:nvSpPr>
        <xdr:cNvPr id="210" name="Text Box 1">
          <a:extLst>
            <a:ext uri="{FF2B5EF4-FFF2-40B4-BE49-F238E27FC236}">
              <a16:creationId xmlns="" xmlns:a16="http://schemas.microsoft.com/office/drawing/2014/main" id="{00000000-0008-0000-0900-0000D2000000}"/>
            </a:ext>
          </a:extLst>
        </xdr:cNvPr>
        <xdr:cNvSpPr txBox="1">
          <a:spLocks noChangeArrowheads="1"/>
        </xdr:cNvSpPr>
      </xdr:nvSpPr>
      <xdr:spPr bwMode="auto">
        <a:xfrm>
          <a:off x="832485" y="830580"/>
          <a:ext cx="28767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</xdr:row>
      <xdr:rowOff>0</xdr:rowOff>
    </xdr:from>
    <xdr:to>
      <xdr:col>15</xdr:col>
      <xdr:colOff>119589</xdr:colOff>
      <xdr:row>5</xdr:row>
      <xdr:rowOff>27215</xdr:rowOff>
    </xdr:to>
    <xdr:sp macro="" textlink="">
      <xdr:nvSpPr>
        <xdr:cNvPr id="211" name="Text Box 1">
          <a:extLst>
            <a:ext uri="{FF2B5EF4-FFF2-40B4-BE49-F238E27FC236}">
              <a16:creationId xmlns="" xmlns:a16="http://schemas.microsoft.com/office/drawing/2014/main" id="{00000000-0008-0000-0900-0000D3000000}"/>
            </a:ext>
          </a:extLst>
        </xdr:cNvPr>
        <xdr:cNvSpPr txBox="1">
          <a:spLocks noChangeArrowheads="1"/>
        </xdr:cNvSpPr>
      </xdr:nvSpPr>
      <xdr:spPr bwMode="auto">
        <a:xfrm>
          <a:off x="9532620" y="830580"/>
          <a:ext cx="809360" cy="21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4</xdr:row>
      <xdr:rowOff>0</xdr:rowOff>
    </xdr:from>
    <xdr:to>
      <xdr:col>15</xdr:col>
      <xdr:colOff>110064</xdr:colOff>
      <xdr:row>5</xdr:row>
      <xdr:rowOff>27216</xdr:rowOff>
    </xdr:to>
    <xdr:sp macro="" textlink="">
      <xdr:nvSpPr>
        <xdr:cNvPr id="212" name="Text Box 1">
          <a:extLst>
            <a:ext uri="{FF2B5EF4-FFF2-40B4-BE49-F238E27FC236}">
              <a16:creationId xmlns="" xmlns:a16="http://schemas.microsoft.com/office/drawing/2014/main" id="{00000000-0008-0000-0900-0000D4000000}"/>
            </a:ext>
          </a:extLst>
        </xdr:cNvPr>
        <xdr:cNvSpPr txBox="1">
          <a:spLocks noChangeArrowheads="1"/>
        </xdr:cNvSpPr>
      </xdr:nvSpPr>
      <xdr:spPr bwMode="auto">
        <a:xfrm>
          <a:off x="9494520" y="830580"/>
          <a:ext cx="837935" cy="210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117199</xdr:colOff>
      <xdr:row>64</xdr:row>
      <xdr:rowOff>77442</xdr:rowOff>
    </xdr:from>
    <xdr:to>
      <xdr:col>1</xdr:col>
      <xdr:colOff>957183</xdr:colOff>
      <xdr:row>67</xdr:row>
      <xdr:rowOff>73592</xdr:rowOff>
    </xdr:to>
    <xdr:sp macro="" textlink="">
      <xdr:nvSpPr>
        <xdr:cNvPr id="213" name="Text Box 1">
          <a:extLst>
            <a:ext uri="{FF2B5EF4-FFF2-40B4-BE49-F238E27FC236}">
              <a16:creationId xmlns="" xmlns:a16="http://schemas.microsoft.com/office/drawing/2014/main" id="{00000000-0008-0000-0900-0000D5000000}"/>
            </a:ext>
          </a:extLst>
        </xdr:cNvPr>
        <xdr:cNvSpPr txBox="1">
          <a:spLocks noChangeArrowheads="1"/>
        </xdr:cNvSpPr>
      </xdr:nvSpPr>
      <xdr:spPr bwMode="auto">
        <a:xfrm>
          <a:off x="117199" y="12277062"/>
          <a:ext cx="1091444" cy="476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30" name="Text Box 9">
          <a:extLst>
            <a:ext uri="{FF2B5EF4-FFF2-40B4-BE49-F238E27FC236}">
              <a16:creationId xmlns="" xmlns:a16="http://schemas.microsoft.com/office/drawing/2014/main" id="{00000000-0008-0000-0900-0000AE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31" name="Text Box 10">
          <a:extLst>
            <a:ext uri="{FF2B5EF4-FFF2-40B4-BE49-F238E27FC236}">
              <a16:creationId xmlns="" xmlns:a16="http://schemas.microsoft.com/office/drawing/2014/main" id="{00000000-0008-0000-0900-0000AF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32" name="Text Box 11">
          <a:extLst>
            <a:ext uri="{FF2B5EF4-FFF2-40B4-BE49-F238E27FC236}">
              <a16:creationId xmlns="" xmlns:a16="http://schemas.microsoft.com/office/drawing/2014/main" id="{00000000-0008-0000-0900-0000B0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33" name="Text Box 12">
          <a:extLst>
            <a:ext uri="{FF2B5EF4-FFF2-40B4-BE49-F238E27FC236}">
              <a16:creationId xmlns="" xmlns:a16="http://schemas.microsoft.com/office/drawing/2014/main" id="{00000000-0008-0000-0900-0000B1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34" name="Text Box 13">
          <a:extLst>
            <a:ext uri="{FF2B5EF4-FFF2-40B4-BE49-F238E27FC236}">
              <a16:creationId xmlns="" xmlns:a16="http://schemas.microsoft.com/office/drawing/2014/main" id="{00000000-0008-0000-0900-0000B2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35" name="Text Box 14">
          <a:extLst>
            <a:ext uri="{FF2B5EF4-FFF2-40B4-BE49-F238E27FC236}">
              <a16:creationId xmlns="" xmlns:a16="http://schemas.microsoft.com/office/drawing/2014/main" id="{00000000-0008-0000-0900-0000B3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36" name="Text Box 15">
          <a:extLst>
            <a:ext uri="{FF2B5EF4-FFF2-40B4-BE49-F238E27FC236}">
              <a16:creationId xmlns="" xmlns:a16="http://schemas.microsoft.com/office/drawing/2014/main" id="{00000000-0008-0000-0900-0000B4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37" name="Text Box 16">
          <a:extLst>
            <a:ext uri="{FF2B5EF4-FFF2-40B4-BE49-F238E27FC236}">
              <a16:creationId xmlns="" xmlns:a16="http://schemas.microsoft.com/office/drawing/2014/main" id="{00000000-0008-0000-0900-0000B5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38" name="Text Box 17">
          <a:extLst>
            <a:ext uri="{FF2B5EF4-FFF2-40B4-BE49-F238E27FC236}">
              <a16:creationId xmlns="" xmlns:a16="http://schemas.microsoft.com/office/drawing/2014/main" id="{00000000-0008-0000-0900-0000B6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39" name="Text Box 18">
          <a:extLst>
            <a:ext uri="{FF2B5EF4-FFF2-40B4-BE49-F238E27FC236}">
              <a16:creationId xmlns="" xmlns:a16="http://schemas.microsoft.com/office/drawing/2014/main" id="{00000000-0008-0000-0900-0000B7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40" name="Text Box 19">
          <a:extLst>
            <a:ext uri="{FF2B5EF4-FFF2-40B4-BE49-F238E27FC236}">
              <a16:creationId xmlns="" xmlns:a16="http://schemas.microsoft.com/office/drawing/2014/main" id="{00000000-0008-0000-0900-0000B8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41" name="Text Box 20">
          <a:extLst>
            <a:ext uri="{FF2B5EF4-FFF2-40B4-BE49-F238E27FC236}">
              <a16:creationId xmlns="" xmlns:a16="http://schemas.microsoft.com/office/drawing/2014/main" id="{00000000-0008-0000-0900-0000B9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42" name="Text Box 21">
          <a:extLst>
            <a:ext uri="{FF2B5EF4-FFF2-40B4-BE49-F238E27FC236}">
              <a16:creationId xmlns="" xmlns:a16="http://schemas.microsoft.com/office/drawing/2014/main" id="{00000000-0008-0000-0900-0000BA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43" name="Text Box 25">
          <a:extLst>
            <a:ext uri="{FF2B5EF4-FFF2-40B4-BE49-F238E27FC236}">
              <a16:creationId xmlns="" xmlns:a16="http://schemas.microsoft.com/office/drawing/2014/main" id="{00000000-0008-0000-0900-0000BB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44" name="Text Box 26">
          <a:extLst>
            <a:ext uri="{FF2B5EF4-FFF2-40B4-BE49-F238E27FC236}">
              <a16:creationId xmlns="" xmlns:a16="http://schemas.microsoft.com/office/drawing/2014/main" id="{00000000-0008-0000-0900-0000BC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45" name="Text Box 27">
          <a:extLst>
            <a:ext uri="{FF2B5EF4-FFF2-40B4-BE49-F238E27FC236}">
              <a16:creationId xmlns="" xmlns:a16="http://schemas.microsoft.com/office/drawing/2014/main" id="{00000000-0008-0000-0900-0000BD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46" name="Text Box 28">
          <a:extLst>
            <a:ext uri="{FF2B5EF4-FFF2-40B4-BE49-F238E27FC236}">
              <a16:creationId xmlns="" xmlns:a16="http://schemas.microsoft.com/office/drawing/2014/main" id="{00000000-0008-0000-0900-0000BE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139518</xdr:rowOff>
    </xdr:to>
    <xdr:sp macro="" textlink="">
      <xdr:nvSpPr>
        <xdr:cNvPr id="447" name="Text Box 1">
          <a:extLst>
            <a:ext uri="{FF2B5EF4-FFF2-40B4-BE49-F238E27FC236}">
              <a16:creationId xmlns="" xmlns:a16="http://schemas.microsoft.com/office/drawing/2014/main" id="{00000000-0008-0000-0900-0000BF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185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48" name="Text Box 2">
          <a:extLst>
            <a:ext uri="{FF2B5EF4-FFF2-40B4-BE49-F238E27FC236}">
              <a16:creationId xmlns="" xmlns:a16="http://schemas.microsoft.com/office/drawing/2014/main" id="{00000000-0008-0000-0900-0000C0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49" name="Text Box 3">
          <a:extLst>
            <a:ext uri="{FF2B5EF4-FFF2-40B4-BE49-F238E27FC236}">
              <a16:creationId xmlns="" xmlns:a16="http://schemas.microsoft.com/office/drawing/2014/main" id="{00000000-0008-0000-0900-0000C1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50" name="Text Box 4">
          <a:extLst>
            <a:ext uri="{FF2B5EF4-FFF2-40B4-BE49-F238E27FC236}">
              <a16:creationId xmlns="" xmlns:a16="http://schemas.microsoft.com/office/drawing/2014/main" id="{00000000-0008-0000-0900-0000C2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51" name="Text Box 5">
          <a:extLst>
            <a:ext uri="{FF2B5EF4-FFF2-40B4-BE49-F238E27FC236}">
              <a16:creationId xmlns="" xmlns:a16="http://schemas.microsoft.com/office/drawing/2014/main" id="{00000000-0008-0000-0900-0000C3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52" name="Text Box 6">
          <a:extLst>
            <a:ext uri="{FF2B5EF4-FFF2-40B4-BE49-F238E27FC236}">
              <a16:creationId xmlns="" xmlns:a16="http://schemas.microsoft.com/office/drawing/2014/main" id="{00000000-0008-0000-0900-0000C4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53" name="Text Box 7">
          <a:extLst>
            <a:ext uri="{FF2B5EF4-FFF2-40B4-BE49-F238E27FC236}">
              <a16:creationId xmlns="" xmlns:a16="http://schemas.microsoft.com/office/drawing/2014/main" id="{00000000-0008-0000-0900-0000C5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54" name="Text Box 8">
          <a:extLst>
            <a:ext uri="{FF2B5EF4-FFF2-40B4-BE49-F238E27FC236}">
              <a16:creationId xmlns="" xmlns:a16="http://schemas.microsoft.com/office/drawing/2014/main" id="{00000000-0008-0000-0900-0000C6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55" name="Text Box 9">
          <a:extLst>
            <a:ext uri="{FF2B5EF4-FFF2-40B4-BE49-F238E27FC236}">
              <a16:creationId xmlns="" xmlns:a16="http://schemas.microsoft.com/office/drawing/2014/main" id="{00000000-0008-0000-0900-0000C7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56" name="Text Box 10">
          <a:extLst>
            <a:ext uri="{FF2B5EF4-FFF2-40B4-BE49-F238E27FC236}">
              <a16:creationId xmlns="" xmlns:a16="http://schemas.microsoft.com/office/drawing/2014/main" id="{00000000-0008-0000-0900-0000C8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57" name="Text Box 11">
          <a:extLst>
            <a:ext uri="{FF2B5EF4-FFF2-40B4-BE49-F238E27FC236}">
              <a16:creationId xmlns="" xmlns:a16="http://schemas.microsoft.com/office/drawing/2014/main" id="{00000000-0008-0000-0900-0000C9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58" name="Text Box 12">
          <a:extLst>
            <a:ext uri="{FF2B5EF4-FFF2-40B4-BE49-F238E27FC236}">
              <a16:creationId xmlns="" xmlns:a16="http://schemas.microsoft.com/office/drawing/2014/main" id="{00000000-0008-0000-0900-0000CA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59" name="Text Box 13">
          <a:extLst>
            <a:ext uri="{FF2B5EF4-FFF2-40B4-BE49-F238E27FC236}">
              <a16:creationId xmlns="" xmlns:a16="http://schemas.microsoft.com/office/drawing/2014/main" id="{00000000-0008-0000-0900-0000CB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60" name="Text Box 14">
          <a:extLst>
            <a:ext uri="{FF2B5EF4-FFF2-40B4-BE49-F238E27FC236}">
              <a16:creationId xmlns="" xmlns:a16="http://schemas.microsoft.com/office/drawing/2014/main" id="{00000000-0008-0000-0900-0000CC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61" name="Text Box 15">
          <a:extLst>
            <a:ext uri="{FF2B5EF4-FFF2-40B4-BE49-F238E27FC236}">
              <a16:creationId xmlns="" xmlns:a16="http://schemas.microsoft.com/office/drawing/2014/main" id="{00000000-0008-0000-0900-0000CD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62" name="Text Box 16">
          <a:extLst>
            <a:ext uri="{FF2B5EF4-FFF2-40B4-BE49-F238E27FC236}">
              <a16:creationId xmlns="" xmlns:a16="http://schemas.microsoft.com/office/drawing/2014/main" id="{00000000-0008-0000-0900-0000CE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63" name="Text Box 17">
          <a:extLst>
            <a:ext uri="{FF2B5EF4-FFF2-40B4-BE49-F238E27FC236}">
              <a16:creationId xmlns="" xmlns:a16="http://schemas.microsoft.com/office/drawing/2014/main" id="{00000000-0008-0000-0900-0000CF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64" name="Text Box 18">
          <a:extLst>
            <a:ext uri="{FF2B5EF4-FFF2-40B4-BE49-F238E27FC236}">
              <a16:creationId xmlns="" xmlns:a16="http://schemas.microsoft.com/office/drawing/2014/main" id="{00000000-0008-0000-0900-0000D0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65" name="Text Box 19">
          <a:extLst>
            <a:ext uri="{FF2B5EF4-FFF2-40B4-BE49-F238E27FC236}">
              <a16:creationId xmlns="" xmlns:a16="http://schemas.microsoft.com/office/drawing/2014/main" id="{00000000-0008-0000-0900-0000D1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66" name="Text Box 20">
          <a:extLst>
            <a:ext uri="{FF2B5EF4-FFF2-40B4-BE49-F238E27FC236}">
              <a16:creationId xmlns="" xmlns:a16="http://schemas.microsoft.com/office/drawing/2014/main" id="{00000000-0008-0000-0900-0000D2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67" name="Text Box 21">
          <a:extLst>
            <a:ext uri="{FF2B5EF4-FFF2-40B4-BE49-F238E27FC236}">
              <a16:creationId xmlns="" xmlns:a16="http://schemas.microsoft.com/office/drawing/2014/main" id="{00000000-0008-0000-0900-0000D3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68" name="Text Box 25">
          <a:extLst>
            <a:ext uri="{FF2B5EF4-FFF2-40B4-BE49-F238E27FC236}">
              <a16:creationId xmlns="" xmlns:a16="http://schemas.microsoft.com/office/drawing/2014/main" id="{00000000-0008-0000-0900-0000D4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69" name="Text Box 26">
          <a:extLst>
            <a:ext uri="{FF2B5EF4-FFF2-40B4-BE49-F238E27FC236}">
              <a16:creationId xmlns="" xmlns:a16="http://schemas.microsoft.com/office/drawing/2014/main" id="{00000000-0008-0000-0900-0000D5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70" name="Text Box 27">
          <a:extLst>
            <a:ext uri="{FF2B5EF4-FFF2-40B4-BE49-F238E27FC236}">
              <a16:creationId xmlns="" xmlns:a16="http://schemas.microsoft.com/office/drawing/2014/main" id="{00000000-0008-0000-0900-0000D6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71" name="Text Box 28">
          <a:extLst>
            <a:ext uri="{FF2B5EF4-FFF2-40B4-BE49-F238E27FC236}">
              <a16:creationId xmlns="" xmlns:a16="http://schemas.microsoft.com/office/drawing/2014/main" id="{00000000-0008-0000-0900-0000D7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139518</xdr:rowOff>
    </xdr:to>
    <xdr:sp macro="" textlink="">
      <xdr:nvSpPr>
        <xdr:cNvPr id="472" name="Text Box 1">
          <a:extLst>
            <a:ext uri="{FF2B5EF4-FFF2-40B4-BE49-F238E27FC236}">
              <a16:creationId xmlns="" xmlns:a16="http://schemas.microsoft.com/office/drawing/2014/main" id="{00000000-0008-0000-0900-0000D8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185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73" name="Text Box 2">
          <a:extLst>
            <a:ext uri="{FF2B5EF4-FFF2-40B4-BE49-F238E27FC236}">
              <a16:creationId xmlns="" xmlns:a16="http://schemas.microsoft.com/office/drawing/2014/main" id="{00000000-0008-0000-0900-0000D9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74" name="Text Box 3">
          <a:extLst>
            <a:ext uri="{FF2B5EF4-FFF2-40B4-BE49-F238E27FC236}">
              <a16:creationId xmlns="" xmlns:a16="http://schemas.microsoft.com/office/drawing/2014/main" id="{00000000-0008-0000-0900-0000DA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75" name="Text Box 4">
          <a:extLst>
            <a:ext uri="{FF2B5EF4-FFF2-40B4-BE49-F238E27FC236}">
              <a16:creationId xmlns="" xmlns:a16="http://schemas.microsoft.com/office/drawing/2014/main" id="{00000000-0008-0000-0900-0000DB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76" name="Text Box 5">
          <a:extLst>
            <a:ext uri="{FF2B5EF4-FFF2-40B4-BE49-F238E27FC236}">
              <a16:creationId xmlns="" xmlns:a16="http://schemas.microsoft.com/office/drawing/2014/main" id="{00000000-0008-0000-0900-0000DC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77" name="Text Box 6">
          <a:extLst>
            <a:ext uri="{FF2B5EF4-FFF2-40B4-BE49-F238E27FC236}">
              <a16:creationId xmlns="" xmlns:a16="http://schemas.microsoft.com/office/drawing/2014/main" id="{00000000-0008-0000-0900-0000DD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78" name="Text Box 1">
          <a:extLst>
            <a:ext uri="{FF2B5EF4-FFF2-40B4-BE49-F238E27FC236}">
              <a16:creationId xmlns="" xmlns:a16="http://schemas.microsoft.com/office/drawing/2014/main" id="{00000000-0008-0000-0900-0000DE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79" name="Text Box 1">
          <a:extLst>
            <a:ext uri="{FF2B5EF4-FFF2-40B4-BE49-F238E27FC236}">
              <a16:creationId xmlns="" xmlns:a16="http://schemas.microsoft.com/office/drawing/2014/main" id="{00000000-0008-0000-0900-0000DF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80" name="Text Box 1">
          <a:extLst>
            <a:ext uri="{FF2B5EF4-FFF2-40B4-BE49-F238E27FC236}">
              <a16:creationId xmlns="" xmlns:a16="http://schemas.microsoft.com/office/drawing/2014/main" id="{00000000-0008-0000-0900-0000E0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81" name="Text Box 1">
          <a:extLst>
            <a:ext uri="{FF2B5EF4-FFF2-40B4-BE49-F238E27FC236}">
              <a16:creationId xmlns="" xmlns:a16="http://schemas.microsoft.com/office/drawing/2014/main" id="{00000000-0008-0000-0900-0000E1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82" name="Text Box 7">
          <a:extLst>
            <a:ext uri="{FF2B5EF4-FFF2-40B4-BE49-F238E27FC236}">
              <a16:creationId xmlns="" xmlns:a16="http://schemas.microsoft.com/office/drawing/2014/main" id="{00000000-0008-0000-0900-0000E2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83" name="Text Box 8">
          <a:extLst>
            <a:ext uri="{FF2B5EF4-FFF2-40B4-BE49-F238E27FC236}">
              <a16:creationId xmlns="" xmlns:a16="http://schemas.microsoft.com/office/drawing/2014/main" id="{00000000-0008-0000-0900-0000E3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84" name="Text Box 9">
          <a:extLst>
            <a:ext uri="{FF2B5EF4-FFF2-40B4-BE49-F238E27FC236}">
              <a16:creationId xmlns="" xmlns:a16="http://schemas.microsoft.com/office/drawing/2014/main" id="{00000000-0008-0000-0900-0000E4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85" name="Text Box 10">
          <a:extLst>
            <a:ext uri="{FF2B5EF4-FFF2-40B4-BE49-F238E27FC236}">
              <a16:creationId xmlns="" xmlns:a16="http://schemas.microsoft.com/office/drawing/2014/main" id="{00000000-0008-0000-0900-0000E5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86" name="Text Box 11">
          <a:extLst>
            <a:ext uri="{FF2B5EF4-FFF2-40B4-BE49-F238E27FC236}">
              <a16:creationId xmlns="" xmlns:a16="http://schemas.microsoft.com/office/drawing/2014/main" id="{00000000-0008-0000-0900-0000E6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87" name="Text Box 12">
          <a:extLst>
            <a:ext uri="{FF2B5EF4-FFF2-40B4-BE49-F238E27FC236}">
              <a16:creationId xmlns="" xmlns:a16="http://schemas.microsoft.com/office/drawing/2014/main" id="{00000000-0008-0000-0900-0000E7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88" name="Text Box 13">
          <a:extLst>
            <a:ext uri="{FF2B5EF4-FFF2-40B4-BE49-F238E27FC236}">
              <a16:creationId xmlns="" xmlns:a16="http://schemas.microsoft.com/office/drawing/2014/main" id="{00000000-0008-0000-0900-0000E8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89" name="Text Box 14">
          <a:extLst>
            <a:ext uri="{FF2B5EF4-FFF2-40B4-BE49-F238E27FC236}">
              <a16:creationId xmlns="" xmlns:a16="http://schemas.microsoft.com/office/drawing/2014/main" id="{00000000-0008-0000-0900-0000E9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90" name="Text Box 15">
          <a:extLst>
            <a:ext uri="{FF2B5EF4-FFF2-40B4-BE49-F238E27FC236}">
              <a16:creationId xmlns="" xmlns:a16="http://schemas.microsoft.com/office/drawing/2014/main" id="{00000000-0008-0000-0900-0000EA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91" name="Text Box 16">
          <a:extLst>
            <a:ext uri="{FF2B5EF4-FFF2-40B4-BE49-F238E27FC236}">
              <a16:creationId xmlns="" xmlns:a16="http://schemas.microsoft.com/office/drawing/2014/main" id="{00000000-0008-0000-0900-0000EB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92" name="Text Box 17">
          <a:extLst>
            <a:ext uri="{FF2B5EF4-FFF2-40B4-BE49-F238E27FC236}">
              <a16:creationId xmlns="" xmlns:a16="http://schemas.microsoft.com/office/drawing/2014/main" id="{00000000-0008-0000-0900-0000EC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93" name="Text Box 18">
          <a:extLst>
            <a:ext uri="{FF2B5EF4-FFF2-40B4-BE49-F238E27FC236}">
              <a16:creationId xmlns="" xmlns:a16="http://schemas.microsoft.com/office/drawing/2014/main" id="{00000000-0008-0000-0900-0000ED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94" name="Text Box 19">
          <a:extLst>
            <a:ext uri="{FF2B5EF4-FFF2-40B4-BE49-F238E27FC236}">
              <a16:creationId xmlns="" xmlns:a16="http://schemas.microsoft.com/office/drawing/2014/main" id="{00000000-0008-0000-0900-0000EE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95" name="Text Box 20">
          <a:extLst>
            <a:ext uri="{FF2B5EF4-FFF2-40B4-BE49-F238E27FC236}">
              <a16:creationId xmlns="" xmlns:a16="http://schemas.microsoft.com/office/drawing/2014/main" id="{00000000-0008-0000-0900-0000EF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96" name="Text Box 21">
          <a:extLst>
            <a:ext uri="{FF2B5EF4-FFF2-40B4-BE49-F238E27FC236}">
              <a16:creationId xmlns="" xmlns:a16="http://schemas.microsoft.com/office/drawing/2014/main" id="{00000000-0008-0000-0900-0000F0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97" name="Text Box 25">
          <a:extLst>
            <a:ext uri="{FF2B5EF4-FFF2-40B4-BE49-F238E27FC236}">
              <a16:creationId xmlns="" xmlns:a16="http://schemas.microsoft.com/office/drawing/2014/main" id="{00000000-0008-0000-0900-0000F1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98" name="Text Box 26">
          <a:extLst>
            <a:ext uri="{FF2B5EF4-FFF2-40B4-BE49-F238E27FC236}">
              <a16:creationId xmlns="" xmlns:a16="http://schemas.microsoft.com/office/drawing/2014/main" id="{00000000-0008-0000-0900-0000F2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499" name="Text Box 27">
          <a:extLst>
            <a:ext uri="{FF2B5EF4-FFF2-40B4-BE49-F238E27FC236}">
              <a16:creationId xmlns="" xmlns:a16="http://schemas.microsoft.com/office/drawing/2014/main" id="{00000000-0008-0000-0900-0000F3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00" name="Text Box 28">
          <a:extLst>
            <a:ext uri="{FF2B5EF4-FFF2-40B4-BE49-F238E27FC236}">
              <a16:creationId xmlns="" xmlns:a16="http://schemas.microsoft.com/office/drawing/2014/main" id="{00000000-0008-0000-0900-0000F4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139518</xdr:rowOff>
    </xdr:to>
    <xdr:sp macro="" textlink="">
      <xdr:nvSpPr>
        <xdr:cNvPr id="501" name="Text Box 1">
          <a:extLst>
            <a:ext uri="{FF2B5EF4-FFF2-40B4-BE49-F238E27FC236}">
              <a16:creationId xmlns="" xmlns:a16="http://schemas.microsoft.com/office/drawing/2014/main" id="{00000000-0008-0000-0900-0000F5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185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02" name="Text Box 2">
          <a:extLst>
            <a:ext uri="{FF2B5EF4-FFF2-40B4-BE49-F238E27FC236}">
              <a16:creationId xmlns="" xmlns:a16="http://schemas.microsoft.com/office/drawing/2014/main" id="{00000000-0008-0000-0900-0000F6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03" name="Text Box 3">
          <a:extLst>
            <a:ext uri="{FF2B5EF4-FFF2-40B4-BE49-F238E27FC236}">
              <a16:creationId xmlns="" xmlns:a16="http://schemas.microsoft.com/office/drawing/2014/main" id="{00000000-0008-0000-0900-0000F7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04" name="Text Box 4">
          <a:extLst>
            <a:ext uri="{FF2B5EF4-FFF2-40B4-BE49-F238E27FC236}">
              <a16:creationId xmlns="" xmlns:a16="http://schemas.microsoft.com/office/drawing/2014/main" id="{00000000-0008-0000-0900-0000F8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05" name="Text Box 5">
          <a:extLst>
            <a:ext uri="{FF2B5EF4-FFF2-40B4-BE49-F238E27FC236}">
              <a16:creationId xmlns="" xmlns:a16="http://schemas.microsoft.com/office/drawing/2014/main" id="{00000000-0008-0000-0900-0000F9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06" name="Text Box 6">
          <a:extLst>
            <a:ext uri="{FF2B5EF4-FFF2-40B4-BE49-F238E27FC236}">
              <a16:creationId xmlns="" xmlns:a16="http://schemas.microsoft.com/office/drawing/2014/main" id="{00000000-0008-0000-0900-0000FA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07" name="Text Box 7">
          <a:extLst>
            <a:ext uri="{FF2B5EF4-FFF2-40B4-BE49-F238E27FC236}">
              <a16:creationId xmlns="" xmlns:a16="http://schemas.microsoft.com/office/drawing/2014/main" id="{00000000-0008-0000-0900-0000FB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08" name="Text Box 8">
          <a:extLst>
            <a:ext uri="{FF2B5EF4-FFF2-40B4-BE49-F238E27FC236}">
              <a16:creationId xmlns="" xmlns:a16="http://schemas.microsoft.com/office/drawing/2014/main" id="{00000000-0008-0000-0900-0000FC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09" name="Text Box 9">
          <a:extLst>
            <a:ext uri="{FF2B5EF4-FFF2-40B4-BE49-F238E27FC236}">
              <a16:creationId xmlns="" xmlns:a16="http://schemas.microsoft.com/office/drawing/2014/main" id="{00000000-0008-0000-0900-0000FD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10" name="Text Box 10">
          <a:extLst>
            <a:ext uri="{FF2B5EF4-FFF2-40B4-BE49-F238E27FC236}">
              <a16:creationId xmlns="" xmlns:a16="http://schemas.microsoft.com/office/drawing/2014/main" id="{00000000-0008-0000-0900-0000FE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11" name="Text Box 11">
          <a:extLst>
            <a:ext uri="{FF2B5EF4-FFF2-40B4-BE49-F238E27FC236}">
              <a16:creationId xmlns="" xmlns:a16="http://schemas.microsoft.com/office/drawing/2014/main" id="{00000000-0008-0000-0900-0000FF01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12" name="Text Box 12">
          <a:extLst>
            <a:ext uri="{FF2B5EF4-FFF2-40B4-BE49-F238E27FC236}">
              <a16:creationId xmlns="" xmlns:a16="http://schemas.microsoft.com/office/drawing/2014/main" id="{00000000-0008-0000-0900-000000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13" name="Text Box 13">
          <a:extLst>
            <a:ext uri="{FF2B5EF4-FFF2-40B4-BE49-F238E27FC236}">
              <a16:creationId xmlns="" xmlns:a16="http://schemas.microsoft.com/office/drawing/2014/main" id="{00000000-0008-0000-0900-000001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14" name="Text Box 14">
          <a:extLst>
            <a:ext uri="{FF2B5EF4-FFF2-40B4-BE49-F238E27FC236}">
              <a16:creationId xmlns="" xmlns:a16="http://schemas.microsoft.com/office/drawing/2014/main" id="{00000000-0008-0000-0900-000002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15" name="Text Box 15">
          <a:extLst>
            <a:ext uri="{FF2B5EF4-FFF2-40B4-BE49-F238E27FC236}">
              <a16:creationId xmlns="" xmlns:a16="http://schemas.microsoft.com/office/drawing/2014/main" id="{00000000-0008-0000-0900-000003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16" name="Text Box 16">
          <a:extLst>
            <a:ext uri="{FF2B5EF4-FFF2-40B4-BE49-F238E27FC236}">
              <a16:creationId xmlns="" xmlns:a16="http://schemas.microsoft.com/office/drawing/2014/main" id="{00000000-0008-0000-0900-000004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17" name="Text Box 17">
          <a:extLst>
            <a:ext uri="{FF2B5EF4-FFF2-40B4-BE49-F238E27FC236}">
              <a16:creationId xmlns="" xmlns:a16="http://schemas.microsoft.com/office/drawing/2014/main" id="{00000000-0008-0000-0900-000005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18" name="Text Box 18">
          <a:extLst>
            <a:ext uri="{FF2B5EF4-FFF2-40B4-BE49-F238E27FC236}">
              <a16:creationId xmlns="" xmlns:a16="http://schemas.microsoft.com/office/drawing/2014/main" id="{00000000-0008-0000-0900-000006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19" name="Text Box 19">
          <a:extLst>
            <a:ext uri="{FF2B5EF4-FFF2-40B4-BE49-F238E27FC236}">
              <a16:creationId xmlns="" xmlns:a16="http://schemas.microsoft.com/office/drawing/2014/main" id="{00000000-0008-0000-0900-000007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20" name="Text Box 20">
          <a:extLst>
            <a:ext uri="{FF2B5EF4-FFF2-40B4-BE49-F238E27FC236}">
              <a16:creationId xmlns="" xmlns:a16="http://schemas.microsoft.com/office/drawing/2014/main" id="{00000000-0008-0000-0900-000008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21" name="Text Box 21">
          <a:extLst>
            <a:ext uri="{FF2B5EF4-FFF2-40B4-BE49-F238E27FC236}">
              <a16:creationId xmlns="" xmlns:a16="http://schemas.microsoft.com/office/drawing/2014/main" id="{00000000-0008-0000-0900-000009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22" name="Text Box 25">
          <a:extLst>
            <a:ext uri="{FF2B5EF4-FFF2-40B4-BE49-F238E27FC236}">
              <a16:creationId xmlns="" xmlns:a16="http://schemas.microsoft.com/office/drawing/2014/main" id="{00000000-0008-0000-0900-00000A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23" name="Text Box 26">
          <a:extLst>
            <a:ext uri="{FF2B5EF4-FFF2-40B4-BE49-F238E27FC236}">
              <a16:creationId xmlns="" xmlns:a16="http://schemas.microsoft.com/office/drawing/2014/main" id="{00000000-0008-0000-0900-00000B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24" name="Text Box 27">
          <a:extLst>
            <a:ext uri="{FF2B5EF4-FFF2-40B4-BE49-F238E27FC236}">
              <a16:creationId xmlns="" xmlns:a16="http://schemas.microsoft.com/office/drawing/2014/main" id="{00000000-0008-0000-0900-00000C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25" name="Text Box 28">
          <a:extLst>
            <a:ext uri="{FF2B5EF4-FFF2-40B4-BE49-F238E27FC236}">
              <a16:creationId xmlns="" xmlns:a16="http://schemas.microsoft.com/office/drawing/2014/main" id="{00000000-0008-0000-0900-00000D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139518</xdr:rowOff>
    </xdr:to>
    <xdr:sp macro="" textlink="">
      <xdr:nvSpPr>
        <xdr:cNvPr id="526" name="Text Box 1">
          <a:extLst>
            <a:ext uri="{FF2B5EF4-FFF2-40B4-BE49-F238E27FC236}">
              <a16:creationId xmlns="" xmlns:a16="http://schemas.microsoft.com/office/drawing/2014/main" id="{00000000-0008-0000-0900-00000E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185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27" name="Text Box 2">
          <a:extLst>
            <a:ext uri="{FF2B5EF4-FFF2-40B4-BE49-F238E27FC236}">
              <a16:creationId xmlns="" xmlns:a16="http://schemas.microsoft.com/office/drawing/2014/main" id="{00000000-0008-0000-0900-00000F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28" name="Text Box 3">
          <a:extLst>
            <a:ext uri="{FF2B5EF4-FFF2-40B4-BE49-F238E27FC236}">
              <a16:creationId xmlns="" xmlns:a16="http://schemas.microsoft.com/office/drawing/2014/main" id="{00000000-0008-0000-0900-000010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29" name="Text Box 4">
          <a:extLst>
            <a:ext uri="{FF2B5EF4-FFF2-40B4-BE49-F238E27FC236}">
              <a16:creationId xmlns="" xmlns:a16="http://schemas.microsoft.com/office/drawing/2014/main" id="{00000000-0008-0000-0900-000011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30" name="Text Box 5">
          <a:extLst>
            <a:ext uri="{FF2B5EF4-FFF2-40B4-BE49-F238E27FC236}">
              <a16:creationId xmlns="" xmlns:a16="http://schemas.microsoft.com/office/drawing/2014/main" id="{00000000-0008-0000-0900-000012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31" name="Text Box 6">
          <a:extLst>
            <a:ext uri="{FF2B5EF4-FFF2-40B4-BE49-F238E27FC236}">
              <a16:creationId xmlns="" xmlns:a16="http://schemas.microsoft.com/office/drawing/2014/main" id="{00000000-0008-0000-0900-000013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32" name="Text Box 1">
          <a:extLst>
            <a:ext uri="{FF2B5EF4-FFF2-40B4-BE49-F238E27FC236}">
              <a16:creationId xmlns="" xmlns:a16="http://schemas.microsoft.com/office/drawing/2014/main" id="{00000000-0008-0000-0900-000014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33" name="Text Box 1">
          <a:extLst>
            <a:ext uri="{FF2B5EF4-FFF2-40B4-BE49-F238E27FC236}">
              <a16:creationId xmlns="" xmlns:a16="http://schemas.microsoft.com/office/drawing/2014/main" id="{00000000-0008-0000-0900-000015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34" name="Text Box 1">
          <a:extLst>
            <a:ext uri="{FF2B5EF4-FFF2-40B4-BE49-F238E27FC236}">
              <a16:creationId xmlns="" xmlns:a16="http://schemas.microsoft.com/office/drawing/2014/main" id="{00000000-0008-0000-0900-000016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35" name="Text Box 1">
          <a:extLst>
            <a:ext uri="{FF2B5EF4-FFF2-40B4-BE49-F238E27FC236}">
              <a16:creationId xmlns="" xmlns:a16="http://schemas.microsoft.com/office/drawing/2014/main" id="{00000000-0008-0000-0900-000017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36" name="Text Box 7">
          <a:extLst>
            <a:ext uri="{FF2B5EF4-FFF2-40B4-BE49-F238E27FC236}">
              <a16:creationId xmlns="" xmlns:a16="http://schemas.microsoft.com/office/drawing/2014/main" id="{00000000-0008-0000-0900-000018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37" name="Text Box 8">
          <a:extLst>
            <a:ext uri="{FF2B5EF4-FFF2-40B4-BE49-F238E27FC236}">
              <a16:creationId xmlns="" xmlns:a16="http://schemas.microsoft.com/office/drawing/2014/main" id="{00000000-0008-0000-0900-000019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38" name="Text Box 9">
          <a:extLst>
            <a:ext uri="{FF2B5EF4-FFF2-40B4-BE49-F238E27FC236}">
              <a16:creationId xmlns="" xmlns:a16="http://schemas.microsoft.com/office/drawing/2014/main" id="{00000000-0008-0000-0900-00001A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39" name="Text Box 10">
          <a:extLst>
            <a:ext uri="{FF2B5EF4-FFF2-40B4-BE49-F238E27FC236}">
              <a16:creationId xmlns="" xmlns:a16="http://schemas.microsoft.com/office/drawing/2014/main" id="{00000000-0008-0000-0900-00001B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40" name="Text Box 11">
          <a:extLst>
            <a:ext uri="{FF2B5EF4-FFF2-40B4-BE49-F238E27FC236}">
              <a16:creationId xmlns="" xmlns:a16="http://schemas.microsoft.com/office/drawing/2014/main" id="{00000000-0008-0000-0900-00001C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41" name="Text Box 12">
          <a:extLst>
            <a:ext uri="{FF2B5EF4-FFF2-40B4-BE49-F238E27FC236}">
              <a16:creationId xmlns="" xmlns:a16="http://schemas.microsoft.com/office/drawing/2014/main" id="{00000000-0008-0000-0900-00001D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42" name="Text Box 13">
          <a:extLst>
            <a:ext uri="{FF2B5EF4-FFF2-40B4-BE49-F238E27FC236}">
              <a16:creationId xmlns="" xmlns:a16="http://schemas.microsoft.com/office/drawing/2014/main" id="{00000000-0008-0000-0900-00001E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43" name="Text Box 14">
          <a:extLst>
            <a:ext uri="{FF2B5EF4-FFF2-40B4-BE49-F238E27FC236}">
              <a16:creationId xmlns="" xmlns:a16="http://schemas.microsoft.com/office/drawing/2014/main" id="{00000000-0008-0000-0900-00001F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44" name="Text Box 15">
          <a:extLst>
            <a:ext uri="{FF2B5EF4-FFF2-40B4-BE49-F238E27FC236}">
              <a16:creationId xmlns="" xmlns:a16="http://schemas.microsoft.com/office/drawing/2014/main" id="{00000000-0008-0000-0900-000020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45" name="Text Box 16">
          <a:extLst>
            <a:ext uri="{FF2B5EF4-FFF2-40B4-BE49-F238E27FC236}">
              <a16:creationId xmlns="" xmlns:a16="http://schemas.microsoft.com/office/drawing/2014/main" id="{00000000-0008-0000-0900-000021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46" name="Text Box 17">
          <a:extLst>
            <a:ext uri="{FF2B5EF4-FFF2-40B4-BE49-F238E27FC236}">
              <a16:creationId xmlns="" xmlns:a16="http://schemas.microsoft.com/office/drawing/2014/main" id="{00000000-0008-0000-0900-000022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47" name="Text Box 18">
          <a:extLst>
            <a:ext uri="{FF2B5EF4-FFF2-40B4-BE49-F238E27FC236}">
              <a16:creationId xmlns="" xmlns:a16="http://schemas.microsoft.com/office/drawing/2014/main" id="{00000000-0008-0000-0900-000023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48" name="Text Box 19">
          <a:extLst>
            <a:ext uri="{FF2B5EF4-FFF2-40B4-BE49-F238E27FC236}">
              <a16:creationId xmlns="" xmlns:a16="http://schemas.microsoft.com/office/drawing/2014/main" id="{00000000-0008-0000-0900-000024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49" name="Text Box 20">
          <a:extLst>
            <a:ext uri="{FF2B5EF4-FFF2-40B4-BE49-F238E27FC236}">
              <a16:creationId xmlns="" xmlns:a16="http://schemas.microsoft.com/office/drawing/2014/main" id="{00000000-0008-0000-0900-000025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50" name="Text Box 21">
          <a:extLst>
            <a:ext uri="{FF2B5EF4-FFF2-40B4-BE49-F238E27FC236}">
              <a16:creationId xmlns="" xmlns:a16="http://schemas.microsoft.com/office/drawing/2014/main" id="{00000000-0008-0000-0900-000026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51" name="Text Box 25">
          <a:extLst>
            <a:ext uri="{FF2B5EF4-FFF2-40B4-BE49-F238E27FC236}">
              <a16:creationId xmlns="" xmlns:a16="http://schemas.microsoft.com/office/drawing/2014/main" id="{00000000-0008-0000-0900-000027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52" name="Text Box 26">
          <a:extLst>
            <a:ext uri="{FF2B5EF4-FFF2-40B4-BE49-F238E27FC236}">
              <a16:creationId xmlns="" xmlns:a16="http://schemas.microsoft.com/office/drawing/2014/main" id="{00000000-0008-0000-0900-000028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53" name="Text Box 27">
          <a:extLst>
            <a:ext uri="{FF2B5EF4-FFF2-40B4-BE49-F238E27FC236}">
              <a16:creationId xmlns="" xmlns:a16="http://schemas.microsoft.com/office/drawing/2014/main" id="{00000000-0008-0000-0900-000029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54" name="Text Box 28">
          <a:extLst>
            <a:ext uri="{FF2B5EF4-FFF2-40B4-BE49-F238E27FC236}">
              <a16:creationId xmlns="" xmlns:a16="http://schemas.microsoft.com/office/drawing/2014/main" id="{00000000-0008-0000-0900-00002A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139518</xdr:rowOff>
    </xdr:to>
    <xdr:sp macro="" textlink="">
      <xdr:nvSpPr>
        <xdr:cNvPr id="555" name="Text Box 1">
          <a:extLst>
            <a:ext uri="{FF2B5EF4-FFF2-40B4-BE49-F238E27FC236}">
              <a16:creationId xmlns="" xmlns:a16="http://schemas.microsoft.com/office/drawing/2014/main" id="{00000000-0008-0000-0900-00002B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185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56" name="Text Box 2">
          <a:extLst>
            <a:ext uri="{FF2B5EF4-FFF2-40B4-BE49-F238E27FC236}">
              <a16:creationId xmlns="" xmlns:a16="http://schemas.microsoft.com/office/drawing/2014/main" id="{00000000-0008-0000-0900-00002C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57" name="Text Box 3">
          <a:extLst>
            <a:ext uri="{FF2B5EF4-FFF2-40B4-BE49-F238E27FC236}">
              <a16:creationId xmlns="" xmlns:a16="http://schemas.microsoft.com/office/drawing/2014/main" id="{00000000-0008-0000-0900-00002D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58" name="Text Box 4">
          <a:extLst>
            <a:ext uri="{FF2B5EF4-FFF2-40B4-BE49-F238E27FC236}">
              <a16:creationId xmlns="" xmlns:a16="http://schemas.microsoft.com/office/drawing/2014/main" id="{00000000-0008-0000-0900-00002E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59" name="Text Box 5">
          <a:extLst>
            <a:ext uri="{FF2B5EF4-FFF2-40B4-BE49-F238E27FC236}">
              <a16:creationId xmlns="" xmlns:a16="http://schemas.microsoft.com/office/drawing/2014/main" id="{00000000-0008-0000-0900-00002F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60" name="Text Box 6">
          <a:extLst>
            <a:ext uri="{FF2B5EF4-FFF2-40B4-BE49-F238E27FC236}">
              <a16:creationId xmlns="" xmlns:a16="http://schemas.microsoft.com/office/drawing/2014/main" id="{00000000-0008-0000-0900-000030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61" name="Text Box 7">
          <a:extLst>
            <a:ext uri="{FF2B5EF4-FFF2-40B4-BE49-F238E27FC236}">
              <a16:creationId xmlns="" xmlns:a16="http://schemas.microsoft.com/office/drawing/2014/main" id="{00000000-0008-0000-0900-000031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62" name="Text Box 8">
          <a:extLst>
            <a:ext uri="{FF2B5EF4-FFF2-40B4-BE49-F238E27FC236}">
              <a16:creationId xmlns="" xmlns:a16="http://schemas.microsoft.com/office/drawing/2014/main" id="{00000000-0008-0000-0900-000032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63" name="Text Box 9">
          <a:extLst>
            <a:ext uri="{FF2B5EF4-FFF2-40B4-BE49-F238E27FC236}">
              <a16:creationId xmlns="" xmlns:a16="http://schemas.microsoft.com/office/drawing/2014/main" id="{00000000-0008-0000-0900-000033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64" name="Text Box 10">
          <a:extLst>
            <a:ext uri="{FF2B5EF4-FFF2-40B4-BE49-F238E27FC236}">
              <a16:creationId xmlns="" xmlns:a16="http://schemas.microsoft.com/office/drawing/2014/main" id="{00000000-0008-0000-0900-000034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65" name="Text Box 11">
          <a:extLst>
            <a:ext uri="{FF2B5EF4-FFF2-40B4-BE49-F238E27FC236}">
              <a16:creationId xmlns="" xmlns:a16="http://schemas.microsoft.com/office/drawing/2014/main" id="{00000000-0008-0000-0900-000035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66" name="Text Box 12">
          <a:extLst>
            <a:ext uri="{FF2B5EF4-FFF2-40B4-BE49-F238E27FC236}">
              <a16:creationId xmlns="" xmlns:a16="http://schemas.microsoft.com/office/drawing/2014/main" id="{00000000-0008-0000-0900-000036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67" name="Text Box 13">
          <a:extLst>
            <a:ext uri="{FF2B5EF4-FFF2-40B4-BE49-F238E27FC236}">
              <a16:creationId xmlns="" xmlns:a16="http://schemas.microsoft.com/office/drawing/2014/main" id="{00000000-0008-0000-0900-000037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68" name="Text Box 14">
          <a:extLst>
            <a:ext uri="{FF2B5EF4-FFF2-40B4-BE49-F238E27FC236}">
              <a16:creationId xmlns="" xmlns:a16="http://schemas.microsoft.com/office/drawing/2014/main" id="{00000000-0008-0000-0900-000038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69" name="Text Box 15">
          <a:extLst>
            <a:ext uri="{FF2B5EF4-FFF2-40B4-BE49-F238E27FC236}">
              <a16:creationId xmlns="" xmlns:a16="http://schemas.microsoft.com/office/drawing/2014/main" id="{00000000-0008-0000-0900-000039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70" name="Text Box 16">
          <a:extLst>
            <a:ext uri="{FF2B5EF4-FFF2-40B4-BE49-F238E27FC236}">
              <a16:creationId xmlns="" xmlns:a16="http://schemas.microsoft.com/office/drawing/2014/main" id="{00000000-0008-0000-0900-00003A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71" name="Text Box 17">
          <a:extLst>
            <a:ext uri="{FF2B5EF4-FFF2-40B4-BE49-F238E27FC236}">
              <a16:creationId xmlns="" xmlns:a16="http://schemas.microsoft.com/office/drawing/2014/main" id="{00000000-0008-0000-0900-00003B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72" name="Text Box 18">
          <a:extLst>
            <a:ext uri="{FF2B5EF4-FFF2-40B4-BE49-F238E27FC236}">
              <a16:creationId xmlns="" xmlns:a16="http://schemas.microsoft.com/office/drawing/2014/main" id="{00000000-0008-0000-0900-00003C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73" name="Text Box 19">
          <a:extLst>
            <a:ext uri="{FF2B5EF4-FFF2-40B4-BE49-F238E27FC236}">
              <a16:creationId xmlns="" xmlns:a16="http://schemas.microsoft.com/office/drawing/2014/main" id="{00000000-0008-0000-0900-00003D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74" name="Text Box 20">
          <a:extLst>
            <a:ext uri="{FF2B5EF4-FFF2-40B4-BE49-F238E27FC236}">
              <a16:creationId xmlns="" xmlns:a16="http://schemas.microsoft.com/office/drawing/2014/main" id="{00000000-0008-0000-0900-00003E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75" name="Text Box 21">
          <a:extLst>
            <a:ext uri="{FF2B5EF4-FFF2-40B4-BE49-F238E27FC236}">
              <a16:creationId xmlns="" xmlns:a16="http://schemas.microsoft.com/office/drawing/2014/main" id="{00000000-0008-0000-0900-00003F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76" name="Text Box 25">
          <a:extLst>
            <a:ext uri="{FF2B5EF4-FFF2-40B4-BE49-F238E27FC236}">
              <a16:creationId xmlns="" xmlns:a16="http://schemas.microsoft.com/office/drawing/2014/main" id="{00000000-0008-0000-0900-000040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77" name="Text Box 26">
          <a:extLst>
            <a:ext uri="{FF2B5EF4-FFF2-40B4-BE49-F238E27FC236}">
              <a16:creationId xmlns="" xmlns:a16="http://schemas.microsoft.com/office/drawing/2014/main" id="{00000000-0008-0000-0900-000041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78" name="Text Box 27">
          <a:extLst>
            <a:ext uri="{FF2B5EF4-FFF2-40B4-BE49-F238E27FC236}">
              <a16:creationId xmlns="" xmlns:a16="http://schemas.microsoft.com/office/drawing/2014/main" id="{00000000-0008-0000-0900-000042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79" name="Text Box 28">
          <a:extLst>
            <a:ext uri="{FF2B5EF4-FFF2-40B4-BE49-F238E27FC236}">
              <a16:creationId xmlns="" xmlns:a16="http://schemas.microsoft.com/office/drawing/2014/main" id="{00000000-0008-0000-0900-000043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139518</xdr:rowOff>
    </xdr:to>
    <xdr:sp macro="" textlink="">
      <xdr:nvSpPr>
        <xdr:cNvPr id="580" name="Text Box 1">
          <a:extLst>
            <a:ext uri="{FF2B5EF4-FFF2-40B4-BE49-F238E27FC236}">
              <a16:creationId xmlns="" xmlns:a16="http://schemas.microsoft.com/office/drawing/2014/main" id="{00000000-0008-0000-0900-000044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185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81" name="Text Box 2">
          <a:extLst>
            <a:ext uri="{FF2B5EF4-FFF2-40B4-BE49-F238E27FC236}">
              <a16:creationId xmlns="" xmlns:a16="http://schemas.microsoft.com/office/drawing/2014/main" id="{00000000-0008-0000-0900-000045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82" name="Text Box 3">
          <a:extLst>
            <a:ext uri="{FF2B5EF4-FFF2-40B4-BE49-F238E27FC236}">
              <a16:creationId xmlns="" xmlns:a16="http://schemas.microsoft.com/office/drawing/2014/main" id="{00000000-0008-0000-0900-000046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83" name="Text Box 4">
          <a:extLst>
            <a:ext uri="{FF2B5EF4-FFF2-40B4-BE49-F238E27FC236}">
              <a16:creationId xmlns="" xmlns:a16="http://schemas.microsoft.com/office/drawing/2014/main" id="{00000000-0008-0000-0900-000047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84" name="Text Box 5">
          <a:extLst>
            <a:ext uri="{FF2B5EF4-FFF2-40B4-BE49-F238E27FC236}">
              <a16:creationId xmlns="" xmlns:a16="http://schemas.microsoft.com/office/drawing/2014/main" id="{00000000-0008-0000-0900-000048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85" name="Text Box 6">
          <a:extLst>
            <a:ext uri="{FF2B5EF4-FFF2-40B4-BE49-F238E27FC236}">
              <a16:creationId xmlns="" xmlns:a16="http://schemas.microsoft.com/office/drawing/2014/main" id="{00000000-0008-0000-0900-000049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86" name="Text Box 1">
          <a:extLst>
            <a:ext uri="{FF2B5EF4-FFF2-40B4-BE49-F238E27FC236}">
              <a16:creationId xmlns="" xmlns:a16="http://schemas.microsoft.com/office/drawing/2014/main" id="{00000000-0008-0000-0900-00004A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87" name="Text Box 1">
          <a:extLst>
            <a:ext uri="{FF2B5EF4-FFF2-40B4-BE49-F238E27FC236}">
              <a16:creationId xmlns="" xmlns:a16="http://schemas.microsoft.com/office/drawing/2014/main" id="{00000000-0008-0000-0900-00004B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158568</xdr:rowOff>
    </xdr:to>
    <xdr:sp macro="" textlink="">
      <xdr:nvSpPr>
        <xdr:cNvPr id="588" name="Text Box 1">
          <a:extLst>
            <a:ext uri="{FF2B5EF4-FFF2-40B4-BE49-F238E27FC236}">
              <a16:creationId xmlns="" xmlns:a16="http://schemas.microsoft.com/office/drawing/2014/main" id="{00000000-0008-0000-0900-00004C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1853565</xdr:colOff>
      <xdr:row>80</xdr:row>
      <xdr:rowOff>91440</xdr:rowOff>
    </xdr:from>
    <xdr:to>
      <xdr:col>1</xdr:col>
      <xdr:colOff>2602940</xdr:colOff>
      <xdr:row>81</xdr:row>
      <xdr:rowOff>2136</xdr:rowOff>
    </xdr:to>
    <xdr:sp macro="" textlink="">
      <xdr:nvSpPr>
        <xdr:cNvPr id="589" name="Text Box 1">
          <a:extLst>
            <a:ext uri="{FF2B5EF4-FFF2-40B4-BE49-F238E27FC236}">
              <a16:creationId xmlns="" xmlns:a16="http://schemas.microsoft.com/office/drawing/2014/main" id="{00000000-0008-0000-0900-00004D020000}"/>
            </a:ext>
          </a:extLst>
        </xdr:cNvPr>
        <xdr:cNvSpPr txBox="1">
          <a:spLocks noChangeArrowheads="1"/>
        </xdr:cNvSpPr>
      </xdr:nvSpPr>
      <xdr:spPr bwMode="auto">
        <a:xfrm>
          <a:off x="2082165" y="236220"/>
          <a:ext cx="1014730" cy="204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590" name="Text Box 7">
          <a:extLst>
            <a:ext uri="{FF2B5EF4-FFF2-40B4-BE49-F238E27FC236}">
              <a16:creationId xmlns="" xmlns:a16="http://schemas.microsoft.com/office/drawing/2014/main" id="{00000000-0008-0000-0900-00004E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591" name="Text Box 8">
          <a:extLst>
            <a:ext uri="{FF2B5EF4-FFF2-40B4-BE49-F238E27FC236}">
              <a16:creationId xmlns="" xmlns:a16="http://schemas.microsoft.com/office/drawing/2014/main" id="{00000000-0008-0000-0900-00004F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592" name="Text Box 9">
          <a:extLst>
            <a:ext uri="{FF2B5EF4-FFF2-40B4-BE49-F238E27FC236}">
              <a16:creationId xmlns="" xmlns:a16="http://schemas.microsoft.com/office/drawing/2014/main" id="{00000000-0008-0000-0900-000050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593" name="Text Box 10">
          <a:extLst>
            <a:ext uri="{FF2B5EF4-FFF2-40B4-BE49-F238E27FC236}">
              <a16:creationId xmlns="" xmlns:a16="http://schemas.microsoft.com/office/drawing/2014/main" id="{00000000-0008-0000-0900-000051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594" name="Text Box 11">
          <a:extLst>
            <a:ext uri="{FF2B5EF4-FFF2-40B4-BE49-F238E27FC236}">
              <a16:creationId xmlns="" xmlns:a16="http://schemas.microsoft.com/office/drawing/2014/main" id="{00000000-0008-0000-0900-000052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595" name="Text Box 12">
          <a:extLst>
            <a:ext uri="{FF2B5EF4-FFF2-40B4-BE49-F238E27FC236}">
              <a16:creationId xmlns="" xmlns:a16="http://schemas.microsoft.com/office/drawing/2014/main" id="{00000000-0008-0000-0900-000053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596" name="Text Box 13">
          <a:extLst>
            <a:ext uri="{FF2B5EF4-FFF2-40B4-BE49-F238E27FC236}">
              <a16:creationId xmlns="" xmlns:a16="http://schemas.microsoft.com/office/drawing/2014/main" id="{00000000-0008-0000-0900-000054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597" name="Text Box 14">
          <a:extLst>
            <a:ext uri="{FF2B5EF4-FFF2-40B4-BE49-F238E27FC236}">
              <a16:creationId xmlns="" xmlns:a16="http://schemas.microsoft.com/office/drawing/2014/main" id="{00000000-0008-0000-0900-000055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598" name="Text Box 15">
          <a:extLst>
            <a:ext uri="{FF2B5EF4-FFF2-40B4-BE49-F238E27FC236}">
              <a16:creationId xmlns="" xmlns:a16="http://schemas.microsoft.com/office/drawing/2014/main" id="{00000000-0008-0000-0900-000056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599" name="Text Box 16">
          <a:extLst>
            <a:ext uri="{FF2B5EF4-FFF2-40B4-BE49-F238E27FC236}">
              <a16:creationId xmlns="" xmlns:a16="http://schemas.microsoft.com/office/drawing/2014/main" id="{00000000-0008-0000-0900-000057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00" name="Text Box 17">
          <a:extLst>
            <a:ext uri="{FF2B5EF4-FFF2-40B4-BE49-F238E27FC236}">
              <a16:creationId xmlns="" xmlns:a16="http://schemas.microsoft.com/office/drawing/2014/main" id="{00000000-0008-0000-0900-000058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01" name="Text Box 18">
          <a:extLst>
            <a:ext uri="{FF2B5EF4-FFF2-40B4-BE49-F238E27FC236}">
              <a16:creationId xmlns="" xmlns:a16="http://schemas.microsoft.com/office/drawing/2014/main" id="{00000000-0008-0000-0900-000059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02" name="Text Box 19">
          <a:extLst>
            <a:ext uri="{FF2B5EF4-FFF2-40B4-BE49-F238E27FC236}">
              <a16:creationId xmlns="" xmlns:a16="http://schemas.microsoft.com/office/drawing/2014/main" id="{00000000-0008-0000-0900-00005A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03" name="Text Box 20">
          <a:extLst>
            <a:ext uri="{FF2B5EF4-FFF2-40B4-BE49-F238E27FC236}">
              <a16:creationId xmlns="" xmlns:a16="http://schemas.microsoft.com/office/drawing/2014/main" id="{00000000-0008-0000-0900-00005B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04" name="Text Box 21">
          <a:extLst>
            <a:ext uri="{FF2B5EF4-FFF2-40B4-BE49-F238E27FC236}">
              <a16:creationId xmlns="" xmlns:a16="http://schemas.microsoft.com/office/drawing/2014/main" id="{00000000-0008-0000-0900-00005C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05" name="Text Box 25">
          <a:extLst>
            <a:ext uri="{FF2B5EF4-FFF2-40B4-BE49-F238E27FC236}">
              <a16:creationId xmlns="" xmlns:a16="http://schemas.microsoft.com/office/drawing/2014/main" id="{00000000-0008-0000-0900-00005D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06" name="Text Box 26">
          <a:extLst>
            <a:ext uri="{FF2B5EF4-FFF2-40B4-BE49-F238E27FC236}">
              <a16:creationId xmlns="" xmlns:a16="http://schemas.microsoft.com/office/drawing/2014/main" id="{00000000-0008-0000-0900-00005E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07" name="Text Box 27">
          <a:extLst>
            <a:ext uri="{FF2B5EF4-FFF2-40B4-BE49-F238E27FC236}">
              <a16:creationId xmlns="" xmlns:a16="http://schemas.microsoft.com/office/drawing/2014/main" id="{00000000-0008-0000-0900-00005F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08" name="Text Box 28">
          <a:extLst>
            <a:ext uri="{FF2B5EF4-FFF2-40B4-BE49-F238E27FC236}">
              <a16:creationId xmlns="" xmlns:a16="http://schemas.microsoft.com/office/drawing/2014/main" id="{00000000-0008-0000-0900-000060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09" name="Text Box 1">
          <a:extLst>
            <a:ext uri="{FF2B5EF4-FFF2-40B4-BE49-F238E27FC236}">
              <a16:creationId xmlns="" xmlns:a16="http://schemas.microsoft.com/office/drawing/2014/main" id="{00000000-0008-0000-0900-000061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10" name="Text Box 2">
          <a:extLst>
            <a:ext uri="{FF2B5EF4-FFF2-40B4-BE49-F238E27FC236}">
              <a16:creationId xmlns="" xmlns:a16="http://schemas.microsoft.com/office/drawing/2014/main" id="{00000000-0008-0000-0900-000062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11" name="Text Box 3">
          <a:extLst>
            <a:ext uri="{FF2B5EF4-FFF2-40B4-BE49-F238E27FC236}">
              <a16:creationId xmlns="" xmlns:a16="http://schemas.microsoft.com/office/drawing/2014/main" id="{00000000-0008-0000-0900-000063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12" name="Text Box 4">
          <a:extLst>
            <a:ext uri="{FF2B5EF4-FFF2-40B4-BE49-F238E27FC236}">
              <a16:creationId xmlns="" xmlns:a16="http://schemas.microsoft.com/office/drawing/2014/main" id="{00000000-0008-0000-0900-000064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13" name="Text Box 5">
          <a:extLst>
            <a:ext uri="{FF2B5EF4-FFF2-40B4-BE49-F238E27FC236}">
              <a16:creationId xmlns="" xmlns:a16="http://schemas.microsoft.com/office/drawing/2014/main" id="{00000000-0008-0000-0900-000065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14" name="Text Box 6">
          <a:extLst>
            <a:ext uri="{FF2B5EF4-FFF2-40B4-BE49-F238E27FC236}">
              <a16:creationId xmlns="" xmlns:a16="http://schemas.microsoft.com/office/drawing/2014/main" id="{00000000-0008-0000-0900-000066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15" name="Text Box 7">
          <a:extLst>
            <a:ext uri="{FF2B5EF4-FFF2-40B4-BE49-F238E27FC236}">
              <a16:creationId xmlns="" xmlns:a16="http://schemas.microsoft.com/office/drawing/2014/main" id="{00000000-0008-0000-0900-000067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16" name="Text Box 8">
          <a:extLst>
            <a:ext uri="{FF2B5EF4-FFF2-40B4-BE49-F238E27FC236}">
              <a16:creationId xmlns="" xmlns:a16="http://schemas.microsoft.com/office/drawing/2014/main" id="{00000000-0008-0000-0900-000068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17" name="Text Box 9">
          <a:extLst>
            <a:ext uri="{FF2B5EF4-FFF2-40B4-BE49-F238E27FC236}">
              <a16:creationId xmlns="" xmlns:a16="http://schemas.microsoft.com/office/drawing/2014/main" id="{00000000-0008-0000-0900-000069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18" name="Text Box 10">
          <a:extLst>
            <a:ext uri="{FF2B5EF4-FFF2-40B4-BE49-F238E27FC236}">
              <a16:creationId xmlns="" xmlns:a16="http://schemas.microsoft.com/office/drawing/2014/main" id="{00000000-0008-0000-0900-00006A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19" name="Text Box 11">
          <a:extLst>
            <a:ext uri="{FF2B5EF4-FFF2-40B4-BE49-F238E27FC236}">
              <a16:creationId xmlns="" xmlns:a16="http://schemas.microsoft.com/office/drawing/2014/main" id="{00000000-0008-0000-0900-00006B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20" name="Text Box 12">
          <a:extLst>
            <a:ext uri="{FF2B5EF4-FFF2-40B4-BE49-F238E27FC236}">
              <a16:creationId xmlns="" xmlns:a16="http://schemas.microsoft.com/office/drawing/2014/main" id="{00000000-0008-0000-0900-00006C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21" name="Text Box 13">
          <a:extLst>
            <a:ext uri="{FF2B5EF4-FFF2-40B4-BE49-F238E27FC236}">
              <a16:creationId xmlns="" xmlns:a16="http://schemas.microsoft.com/office/drawing/2014/main" id="{00000000-0008-0000-0900-00006D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22" name="Text Box 14">
          <a:extLst>
            <a:ext uri="{FF2B5EF4-FFF2-40B4-BE49-F238E27FC236}">
              <a16:creationId xmlns="" xmlns:a16="http://schemas.microsoft.com/office/drawing/2014/main" id="{00000000-0008-0000-0900-00006E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23" name="Text Box 15">
          <a:extLst>
            <a:ext uri="{FF2B5EF4-FFF2-40B4-BE49-F238E27FC236}">
              <a16:creationId xmlns="" xmlns:a16="http://schemas.microsoft.com/office/drawing/2014/main" id="{00000000-0008-0000-0900-00006F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24" name="Text Box 16">
          <a:extLst>
            <a:ext uri="{FF2B5EF4-FFF2-40B4-BE49-F238E27FC236}">
              <a16:creationId xmlns="" xmlns:a16="http://schemas.microsoft.com/office/drawing/2014/main" id="{00000000-0008-0000-0900-000070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25" name="Text Box 17">
          <a:extLst>
            <a:ext uri="{FF2B5EF4-FFF2-40B4-BE49-F238E27FC236}">
              <a16:creationId xmlns="" xmlns:a16="http://schemas.microsoft.com/office/drawing/2014/main" id="{00000000-0008-0000-0900-000071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26" name="Text Box 18">
          <a:extLst>
            <a:ext uri="{FF2B5EF4-FFF2-40B4-BE49-F238E27FC236}">
              <a16:creationId xmlns="" xmlns:a16="http://schemas.microsoft.com/office/drawing/2014/main" id="{00000000-0008-0000-0900-000072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27" name="Text Box 19">
          <a:extLst>
            <a:ext uri="{FF2B5EF4-FFF2-40B4-BE49-F238E27FC236}">
              <a16:creationId xmlns="" xmlns:a16="http://schemas.microsoft.com/office/drawing/2014/main" id="{00000000-0008-0000-0900-000073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28" name="Text Box 20">
          <a:extLst>
            <a:ext uri="{FF2B5EF4-FFF2-40B4-BE49-F238E27FC236}">
              <a16:creationId xmlns="" xmlns:a16="http://schemas.microsoft.com/office/drawing/2014/main" id="{00000000-0008-0000-0900-000074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29" name="Text Box 21">
          <a:extLst>
            <a:ext uri="{FF2B5EF4-FFF2-40B4-BE49-F238E27FC236}">
              <a16:creationId xmlns="" xmlns:a16="http://schemas.microsoft.com/office/drawing/2014/main" id="{00000000-0008-0000-0900-000075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30" name="Text Box 25">
          <a:extLst>
            <a:ext uri="{FF2B5EF4-FFF2-40B4-BE49-F238E27FC236}">
              <a16:creationId xmlns="" xmlns:a16="http://schemas.microsoft.com/office/drawing/2014/main" id="{00000000-0008-0000-0900-000076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31" name="Text Box 26">
          <a:extLst>
            <a:ext uri="{FF2B5EF4-FFF2-40B4-BE49-F238E27FC236}">
              <a16:creationId xmlns="" xmlns:a16="http://schemas.microsoft.com/office/drawing/2014/main" id="{00000000-0008-0000-0900-000077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32" name="Text Box 27">
          <a:extLst>
            <a:ext uri="{FF2B5EF4-FFF2-40B4-BE49-F238E27FC236}">
              <a16:creationId xmlns="" xmlns:a16="http://schemas.microsoft.com/office/drawing/2014/main" id="{00000000-0008-0000-0900-000078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33" name="Text Box 28">
          <a:extLst>
            <a:ext uri="{FF2B5EF4-FFF2-40B4-BE49-F238E27FC236}">
              <a16:creationId xmlns="" xmlns:a16="http://schemas.microsoft.com/office/drawing/2014/main" id="{00000000-0008-0000-0900-000079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34" name="Text Box 1">
          <a:extLst>
            <a:ext uri="{FF2B5EF4-FFF2-40B4-BE49-F238E27FC236}">
              <a16:creationId xmlns="" xmlns:a16="http://schemas.microsoft.com/office/drawing/2014/main" id="{00000000-0008-0000-0900-00007A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35" name="Text Box 2">
          <a:extLst>
            <a:ext uri="{FF2B5EF4-FFF2-40B4-BE49-F238E27FC236}">
              <a16:creationId xmlns="" xmlns:a16="http://schemas.microsoft.com/office/drawing/2014/main" id="{00000000-0008-0000-0900-00007B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36" name="Text Box 3">
          <a:extLst>
            <a:ext uri="{FF2B5EF4-FFF2-40B4-BE49-F238E27FC236}">
              <a16:creationId xmlns="" xmlns:a16="http://schemas.microsoft.com/office/drawing/2014/main" id="{00000000-0008-0000-0900-00007C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37" name="Text Box 4">
          <a:extLst>
            <a:ext uri="{FF2B5EF4-FFF2-40B4-BE49-F238E27FC236}">
              <a16:creationId xmlns="" xmlns:a16="http://schemas.microsoft.com/office/drawing/2014/main" id="{00000000-0008-0000-0900-00007D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133350</xdr:colOff>
      <xdr:row>86</xdr:row>
      <xdr:rowOff>0</xdr:rowOff>
    </xdr:from>
    <xdr:to>
      <xdr:col>1</xdr:col>
      <xdr:colOff>919480</xdr:colOff>
      <xdr:row>87</xdr:row>
      <xdr:rowOff>156753</xdr:rowOff>
    </xdr:to>
    <xdr:sp macro="" textlink="">
      <xdr:nvSpPr>
        <xdr:cNvPr id="638" name="Text Box 5">
          <a:extLst>
            <a:ext uri="{FF2B5EF4-FFF2-40B4-BE49-F238E27FC236}">
              <a16:creationId xmlns="" xmlns:a16="http://schemas.microsoft.com/office/drawing/2014/main" id="{00000000-0008-0000-0900-00007E020000}"/>
            </a:ext>
          </a:extLst>
        </xdr:cNvPr>
        <xdr:cNvSpPr txBox="1">
          <a:spLocks noChangeArrowheads="1"/>
        </xdr:cNvSpPr>
      </xdr:nvSpPr>
      <xdr:spPr bwMode="auto">
        <a:xfrm>
          <a:off x="133350" y="1600200"/>
          <a:ext cx="101473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169636</xdr:colOff>
      <xdr:row>95</xdr:row>
      <xdr:rowOff>163286</xdr:rowOff>
    </xdr:from>
    <xdr:to>
      <xdr:col>17</xdr:col>
      <xdr:colOff>566418</xdr:colOff>
      <xdr:row>96</xdr:row>
      <xdr:rowOff>138972</xdr:rowOff>
    </xdr:to>
    <xdr:sp macro="" textlink="">
      <xdr:nvSpPr>
        <xdr:cNvPr id="639" name="Text Box 6">
          <a:extLst>
            <a:ext uri="{FF2B5EF4-FFF2-40B4-BE49-F238E27FC236}">
              <a16:creationId xmlns="" xmlns:a16="http://schemas.microsoft.com/office/drawing/2014/main" id="{00000000-0008-0000-0900-00007F020000}"/>
            </a:ext>
          </a:extLst>
        </xdr:cNvPr>
        <xdr:cNvSpPr txBox="1">
          <a:spLocks noChangeArrowheads="1"/>
        </xdr:cNvSpPr>
      </xdr:nvSpPr>
      <xdr:spPr bwMode="auto">
        <a:xfrm>
          <a:off x="5676900" y="4140926"/>
          <a:ext cx="543246" cy="1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171450</xdr:colOff>
      <xdr:row>86</xdr:row>
      <xdr:rowOff>0</xdr:rowOff>
    </xdr:from>
    <xdr:to>
      <xdr:col>1</xdr:col>
      <xdr:colOff>607695</xdr:colOff>
      <xdr:row>88</xdr:row>
      <xdr:rowOff>11520</xdr:rowOff>
    </xdr:to>
    <xdr:sp macro="" textlink="">
      <xdr:nvSpPr>
        <xdr:cNvPr id="640" name="Text Box 1">
          <a:extLst>
            <a:ext uri="{FF2B5EF4-FFF2-40B4-BE49-F238E27FC236}">
              <a16:creationId xmlns="" xmlns:a16="http://schemas.microsoft.com/office/drawing/2014/main" id="{00000000-0008-0000-0900-000080020000}"/>
            </a:ext>
          </a:extLst>
        </xdr:cNvPr>
        <xdr:cNvSpPr txBox="1">
          <a:spLocks noChangeArrowheads="1"/>
        </xdr:cNvSpPr>
      </xdr:nvSpPr>
      <xdr:spPr bwMode="auto">
        <a:xfrm>
          <a:off x="400050" y="1600200"/>
          <a:ext cx="436245" cy="240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102243</xdr:colOff>
      <xdr:row>79</xdr:row>
      <xdr:rowOff>115747</xdr:rowOff>
    </xdr:from>
    <xdr:to>
      <xdr:col>1</xdr:col>
      <xdr:colOff>1020228</xdr:colOff>
      <xdr:row>81</xdr:row>
      <xdr:rowOff>2127</xdr:rowOff>
    </xdr:to>
    <xdr:sp macro="" textlink="">
      <xdr:nvSpPr>
        <xdr:cNvPr id="641" name="Text Box 1">
          <a:extLst>
            <a:ext uri="{FF2B5EF4-FFF2-40B4-BE49-F238E27FC236}">
              <a16:creationId xmlns="" xmlns:a16="http://schemas.microsoft.com/office/drawing/2014/main" id="{00000000-0008-0000-0900-000081020000}"/>
            </a:ext>
          </a:extLst>
        </xdr:cNvPr>
        <xdr:cNvSpPr txBox="1">
          <a:spLocks noChangeArrowheads="1"/>
        </xdr:cNvSpPr>
      </xdr:nvSpPr>
      <xdr:spPr bwMode="auto">
        <a:xfrm>
          <a:off x="330843" y="115747"/>
          <a:ext cx="917985" cy="210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581025</xdr:colOff>
      <xdr:row>86</xdr:row>
      <xdr:rowOff>0</xdr:rowOff>
    </xdr:from>
    <xdr:to>
      <xdr:col>1</xdr:col>
      <xdr:colOff>611505</xdr:colOff>
      <xdr:row>87</xdr:row>
      <xdr:rowOff>156753</xdr:rowOff>
    </xdr:to>
    <xdr:sp macro="" textlink="">
      <xdr:nvSpPr>
        <xdr:cNvPr id="642" name="Text Box 1">
          <a:extLst>
            <a:ext uri="{FF2B5EF4-FFF2-40B4-BE49-F238E27FC236}">
              <a16:creationId xmlns="" xmlns:a16="http://schemas.microsoft.com/office/drawing/2014/main" id="{00000000-0008-0000-0900-000082020000}"/>
            </a:ext>
          </a:extLst>
        </xdr:cNvPr>
        <xdr:cNvSpPr txBox="1">
          <a:spLocks noChangeArrowheads="1"/>
        </xdr:cNvSpPr>
      </xdr:nvSpPr>
      <xdr:spPr bwMode="auto">
        <a:xfrm>
          <a:off x="809625" y="1600200"/>
          <a:ext cx="3048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86</xdr:row>
      <xdr:rowOff>0</xdr:rowOff>
    </xdr:from>
    <xdr:to>
      <xdr:col>17</xdr:col>
      <xdr:colOff>674591</xdr:colOff>
      <xdr:row>87</xdr:row>
      <xdr:rowOff>156753</xdr:rowOff>
    </xdr:to>
    <xdr:sp macro="" textlink="">
      <xdr:nvSpPr>
        <xdr:cNvPr id="643" name="Text Box 1">
          <a:extLst>
            <a:ext uri="{FF2B5EF4-FFF2-40B4-BE49-F238E27FC236}">
              <a16:creationId xmlns="" xmlns:a16="http://schemas.microsoft.com/office/drawing/2014/main" id="{00000000-0008-0000-0900-000083020000}"/>
            </a:ext>
          </a:extLst>
        </xdr:cNvPr>
        <xdr:cNvSpPr txBox="1">
          <a:spLocks noChangeArrowheads="1"/>
        </xdr:cNvSpPr>
      </xdr:nvSpPr>
      <xdr:spPr bwMode="auto">
        <a:xfrm>
          <a:off x="5676900" y="1600200"/>
          <a:ext cx="675540" cy="20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86</xdr:row>
      <xdr:rowOff>0</xdr:rowOff>
    </xdr:from>
    <xdr:to>
      <xdr:col>17</xdr:col>
      <xdr:colOff>752920</xdr:colOff>
      <xdr:row>87</xdr:row>
      <xdr:rowOff>156754</xdr:rowOff>
    </xdr:to>
    <xdr:sp macro="" textlink="">
      <xdr:nvSpPr>
        <xdr:cNvPr id="644" name="Text Box 1">
          <a:extLst>
            <a:ext uri="{FF2B5EF4-FFF2-40B4-BE49-F238E27FC236}">
              <a16:creationId xmlns="" xmlns:a16="http://schemas.microsoft.com/office/drawing/2014/main" id="{00000000-0008-0000-0900-000084020000}"/>
            </a:ext>
          </a:extLst>
        </xdr:cNvPr>
        <xdr:cNvSpPr txBox="1">
          <a:spLocks noChangeArrowheads="1"/>
        </xdr:cNvSpPr>
      </xdr:nvSpPr>
      <xdr:spPr bwMode="auto">
        <a:xfrm>
          <a:off x="5676900" y="1600200"/>
          <a:ext cx="704115" cy="20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200025</xdr:colOff>
      <xdr:row>165</xdr:row>
      <xdr:rowOff>0</xdr:rowOff>
    </xdr:from>
    <xdr:to>
      <xdr:col>1</xdr:col>
      <xdr:colOff>986155</xdr:colOff>
      <xdr:row>166</xdr:row>
      <xdr:rowOff>1742</xdr:rowOff>
    </xdr:to>
    <xdr:sp macro="" textlink="">
      <xdr:nvSpPr>
        <xdr:cNvPr id="645" name="Text Box 1">
          <a:extLst>
            <a:ext uri="{FF2B5EF4-FFF2-40B4-BE49-F238E27FC236}">
              <a16:creationId xmlns="" xmlns:a16="http://schemas.microsoft.com/office/drawing/2014/main" id="{00000000-0008-0000-0900-000085020000}"/>
            </a:ext>
          </a:extLst>
        </xdr:cNvPr>
        <xdr:cNvSpPr txBox="1">
          <a:spLocks noChangeArrowheads="1"/>
        </xdr:cNvSpPr>
      </xdr:nvSpPr>
      <xdr:spPr bwMode="auto">
        <a:xfrm>
          <a:off x="200025" y="16847820"/>
          <a:ext cx="1014730" cy="16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</xdr:col>
      <xdr:colOff>169636</xdr:colOff>
      <xdr:row>13</xdr:row>
      <xdr:rowOff>163286</xdr:rowOff>
    </xdr:from>
    <xdr:ext cx="4306875" cy="154981"/>
    <xdr:sp macro="" textlink="">
      <xdr:nvSpPr>
        <xdr:cNvPr id="646" name="Text Box 6">
          <a:extLst>
            <a:ext uri="{FF2B5EF4-FFF2-40B4-BE49-F238E27FC236}">
              <a16:creationId xmlns="" xmlns:a16="http://schemas.microsoft.com/office/drawing/2014/main" id="{00000000-0008-0000-0900-000086020000}"/>
            </a:ext>
          </a:extLst>
        </xdr:cNvPr>
        <xdr:cNvSpPr txBox="1">
          <a:spLocks noChangeArrowheads="1"/>
        </xdr:cNvSpPr>
      </xdr:nvSpPr>
      <xdr:spPr bwMode="auto">
        <a:xfrm>
          <a:off x="8887812" y="21286374"/>
          <a:ext cx="4306875" cy="154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11</xdr:col>
      <xdr:colOff>169636</xdr:colOff>
      <xdr:row>13</xdr:row>
      <xdr:rowOff>163286</xdr:rowOff>
    </xdr:from>
    <xdr:to>
      <xdr:col>12</xdr:col>
      <xdr:colOff>162251</xdr:colOff>
      <xdr:row>14</xdr:row>
      <xdr:rowOff>161834</xdr:rowOff>
    </xdr:to>
    <xdr:sp macro="" textlink="">
      <xdr:nvSpPr>
        <xdr:cNvPr id="648" name="Text Box 6">
          <a:extLst>
            <a:ext uri="{FF2B5EF4-FFF2-40B4-BE49-F238E27FC236}">
              <a16:creationId xmlns="" xmlns:a16="http://schemas.microsoft.com/office/drawing/2014/main" id="{00000000-0008-0000-0900-000088020000}"/>
            </a:ext>
          </a:extLst>
        </xdr:cNvPr>
        <xdr:cNvSpPr txBox="1">
          <a:spLocks noChangeArrowheads="1"/>
        </xdr:cNvSpPr>
      </xdr:nvSpPr>
      <xdr:spPr bwMode="auto">
        <a:xfrm>
          <a:off x="8787856" y="4125686"/>
          <a:ext cx="541642" cy="1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169636</xdr:colOff>
      <xdr:row>13</xdr:row>
      <xdr:rowOff>163286</xdr:rowOff>
    </xdr:from>
    <xdr:to>
      <xdr:col>12</xdr:col>
      <xdr:colOff>82040</xdr:colOff>
      <xdr:row>14</xdr:row>
      <xdr:rowOff>161834</xdr:rowOff>
    </xdr:to>
    <xdr:sp macro="" textlink="">
      <xdr:nvSpPr>
        <xdr:cNvPr id="647" name="Text Box 6">
          <a:extLst>
            <a:ext uri="{FF2B5EF4-FFF2-40B4-BE49-F238E27FC236}">
              <a16:creationId xmlns="" xmlns:a16="http://schemas.microsoft.com/office/drawing/2014/main" id="{00000000-0008-0000-0900-000087020000}"/>
            </a:ext>
          </a:extLst>
        </xdr:cNvPr>
        <xdr:cNvSpPr txBox="1">
          <a:spLocks noChangeArrowheads="1"/>
        </xdr:cNvSpPr>
      </xdr:nvSpPr>
      <xdr:spPr bwMode="auto">
        <a:xfrm>
          <a:off x="9366976" y="4125686"/>
          <a:ext cx="545251" cy="1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025\&#1042;&#1040;&#1056;&#1058;&#1030;&#1057;&#1058;&#1068;%20&#1055;&#1054;&#1057;&#1051;&#1059;&#1043;%202025\&#1041;&#1045;&#1047;&#1050;&#1054;&#1064;&#1058;&#1054;&#1042;&#1053;&#1030;\&#1058;&#1072;&#1088;&#1080;&#1092;&#1080;%20&#1089;&#1086;&#1094;%20&#1087;&#1086;&#1089;&#1083;&#1091;&#1075;&#1080;%202025%2017.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\&#1085;&#1072;%20&#1089;&#1077;&#1089;&#1110;&#1102;\1\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\&#1085;&#1072;%20&#1089;&#1077;&#1089;&#1110;&#1102;\2\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дмінвитр.психолог) (2)"/>
      <sheetName val="Психолог"/>
      <sheetName val="адмінвитрати УТВ"/>
      <sheetName val="УТВ"/>
      <sheetName val="ІІІ відділення"/>
      <sheetName val="Зведена - рішення додаток В (2"/>
      <sheetName val="ЗВЕДЕНИЙ"/>
      <sheetName val="адмінвитрати ІІ відд соц "/>
      <sheetName val="соц. роб ІІ віддділення"/>
      <sheetName val="ІІ відділенн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гляд вдома"/>
      <sheetName val="адмінвитрати"/>
    </sheetNames>
    <sheetDataSet>
      <sheetData sheetId="0">
        <row r="10">
          <cell r="L10">
            <v>79.762549323711099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"/>
      <sheetName val="робітник з комп.обсл."/>
      <sheetName val="робітник 6 тар.розряд"/>
      <sheetName val="Прямі витрати"/>
      <sheetName val="Перукар"/>
      <sheetName val="Швачка"/>
      <sheetName val="адмінвитрати"/>
    </sheetNames>
    <sheetDataSet>
      <sheetData sheetId="0">
        <row r="31">
          <cell r="C31" t="str">
            <v>Прополювання городу від бур'яну вручну</v>
          </cell>
        </row>
        <row r="38">
          <cell r="C38" t="str">
            <v>Ремонтні роботи зовнішні</v>
          </cell>
        </row>
      </sheetData>
      <sheetData sheetId="1">
        <row r="21">
          <cell r="E21">
            <v>83.29</v>
          </cell>
        </row>
      </sheetData>
      <sheetData sheetId="2">
        <row r="28">
          <cell r="E28">
            <v>86.35</v>
          </cell>
        </row>
      </sheetData>
      <sheetData sheetId="3">
        <row r="10">
          <cell r="F10">
            <v>83.27</v>
          </cell>
        </row>
      </sheetData>
      <sheetData sheetId="4">
        <row r="40">
          <cell r="M40">
            <v>73.91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39"/>
  <sheetViews>
    <sheetView view="pageBreakPreview" topLeftCell="A19" zoomScaleNormal="100" zoomScaleSheetLayoutView="100" workbookViewId="0">
      <selection activeCell="D26" sqref="D26"/>
    </sheetView>
  </sheetViews>
  <sheetFormatPr defaultRowHeight="15"/>
  <cols>
    <col min="1" max="1" width="13.140625" customWidth="1"/>
    <col min="2" max="2" width="7.7109375" customWidth="1"/>
    <col min="3" max="3" width="11.85546875" customWidth="1"/>
    <col min="5" max="5" width="15.5703125" customWidth="1"/>
    <col min="6" max="6" width="14.140625" customWidth="1"/>
    <col min="7" max="7" width="17.7109375" customWidth="1"/>
  </cols>
  <sheetData>
    <row r="1" spans="1:7" ht="16.149999999999999" customHeight="1">
      <c r="A1" s="911" t="s">
        <v>328</v>
      </c>
      <c r="B1" s="911"/>
      <c r="C1" s="911"/>
      <c r="D1" s="911"/>
      <c r="E1" s="911"/>
      <c r="F1" s="911"/>
      <c r="G1" s="911"/>
    </row>
    <row r="2" spans="1:7" ht="15.75" customHeight="1">
      <c r="A2" s="912" t="s">
        <v>514</v>
      </c>
      <c r="B2" s="912"/>
      <c r="C2" s="912"/>
      <c r="D2" s="912"/>
      <c r="E2" s="912"/>
      <c r="F2" s="912"/>
      <c r="G2" s="912"/>
    </row>
    <row r="3" spans="1:7" ht="15.6" customHeight="1">
      <c r="A3" s="913" t="s">
        <v>831</v>
      </c>
      <c r="B3" s="913"/>
      <c r="C3" s="913"/>
      <c r="D3" s="913"/>
      <c r="E3" s="913"/>
      <c r="F3" s="913"/>
      <c r="G3" s="913"/>
    </row>
    <row r="4" spans="1:7" ht="29.25" customHeight="1">
      <c r="A4" s="914" t="s">
        <v>330</v>
      </c>
      <c r="B4" s="914"/>
      <c r="C4" s="914"/>
      <c r="D4" s="914"/>
      <c r="E4" s="914"/>
      <c r="F4" s="914"/>
      <c r="G4" s="914"/>
    </row>
    <row r="5" spans="1:7" ht="15.75">
      <c r="A5" s="915" t="s">
        <v>331</v>
      </c>
      <c r="B5" s="915"/>
      <c r="C5" s="915"/>
      <c r="D5" t="s">
        <v>332</v>
      </c>
    </row>
    <row r="7" spans="1:7">
      <c r="A7" s="113" t="s">
        <v>333</v>
      </c>
      <c r="B7" s="113" t="s">
        <v>334</v>
      </c>
      <c r="C7" s="910" t="s">
        <v>335</v>
      </c>
      <c r="D7" s="910"/>
      <c r="E7" s="910"/>
      <c r="F7" s="910"/>
    </row>
    <row r="8" spans="1:7">
      <c r="A8" s="113" t="s">
        <v>336</v>
      </c>
      <c r="B8" s="113" t="s">
        <v>334</v>
      </c>
      <c r="C8" s="917" t="s">
        <v>337</v>
      </c>
      <c r="D8" s="917"/>
      <c r="E8" s="917"/>
      <c r="F8" s="917"/>
    </row>
    <row r="9" spans="1:7" ht="21" customHeight="1">
      <c r="A9" s="113" t="s">
        <v>338</v>
      </c>
      <c r="B9" s="113" t="s">
        <v>334</v>
      </c>
      <c r="C9" s="917" t="s">
        <v>339</v>
      </c>
      <c r="D9" s="917"/>
      <c r="E9" s="917"/>
      <c r="F9" s="917"/>
    </row>
    <row r="10" spans="1:7" ht="14.45" customHeight="1">
      <c r="A10" s="113" t="s">
        <v>340</v>
      </c>
      <c r="B10" s="113" t="s">
        <v>334</v>
      </c>
      <c r="C10" s="917" t="s">
        <v>341</v>
      </c>
      <c r="D10" s="917"/>
      <c r="E10" s="917"/>
      <c r="F10" s="917"/>
    </row>
    <row r="11" spans="1:7" ht="15" customHeight="1">
      <c r="A11" s="113" t="s">
        <v>342</v>
      </c>
      <c r="B11" s="113" t="s">
        <v>334</v>
      </c>
      <c r="C11" s="917" t="s">
        <v>343</v>
      </c>
      <c r="D11" s="917"/>
      <c r="E11" s="917"/>
      <c r="F11" s="917"/>
    </row>
    <row r="12" spans="1:7" ht="11.45" customHeight="1"/>
    <row r="13" spans="1:7" ht="29.25" customHeight="1">
      <c r="A13" s="914" t="s">
        <v>344</v>
      </c>
      <c r="B13" s="914"/>
      <c r="C13" s="914"/>
      <c r="D13" s="914"/>
      <c r="E13" s="914"/>
      <c r="F13" s="914"/>
      <c r="G13" s="914"/>
    </row>
    <row r="14" spans="1:7">
      <c r="A14" s="918" t="s">
        <v>345</v>
      </c>
      <c r="B14" s="918"/>
      <c r="C14" s="918"/>
      <c r="D14" s="114" t="s">
        <v>332</v>
      </c>
    </row>
    <row r="15" spans="1:7" ht="14.45" customHeight="1">
      <c r="A15" s="115" t="s">
        <v>336</v>
      </c>
      <c r="B15" s="115" t="s">
        <v>334</v>
      </c>
      <c r="C15" s="919" t="s">
        <v>337</v>
      </c>
      <c r="D15" s="919"/>
      <c r="E15" s="919"/>
      <c r="F15" s="919"/>
      <c r="G15" s="919"/>
    </row>
    <row r="16" spans="1:7" ht="45.6" customHeight="1">
      <c r="A16" s="115" t="s">
        <v>346</v>
      </c>
      <c r="B16" s="115" t="s">
        <v>334</v>
      </c>
      <c r="C16" s="919" t="s">
        <v>347</v>
      </c>
      <c r="D16" s="919"/>
      <c r="E16" s="919"/>
      <c r="F16" s="919"/>
      <c r="G16" s="919"/>
    </row>
    <row r="17" spans="1:9" ht="15.6" customHeight="1">
      <c r="A17" s="115" t="s">
        <v>348</v>
      </c>
      <c r="B17" s="115" t="s">
        <v>334</v>
      </c>
      <c r="C17" s="919" t="s">
        <v>349</v>
      </c>
      <c r="D17" s="919"/>
      <c r="E17" s="919"/>
      <c r="F17" s="919"/>
      <c r="G17" s="919"/>
    </row>
    <row r="18" spans="1:9">
      <c r="A18" s="115" t="s">
        <v>350</v>
      </c>
      <c r="B18" s="115" t="s">
        <v>334</v>
      </c>
      <c r="C18" s="919" t="s">
        <v>351</v>
      </c>
      <c r="D18" s="919"/>
      <c r="E18" s="919"/>
      <c r="F18" s="919"/>
    </row>
    <row r="20" spans="1:9" ht="28.15" customHeight="1">
      <c r="A20" s="920" t="s">
        <v>352</v>
      </c>
      <c r="B20" s="920"/>
      <c r="C20" s="920"/>
      <c r="D20" s="920"/>
      <c r="E20" s="920"/>
      <c r="F20" s="920"/>
    </row>
    <row r="21" spans="1:9" ht="15.75">
      <c r="A21" s="916" t="s">
        <v>353</v>
      </c>
      <c r="B21" s="916"/>
      <c r="D21" s="114" t="s">
        <v>332</v>
      </c>
    </row>
    <row r="22" spans="1:9" ht="14.45" customHeight="1">
      <c r="A22" s="115" t="s">
        <v>338</v>
      </c>
      <c r="B22" s="115" t="s">
        <v>334</v>
      </c>
      <c r="C22" s="919" t="s">
        <v>339</v>
      </c>
      <c r="D22" s="919"/>
      <c r="E22" s="919"/>
      <c r="F22" s="919"/>
      <c r="G22" s="919"/>
    </row>
    <row r="23" spans="1:9" ht="27" customHeight="1">
      <c r="A23" s="115" t="s">
        <v>354</v>
      </c>
      <c r="B23" s="115" t="s">
        <v>334</v>
      </c>
      <c r="C23" s="919" t="s">
        <v>355</v>
      </c>
      <c r="D23" s="919"/>
      <c r="E23" s="919"/>
      <c r="F23" s="919"/>
      <c r="G23" s="919"/>
    </row>
    <row r="24" spans="1:9" ht="42.6" customHeight="1">
      <c r="A24" s="116" t="s">
        <v>356</v>
      </c>
      <c r="B24" s="116" t="s">
        <v>334</v>
      </c>
      <c r="C24" s="919" t="s">
        <v>357</v>
      </c>
      <c r="D24" s="919"/>
      <c r="E24" s="919"/>
      <c r="F24" s="919"/>
      <c r="G24" s="919"/>
    </row>
    <row r="26" spans="1:9">
      <c r="A26" s="117">
        <f>ЗВЕДЕНИЙ!V28</f>
        <v>158787.89189323998</v>
      </c>
      <c r="B26" s="922" t="s">
        <v>516</v>
      </c>
      <c r="C26" s="922"/>
      <c r="D26" t="s">
        <v>1050</v>
      </c>
      <c r="E26" s="119"/>
      <c r="F26" s="596">
        <f>ROUND(A26/A27,5)</f>
        <v>7.1000000000000004E-3</v>
      </c>
    </row>
    <row r="27" spans="1:9">
      <c r="A27" s="121">
        <f>(ЗВЕДЕНИЙ!V78-ЗВЕДЕНИЙ!V34)+A26+814000</f>
        <v>22376657.905571479</v>
      </c>
      <c r="B27" s="118" t="s">
        <v>1036</v>
      </c>
      <c r="F27" s="121"/>
      <c r="G27" s="127"/>
      <c r="I27">
        <f>A26/A27</f>
        <v>7.0961397615013806E-3</v>
      </c>
    </row>
    <row r="28" spans="1:9">
      <c r="B28" s="122"/>
      <c r="C28" s="923"/>
      <c r="D28" s="923"/>
      <c r="E28" s="123"/>
      <c r="F28" s="124"/>
    </row>
    <row r="29" spans="1:9">
      <c r="C29" s="125"/>
      <c r="F29" s="126"/>
    </row>
    <row r="30" spans="1:9" ht="28.15" customHeight="1">
      <c r="A30" s="546">
        <f>((ЗВЕДЕНИЙ!V34-ЗВЕДЕНИЙ!V28)*22%)+ЗВЕДЕНИЙ!V34-ЗВЕДЕНИЙ!V28</f>
        <v>5320405.4708892182</v>
      </c>
      <c r="B30" s="922" t="s">
        <v>785</v>
      </c>
      <c r="C30" s="922"/>
      <c r="D30" s="924" t="s">
        <v>1060</v>
      </c>
      <c r="E30" s="924"/>
      <c r="F30" s="547">
        <f>(A30*F26)/2088</f>
        <v>18.091417070552421</v>
      </c>
    </row>
    <row r="31" spans="1:9">
      <c r="C31" s="125"/>
    </row>
    <row r="32" spans="1:9">
      <c r="A32" s="129"/>
      <c r="B32" s="130"/>
      <c r="C32" s="131"/>
      <c r="D32" s="130"/>
    </row>
    <row r="33" spans="1:7" ht="39.6" customHeight="1">
      <c r="A33" s="921" t="s">
        <v>359</v>
      </c>
      <c r="B33" s="921"/>
      <c r="C33" s="921"/>
      <c r="D33" s="921"/>
      <c r="E33" s="921"/>
      <c r="F33" s="921"/>
      <c r="G33" s="921"/>
    </row>
    <row r="34" spans="1:7" ht="14.45" customHeight="1">
      <c r="A34" s="921" t="s">
        <v>360</v>
      </c>
      <c r="B34" s="921"/>
      <c r="C34" s="921"/>
      <c r="D34" s="921"/>
      <c r="E34" s="921"/>
      <c r="F34" s="921"/>
      <c r="G34" s="921"/>
    </row>
    <row r="35" spans="1:7" ht="12.6" customHeight="1">
      <c r="A35" s="921"/>
      <c r="B35" s="921"/>
      <c r="C35" s="921"/>
      <c r="D35" s="921"/>
      <c r="E35" s="921"/>
      <c r="F35" s="921"/>
      <c r="G35" s="921"/>
    </row>
    <row r="36" spans="1:7">
      <c r="A36" s="258"/>
      <c r="B36" s="258"/>
      <c r="C36" s="258"/>
      <c r="D36" s="258"/>
      <c r="E36" s="258"/>
      <c r="F36" s="258"/>
      <c r="G36" s="258"/>
    </row>
    <row r="37" spans="1:7">
      <c r="F37" s="258"/>
      <c r="G37" s="258"/>
    </row>
    <row r="39" spans="1:7" ht="15.75">
      <c r="A39" s="295" t="s">
        <v>23</v>
      </c>
      <c r="B39" s="37"/>
      <c r="C39" s="51"/>
      <c r="E39" s="90"/>
      <c r="F39" s="51" t="s">
        <v>51</v>
      </c>
    </row>
  </sheetData>
  <mergeCells count="27">
    <mergeCell ref="A33:G33"/>
    <mergeCell ref="A34:G35"/>
    <mergeCell ref="C22:G22"/>
    <mergeCell ref="C23:G23"/>
    <mergeCell ref="C24:G24"/>
    <mergeCell ref="B26:C26"/>
    <mergeCell ref="C28:D28"/>
    <mergeCell ref="B30:C30"/>
    <mergeCell ref="D30:E30"/>
    <mergeCell ref="A21:B21"/>
    <mergeCell ref="C8:F8"/>
    <mergeCell ref="C9:F9"/>
    <mergeCell ref="C10:F10"/>
    <mergeCell ref="C11:F11"/>
    <mergeCell ref="A13:G13"/>
    <mergeCell ref="A14:C14"/>
    <mergeCell ref="C15:G15"/>
    <mergeCell ref="C16:G16"/>
    <mergeCell ref="C17:G17"/>
    <mergeCell ref="C18:F18"/>
    <mergeCell ref="A20:F20"/>
    <mergeCell ref="C7:F7"/>
    <mergeCell ref="A1:G1"/>
    <mergeCell ref="A2:G2"/>
    <mergeCell ref="A3:G3"/>
    <mergeCell ref="A4:G4"/>
    <mergeCell ref="A5:C5"/>
  </mergeCells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C167"/>
  <sheetViews>
    <sheetView view="pageBreakPreview" topLeftCell="A55" zoomScale="59" zoomScaleSheetLayoutView="59" workbookViewId="0">
      <selection activeCell="W63" sqref="W63"/>
    </sheetView>
  </sheetViews>
  <sheetFormatPr defaultRowHeight="15"/>
  <cols>
    <col min="1" max="1" width="3.7109375" customWidth="1"/>
    <col min="2" max="2" width="44.42578125" customWidth="1"/>
    <col min="3" max="3" width="5.85546875" customWidth="1"/>
    <col min="4" max="4" width="6.28515625" customWidth="1"/>
    <col min="5" max="5" width="11.7109375" customWidth="1"/>
    <col min="6" max="6" width="17.28515625" customWidth="1"/>
    <col min="7" max="7" width="10" customWidth="1"/>
    <col min="8" max="8" width="10.7109375" customWidth="1"/>
    <col min="9" max="9" width="9.7109375" customWidth="1"/>
    <col min="10" max="10" width="9" customWidth="1"/>
    <col min="11" max="11" width="10.42578125" customWidth="1"/>
    <col min="12" max="12" width="9.28515625" customWidth="1"/>
    <col min="13" max="13" width="7.5703125" customWidth="1"/>
    <col min="14" max="14" width="10" customWidth="1"/>
    <col min="15" max="15" width="10.5703125" customWidth="1"/>
    <col min="16" max="16" width="10" customWidth="1"/>
    <col min="17" max="17" width="9.5703125" customWidth="1"/>
    <col min="18" max="18" width="11.5703125" customWidth="1"/>
    <col min="19" max="19" width="12.140625" customWidth="1"/>
    <col min="20" max="20" width="14.5703125" customWidth="1"/>
    <col min="21" max="21" width="13.28515625" customWidth="1"/>
    <col min="22" max="22" width="13.85546875" customWidth="1"/>
    <col min="23" max="23" width="16.85546875" customWidth="1"/>
    <col min="24" max="24" width="12" customWidth="1"/>
    <col min="25" max="25" width="14.7109375" customWidth="1"/>
  </cols>
  <sheetData>
    <row r="1" spans="1:25">
      <c r="R1" s="1043" t="s">
        <v>703</v>
      </c>
      <c r="S1" s="1043"/>
      <c r="T1" s="1043"/>
      <c r="U1" s="1043"/>
      <c r="V1" s="1043"/>
    </row>
    <row r="2" spans="1:25">
      <c r="R2" s="1044" t="s">
        <v>704</v>
      </c>
      <c r="S2" s="1044"/>
      <c r="T2" s="1044"/>
      <c r="U2" s="1044"/>
      <c r="V2" s="1044"/>
    </row>
    <row r="3" spans="1:25">
      <c r="R3" s="974" t="s">
        <v>705</v>
      </c>
      <c r="S3" s="974"/>
      <c r="T3" s="974"/>
      <c r="U3" s="974"/>
      <c r="V3" s="974"/>
    </row>
    <row r="4" spans="1:25" ht="22.15" customHeight="1">
      <c r="R4" s="1045" t="s">
        <v>706</v>
      </c>
      <c r="S4" s="1045"/>
      <c r="T4" s="1045"/>
      <c r="U4" s="1045"/>
      <c r="V4" s="1045"/>
    </row>
    <row r="5" spans="1:25">
      <c r="A5" s="1"/>
      <c r="B5" s="1046" t="s">
        <v>55</v>
      </c>
      <c r="C5" s="1046"/>
      <c r="D5" s="1046"/>
      <c r="E5" s="1046"/>
      <c r="F5" s="1046"/>
      <c r="G5" s="1046"/>
      <c r="H5" s="1046"/>
      <c r="I5" s="1046"/>
      <c r="J5" s="1046"/>
      <c r="K5" s="1046"/>
      <c r="L5" s="1046"/>
      <c r="M5" s="1046"/>
      <c r="N5" s="1046"/>
      <c r="O5" s="1046"/>
      <c r="P5" s="1046"/>
      <c r="Q5" s="1046"/>
      <c r="R5" s="1046"/>
      <c r="S5" s="1046"/>
      <c r="T5" s="1046"/>
      <c r="U5" s="1046"/>
      <c r="V5" s="1046"/>
    </row>
    <row r="6" spans="1:25">
      <c r="A6" s="1"/>
      <c r="B6" s="1042" t="s">
        <v>0</v>
      </c>
      <c r="C6" s="1042"/>
      <c r="D6" s="1042"/>
      <c r="E6" s="1042"/>
      <c r="F6" s="1042"/>
      <c r="G6" s="1042"/>
      <c r="H6" s="1042"/>
      <c r="I6" s="1042"/>
      <c r="J6" s="1042"/>
      <c r="K6" s="1042"/>
      <c r="L6" s="1042"/>
      <c r="M6" s="1042"/>
      <c r="N6" s="1042"/>
      <c r="O6" s="1042"/>
      <c r="P6" s="1042"/>
      <c r="Q6" s="1042"/>
      <c r="R6" s="1042"/>
      <c r="S6" s="1042"/>
      <c r="T6" s="1042"/>
      <c r="U6" s="1042"/>
      <c r="V6" s="1042"/>
    </row>
    <row r="7" spans="1:25">
      <c r="A7" s="1"/>
      <c r="B7" s="1046" t="s">
        <v>851</v>
      </c>
      <c r="C7" s="1046"/>
      <c r="D7" s="1046"/>
      <c r="E7" s="1046"/>
      <c r="F7" s="1046"/>
      <c r="G7" s="1046"/>
      <c r="H7" s="1046"/>
      <c r="I7" s="1046"/>
      <c r="J7" s="1046"/>
      <c r="K7" s="1046"/>
      <c r="L7" s="1046"/>
      <c r="M7" s="1046"/>
      <c r="N7" s="1046"/>
      <c r="O7" s="1046"/>
      <c r="P7" s="1046"/>
      <c r="Q7" s="1046"/>
      <c r="R7" s="1046"/>
      <c r="S7" s="1046"/>
      <c r="T7" s="1046"/>
      <c r="U7" s="1046"/>
      <c r="V7" s="1046"/>
    </row>
    <row r="8" spans="1:25" ht="24.6" customHeight="1">
      <c r="A8" s="677" t="s">
        <v>1</v>
      </c>
      <c r="B8" s="1047" t="s">
        <v>2</v>
      </c>
      <c r="C8" s="1048" t="s">
        <v>3</v>
      </c>
      <c r="D8" s="1048" t="s">
        <v>4</v>
      </c>
      <c r="E8" s="1049" t="s">
        <v>707</v>
      </c>
      <c r="F8" s="1047" t="s">
        <v>5</v>
      </c>
      <c r="G8" s="945" t="s">
        <v>6</v>
      </c>
      <c r="H8" s="1051"/>
      <c r="I8" s="946"/>
      <c r="J8" s="1047" t="s">
        <v>7</v>
      </c>
      <c r="K8" s="1047"/>
      <c r="L8" s="1047"/>
      <c r="M8" s="1047"/>
      <c r="N8" s="1047"/>
      <c r="O8" s="1047" t="s">
        <v>8</v>
      </c>
      <c r="P8" s="1047"/>
      <c r="Q8" s="1047"/>
      <c r="R8" s="1047" t="s">
        <v>604</v>
      </c>
      <c r="S8" s="1047" t="s">
        <v>938</v>
      </c>
      <c r="T8" s="1047" t="s">
        <v>937</v>
      </c>
      <c r="U8" s="1052" t="s">
        <v>9</v>
      </c>
      <c r="V8" s="1052" t="s">
        <v>708</v>
      </c>
    </row>
    <row r="9" spans="1:25" ht="140.25">
      <c r="A9" s="678"/>
      <c r="B9" s="1047"/>
      <c r="C9" s="1048"/>
      <c r="D9" s="1048"/>
      <c r="E9" s="1050"/>
      <c r="F9" s="1047"/>
      <c r="G9" s="945" t="s">
        <v>10</v>
      </c>
      <c r="H9" s="946"/>
      <c r="I9" s="496" t="s">
        <v>11</v>
      </c>
      <c r="J9" s="1047" t="s">
        <v>12</v>
      </c>
      <c r="K9" s="1047"/>
      <c r="L9" s="370" t="s">
        <v>13</v>
      </c>
      <c r="M9" s="1047" t="s">
        <v>14</v>
      </c>
      <c r="N9" s="1047"/>
      <c r="O9" s="370" t="s">
        <v>15</v>
      </c>
      <c r="P9" s="370" t="s">
        <v>16</v>
      </c>
      <c r="Q9" s="370" t="s">
        <v>17</v>
      </c>
      <c r="R9" s="1047"/>
      <c r="S9" s="1047"/>
      <c r="T9" s="1047"/>
      <c r="U9" s="1052"/>
      <c r="V9" s="1052"/>
    </row>
    <row r="10" spans="1:25" ht="31.15" customHeight="1">
      <c r="A10" s="679"/>
      <c r="B10" s="1047"/>
      <c r="C10" s="1048"/>
      <c r="D10" s="1048"/>
      <c r="E10" s="370" t="s">
        <v>18</v>
      </c>
      <c r="F10" s="370" t="s">
        <v>19</v>
      </c>
      <c r="G10" s="370" t="s">
        <v>20</v>
      </c>
      <c r="H10" s="370" t="s">
        <v>19</v>
      </c>
      <c r="I10" s="370" t="s">
        <v>19</v>
      </c>
      <c r="J10" s="370" t="s">
        <v>20</v>
      </c>
      <c r="K10" s="370" t="s">
        <v>19</v>
      </c>
      <c r="L10" s="370" t="s">
        <v>19</v>
      </c>
      <c r="M10" s="370" t="s">
        <v>20</v>
      </c>
      <c r="N10" s="370" t="s">
        <v>19</v>
      </c>
      <c r="O10" s="370" t="s">
        <v>19</v>
      </c>
      <c r="P10" s="370" t="s">
        <v>19</v>
      </c>
      <c r="Q10" s="370" t="s">
        <v>19</v>
      </c>
      <c r="R10" s="370" t="s">
        <v>19</v>
      </c>
      <c r="S10" s="370"/>
      <c r="T10" s="370" t="s">
        <v>19</v>
      </c>
      <c r="U10" s="495" t="s">
        <v>19</v>
      </c>
      <c r="V10" s="495" t="s">
        <v>19</v>
      </c>
    </row>
    <row r="11" spans="1:25">
      <c r="A11" s="208">
        <v>1</v>
      </c>
      <c r="B11" s="208">
        <v>2</v>
      </c>
      <c r="C11" s="208">
        <v>3</v>
      </c>
      <c r="D11" s="208">
        <v>4</v>
      </c>
      <c r="E11" s="208">
        <v>5</v>
      </c>
      <c r="F11" s="208">
        <v>6</v>
      </c>
      <c r="G11" s="208">
        <v>7</v>
      </c>
      <c r="H11" s="208">
        <v>8</v>
      </c>
      <c r="I11" s="208">
        <v>9</v>
      </c>
      <c r="J11" s="208">
        <v>10</v>
      </c>
      <c r="K11" s="208">
        <v>11</v>
      </c>
      <c r="L11" s="208">
        <v>12</v>
      </c>
      <c r="M11" s="208">
        <v>13</v>
      </c>
      <c r="N11" s="208">
        <v>14</v>
      </c>
      <c r="O11" s="208">
        <v>15</v>
      </c>
      <c r="P11" s="208">
        <v>16</v>
      </c>
      <c r="Q11" s="739">
        <v>17</v>
      </c>
      <c r="R11" s="208">
        <v>18</v>
      </c>
      <c r="S11" s="208">
        <v>19</v>
      </c>
      <c r="T11" s="208">
        <v>20</v>
      </c>
      <c r="U11" s="637">
        <v>21</v>
      </c>
      <c r="V11" s="637">
        <v>22</v>
      </c>
    </row>
    <row r="12" spans="1:25" ht="14.45" customHeight="1">
      <c r="A12" s="1054" t="s">
        <v>21</v>
      </c>
      <c r="B12" s="1054"/>
      <c r="C12" s="1054"/>
      <c r="D12" s="1054"/>
      <c r="E12" s="1054"/>
      <c r="F12" s="1054"/>
      <c r="G12" s="1054"/>
      <c r="H12" s="1054"/>
      <c r="I12" s="1054"/>
      <c r="J12" s="1054"/>
      <c r="K12" s="1054"/>
      <c r="L12" s="1054"/>
      <c r="M12" s="1054"/>
      <c r="N12" s="1054"/>
      <c r="O12" s="1054"/>
      <c r="P12" s="1054"/>
      <c r="Q12" s="1054"/>
      <c r="R12" s="1054"/>
      <c r="S12" s="1054"/>
      <c r="T12" s="1054"/>
      <c r="U12" s="1054"/>
      <c r="V12" s="1054"/>
      <c r="W12" s="127"/>
      <c r="X12" s="127"/>
      <c r="Y12" s="127"/>
    </row>
    <row r="13" spans="1:25" ht="12" customHeight="1">
      <c r="A13" s="380">
        <v>1</v>
      </c>
      <c r="B13" s="638" t="s">
        <v>852</v>
      </c>
      <c r="C13" s="208">
        <v>1</v>
      </c>
      <c r="D13" s="208">
        <v>18</v>
      </c>
      <c r="E13" s="208">
        <v>10256</v>
      </c>
      <c r="F13" s="208">
        <f t="shared" ref="F13:F22" si="0">E13*C13</f>
        <v>10256</v>
      </c>
      <c r="G13" s="208"/>
      <c r="H13" s="208"/>
      <c r="I13" s="208"/>
      <c r="J13" s="639">
        <v>0.1</v>
      </c>
      <c r="K13" s="640">
        <f>F13*J13</f>
        <v>1025.6000000000001</v>
      </c>
      <c r="L13" s="640"/>
      <c r="M13" s="639">
        <v>0.5</v>
      </c>
      <c r="N13" s="640">
        <f t="shared" ref="N13:N33" si="1">(F13+H13+I13)*M13</f>
        <v>5128</v>
      </c>
      <c r="O13" s="641"/>
      <c r="P13" s="641"/>
      <c r="Q13" s="641"/>
      <c r="R13" s="641">
        <f t="shared" ref="R13:R22" si="2">F13</f>
        <v>10256</v>
      </c>
      <c r="S13" s="641">
        <f t="shared" ref="S13:S33" si="3">F13</f>
        <v>10256</v>
      </c>
      <c r="T13" s="713">
        <f>E13*150%</f>
        <v>15384</v>
      </c>
      <c r="U13" s="641">
        <f t="shared" ref="U13:U33" si="4">F13+H13+I13+K13+L13+N13+O13+P13+Q13+T13</f>
        <v>31793.599999999999</v>
      </c>
      <c r="V13" s="495">
        <f>(U13*12)+R13+S13</f>
        <v>402035.19999999995</v>
      </c>
      <c r="W13" s="127"/>
      <c r="X13" s="127"/>
      <c r="Y13" s="127"/>
    </row>
    <row r="14" spans="1:25" ht="12" customHeight="1">
      <c r="A14" s="380">
        <v>2</v>
      </c>
      <c r="B14" s="638" t="s">
        <v>22</v>
      </c>
      <c r="C14" s="208">
        <v>1</v>
      </c>
      <c r="D14" s="643">
        <v>-0.05</v>
      </c>
      <c r="E14" s="644">
        <f>E13-(E13*5%)</f>
        <v>9743.2000000000007</v>
      </c>
      <c r="F14" s="644">
        <f t="shared" si="0"/>
        <v>9743.2000000000007</v>
      </c>
      <c r="G14" s="644"/>
      <c r="H14" s="208"/>
      <c r="I14" s="208"/>
      <c r="J14" s="639">
        <v>0.2</v>
      </c>
      <c r="K14" s="640">
        <f>F14*J14</f>
        <v>1948.6400000000003</v>
      </c>
      <c r="L14" s="640"/>
      <c r="M14" s="643">
        <v>0.5</v>
      </c>
      <c r="N14" s="640">
        <f t="shared" si="1"/>
        <v>4871.6000000000004</v>
      </c>
      <c r="O14" s="641"/>
      <c r="P14" s="641"/>
      <c r="Q14" s="641"/>
      <c r="R14" s="641">
        <f t="shared" si="2"/>
        <v>9743.2000000000007</v>
      </c>
      <c r="S14" s="641">
        <f t="shared" si="3"/>
        <v>9743.2000000000007</v>
      </c>
      <c r="T14" s="713">
        <f>F14*62.745751%</f>
        <v>6113.4440114319996</v>
      </c>
      <c r="U14" s="641">
        <f t="shared" si="4"/>
        <v>22676.884011432001</v>
      </c>
      <c r="V14" s="495">
        <f t="shared" ref="V14:V33" si="5">(U14*12)+R14+S14</f>
        <v>291609.00813718402</v>
      </c>
      <c r="X14" s="127"/>
      <c r="Y14" s="127"/>
    </row>
    <row r="15" spans="1:25" ht="13.9" customHeight="1">
      <c r="A15" s="380">
        <v>3</v>
      </c>
      <c r="B15" s="638" t="s">
        <v>22</v>
      </c>
      <c r="C15" s="208">
        <v>1</v>
      </c>
      <c r="D15" s="643">
        <v>-0.05</v>
      </c>
      <c r="E15" s="644">
        <f>E13-(E13*5%)</f>
        <v>9743.2000000000007</v>
      </c>
      <c r="F15" s="644">
        <f t="shared" si="0"/>
        <v>9743.2000000000007</v>
      </c>
      <c r="G15" s="644"/>
      <c r="H15" s="208"/>
      <c r="I15" s="208"/>
      <c r="J15" s="639">
        <v>0.2</v>
      </c>
      <c r="K15" s="640">
        <f>F15*J15</f>
        <v>1948.6400000000003</v>
      </c>
      <c r="L15" s="640"/>
      <c r="M15" s="643">
        <v>0.5</v>
      </c>
      <c r="N15" s="640">
        <f t="shared" si="1"/>
        <v>4871.6000000000004</v>
      </c>
      <c r="O15" s="641"/>
      <c r="P15" s="641"/>
      <c r="Q15" s="641"/>
      <c r="R15" s="641">
        <f t="shared" si="2"/>
        <v>9743.2000000000007</v>
      </c>
      <c r="S15" s="641">
        <f t="shared" si="3"/>
        <v>9743.2000000000007</v>
      </c>
      <c r="T15" s="713">
        <f t="shared" ref="T15:T33" si="6">F15*62.745751%</f>
        <v>6113.4440114319996</v>
      </c>
      <c r="U15" s="641">
        <f t="shared" si="4"/>
        <v>22676.884011432001</v>
      </c>
      <c r="V15" s="495">
        <f t="shared" si="5"/>
        <v>291609.00813718402</v>
      </c>
      <c r="X15" s="127"/>
      <c r="Y15" s="127"/>
    </row>
    <row r="16" spans="1:25" ht="12.6" customHeight="1">
      <c r="A16" s="380">
        <v>4</v>
      </c>
      <c r="B16" s="638" t="s">
        <v>23</v>
      </c>
      <c r="C16" s="208">
        <v>1</v>
      </c>
      <c r="D16" s="643">
        <v>-0.15</v>
      </c>
      <c r="E16" s="644">
        <f>E13-(E13*15%)</f>
        <v>8717.6</v>
      </c>
      <c r="F16" s="644">
        <f t="shared" si="0"/>
        <v>8717.6</v>
      </c>
      <c r="G16" s="644"/>
      <c r="H16" s="208"/>
      <c r="I16" s="208"/>
      <c r="J16" s="208"/>
      <c r="K16" s="208"/>
      <c r="L16" s="640"/>
      <c r="M16" s="643">
        <v>0.5</v>
      </c>
      <c r="N16" s="640">
        <f t="shared" si="1"/>
        <v>4358.8</v>
      </c>
      <c r="O16" s="641"/>
      <c r="P16" s="641"/>
      <c r="Q16" s="641"/>
      <c r="R16" s="641">
        <f t="shared" si="2"/>
        <v>8717.6</v>
      </c>
      <c r="S16" s="641">
        <f t="shared" si="3"/>
        <v>8717.6</v>
      </c>
      <c r="T16" s="713">
        <f t="shared" si="6"/>
        <v>5469.923589176</v>
      </c>
      <c r="U16" s="641">
        <f t="shared" si="4"/>
        <v>18546.323589176001</v>
      </c>
      <c r="V16" s="495">
        <f t="shared" si="5"/>
        <v>239991.08307011204</v>
      </c>
      <c r="W16" s="127">
        <f>V13+V14+V15+V16+V17+V18+V19+V20+V21+V22+V23+V24+V25+V26+V27+V28+V29+V36+V37+V44+V45+V46+V47+V48+V56+V57+V58+V59+V60+V61+V70+V71+V72+V73+V74</f>
        <v>6668635.3187775007</v>
      </c>
      <c r="X16" s="127"/>
      <c r="Y16" s="127"/>
    </row>
    <row r="17" spans="1:25" ht="12" customHeight="1">
      <c r="A17" s="380">
        <v>5</v>
      </c>
      <c r="B17" s="638" t="s">
        <v>853</v>
      </c>
      <c r="C17" s="208">
        <v>1</v>
      </c>
      <c r="D17" s="208">
        <v>10</v>
      </c>
      <c r="E17" s="208">
        <v>5815</v>
      </c>
      <c r="F17" s="208">
        <f t="shared" si="0"/>
        <v>5815</v>
      </c>
      <c r="G17" s="208"/>
      <c r="H17" s="208"/>
      <c r="I17" s="208"/>
      <c r="J17" s="208"/>
      <c r="K17" s="208"/>
      <c r="L17" s="640"/>
      <c r="M17" s="643">
        <v>0.5</v>
      </c>
      <c r="N17" s="640">
        <f t="shared" si="1"/>
        <v>2907.5</v>
      </c>
      <c r="O17" s="641"/>
      <c r="P17" s="641"/>
      <c r="Q17" s="641"/>
      <c r="R17" s="641">
        <f t="shared" si="2"/>
        <v>5815</v>
      </c>
      <c r="S17" s="641">
        <f t="shared" si="3"/>
        <v>5815</v>
      </c>
      <c r="T17" s="713">
        <f t="shared" si="6"/>
        <v>3648.6654206499998</v>
      </c>
      <c r="U17" s="641">
        <f t="shared" si="4"/>
        <v>12371.165420649999</v>
      </c>
      <c r="V17" s="495">
        <f t="shared" si="5"/>
        <v>160083.9850478</v>
      </c>
      <c r="X17" s="127"/>
      <c r="Y17" s="127"/>
    </row>
    <row r="18" spans="1:25" ht="12.6" customHeight="1">
      <c r="A18" s="380">
        <v>6</v>
      </c>
      <c r="B18" s="638" t="s">
        <v>24</v>
      </c>
      <c r="C18" s="208">
        <v>1</v>
      </c>
      <c r="D18" s="208">
        <v>9</v>
      </c>
      <c r="E18" s="208">
        <v>5527</v>
      </c>
      <c r="F18" s="208">
        <f t="shared" si="0"/>
        <v>5527</v>
      </c>
      <c r="G18" s="208"/>
      <c r="H18" s="208"/>
      <c r="I18" s="208"/>
      <c r="J18" s="208"/>
      <c r="K18" s="208"/>
      <c r="L18" s="640"/>
      <c r="M18" s="643">
        <v>0.5</v>
      </c>
      <c r="N18" s="640">
        <f t="shared" si="1"/>
        <v>2763.5</v>
      </c>
      <c r="O18" s="641"/>
      <c r="P18" s="641"/>
      <c r="Q18" s="641"/>
      <c r="R18" s="641">
        <f t="shared" si="2"/>
        <v>5527</v>
      </c>
      <c r="S18" s="641">
        <f t="shared" si="3"/>
        <v>5527</v>
      </c>
      <c r="T18" s="713">
        <f t="shared" si="6"/>
        <v>3467.9576577699995</v>
      </c>
      <c r="U18" s="641">
        <f t="shared" si="4"/>
        <v>11758.457657769999</v>
      </c>
      <c r="V18" s="495">
        <f t="shared" si="5"/>
        <v>152155.49189323999</v>
      </c>
      <c r="X18" s="127"/>
      <c r="Y18" s="127"/>
    </row>
    <row r="19" spans="1:25">
      <c r="A19" s="380">
        <v>7</v>
      </c>
      <c r="B19" s="645" t="s">
        <v>603</v>
      </c>
      <c r="C19" s="646">
        <v>1</v>
      </c>
      <c r="D19" s="646">
        <v>9</v>
      </c>
      <c r="E19" s="208">
        <v>5527</v>
      </c>
      <c r="F19" s="208">
        <f t="shared" si="0"/>
        <v>5527</v>
      </c>
      <c r="G19" s="208"/>
      <c r="H19" s="646"/>
      <c r="I19" s="646"/>
      <c r="J19" s="646"/>
      <c r="K19" s="646"/>
      <c r="L19" s="646"/>
      <c r="M19" s="643">
        <v>0.5</v>
      </c>
      <c r="N19" s="640">
        <f t="shared" si="1"/>
        <v>2763.5</v>
      </c>
      <c r="O19" s="646"/>
      <c r="P19" s="646"/>
      <c r="Q19" s="646"/>
      <c r="R19" s="641">
        <f t="shared" si="2"/>
        <v>5527</v>
      </c>
      <c r="S19" s="641">
        <f t="shared" si="3"/>
        <v>5527</v>
      </c>
      <c r="T19" s="713">
        <f t="shared" si="6"/>
        <v>3467.9576577699995</v>
      </c>
      <c r="U19" s="641">
        <f t="shared" si="4"/>
        <v>11758.457657769999</v>
      </c>
      <c r="V19" s="495">
        <f t="shared" si="5"/>
        <v>152155.49189323999</v>
      </c>
      <c r="X19" s="127"/>
      <c r="Y19" s="127"/>
    </row>
    <row r="20" spans="1:25" ht="15" customHeight="1">
      <c r="A20" s="380">
        <v>8</v>
      </c>
      <c r="B20" s="638" t="s">
        <v>854</v>
      </c>
      <c r="C20" s="208">
        <v>1</v>
      </c>
      <c r="D20" s="208">
        <v>11</v>
      </c>
      <c r="E20" s="208">
        <v>6294</v>
      </c>
      <c r="F20" s="208">
        <f t="shared" si="0"/>
        <v>6294</v>
      </c>
      <c r="G20" s="208"/>
      <c r="H20" s="208"/>
      <c r="I20" s="208"/>
      <c r="J20" s="208"/>
      <c r="K20" s="208"/>
      <c r="L20" s="640"/>
      <c r="M20" s="643">
        <v>0.5</v>
      </c>
      <c r="N20" s="640">
        <f t="shared" si="1"/>
        <v>3147</v>
      </c>
      <c r="O20" s="641"/>
      <c r="P20" s="641"/>
      <c r="Q20" s="641"/>
      <c r="R20" s="641">
        <f t="shared" si="2"/>
        <v>6294</v>
      </c>
      <c r="S20" s="641">
        <f t="shared" si="3"/>
        <v>6294</v>
      </c>
      <c r="T20" s="713">
        <f t="shared" si="6"/>
        <v>3949.2175679399998</v>
      </c>
      <c r="U20" s="641">
        <f t="shared" si="4"/>
        <v>13390.217567939999</v>
      </c>
      <c r="V20" s="495">
        <f t="shared" si="5"/>
        <v>173270.61081528</v>
      </c>
      <c r="X20" s="127"/>
      <c r="Y20" s="127"/>
    </row>
    <row r="21" spans="1:25" ht="12.6" customHeight="1">
      <c r="A21" s="380">
        <v>9</v>
      </c>
      <c r="B21" s="638" t="s">
        <v>855</v>
      </c>
      <c r="C21" s="208">
        <v>1</v>
      </c>
      <c r="D21" s="208">
        <v>10</v>
      </c>
      <c r="E21" s="208">
        <v>5815</v>
      </c>
      <c r="F21" s="208">
        <f t="shared" si="0"/>
        <v>5815</v>
      </c>
      <c r="G21" s="208"/>
      <c r="H21" s="208"/>
      <c r="I21" s="208"/>
      <c r="J21" s="208"/>
      <c r="K21" s="208"/>
      <c r="L21" s="640"/>
      <c r="M21" s="643">
        <v>0.5</v>
      </c>
      <c r="N21" s="640">
        <f t="shared" si="1"/>
        <v>2907.5</v>
      </c>
      <c r="O21" s="641"/>
      <c r="P21" s="641"/>
      <c r="Q21" s="641"/>
      <c r="R21" s="641">
        <f t="shared" si="2"/>
        <v>5815</v>
      </c>
      <c r="S21" s="641">
        <f t="shared" si="3"/>
        <v>5815</v>
      </c>
      <c r="T21" s="713">
        <f t="shared" si="6"/>
        <v>3648.6654206499998</v>
      </c>
      <c r="U21" s="641">
        <f t="shared" si="4"/>
        <v>12371.165420649999</v>
      </c>
      <c r="V21" s="495">
        <f t="shared" si="5"/>
        <v>160083.9850478</v>
      </c>
      <c r="X21" s="127"/>
      <c r="Y21" s="127"/>
    </row>
    <row r="22" spans="1:25">
      <c r="A22" s="380">
        <v>10</v>
      </c>
      <c r="B22" s="638" t="s">
        <v>602</v>
      </c>
      <c r="C22" s="208">
        <v>1</v>
      </c>
      <c r="D22" s="208">
        <v>7</v>
      </c>
      <c r="E22" s="208">
        <v>4920</v>
      </c>
      <c r="F22" s="208">
        <f t="shared" si="0"/>
        <v>4920</v>
      </c>
      <c r="G22" s="208"/>
      <c r="H22" s="208"/>
      <c r="I22" s="208"/>
      <c r="J22" s="208"/>
      <c r="K22" s="208"/>
      <c r="L22" s="640"/>
      <c r="M22" s="643">
        <v>0.5</v>
      </c>
      <c r="N22" s="640">
        <f t="shared" si="1"/>
        <v>2460</v>
      </c>
      <c r="O22" s="641"/>
      <c r="P22" s="641"/>
      <c r="Q22" s="740">
        <f>8000-(N22+F22)</f>
        <v>620</v>
      </c>
      <c r="R22" s="641">
        <f t="shared" si="2"/>
        <v>4920</v>
      </c>
      <c r="S22" s="641">
        <f t="shared" si="3"/>
        <v>4920</v>
      </c>
      <c r="T22" s="713">
        <f t="shared" si="6"/>
        <v>3087.0909491999996</v>
      </c>
      <c r="U22" s="641">
        <f t="shared" si="4"/>
        <v>11087.090949199999</v>
      </c>
      <c r="V22" s="495">
        <f t="shared" si="5"/>
        <v>142885.09139039999</v>
      </c>
      <c r="X22" s="127"/>
      <c r="Y22" s="127"/>
    </row>
    <row r="23" spans="1:25" ht="12" customHeight="1">
      <c r="A23" s="380">
        <v>11</v>
      </c>
      <c r="B23" s="647" t="s">
        <v>25</v>
      </c>
      <c r="C23" s="648">
        <v>1</v>
      </c>
      <c r="D23" s="648">
        <v>11</v>
      </c>
      <c r="E23" s="208">
        <v>6294</v>
      </c>
      <c r="F23" s="208">
        <v>6294</v>
      </c>
      <c r="G23" s="643">
        <v>0.15</v>
      </c>
      <c r="H23" s="649">
        <f>F23*G23</f>
        <v>944.09999999999991</v>
      </c>
      <c r="I23" s="208"/>
      <c r="J23" s="643">
        <v>0.1</v>
      </c>
      <c r="K23" s="640">
        <f t="shared" ref="K23:K33" si="7">(F23+H23)*J23</f>
        <v>723.81000000000006</v>
      </c>
      <c r="L23" s="640"/>
      <c r="M23" s="643">
        <v>0.5</v>
      </c>
      <c r="N23" s="640">
        <f t="shared" si="1"/>
        <v>3619.05</v>
      </c>
      <c r="O23" s="641"/>
      <c r="P23" s="641"/>
      <c r="Q23" s="740"/>
      <c r="R23" s="641">
        <f t="shared" ref="R23:R33" si="8">F23+H23+I23</f>
        <v>7238.1</v>
      </c>
      <c r="S23" s="641">
        <f t="shared" si="3"/>
        <v>6294</v>
      </c>
      <c r="T23" s="713">
        <f t="shared" si="6"/>
        <v>3949.2175679399998</v>
      </c>
      <c r="U23" s="641">
        <f t="shared" si="4"/>
        <v>15530.177567940002</v>
      </c>
      <c r="V23" s="495">
        <f t="shared" si="5"/>
        <v>199894.23081528003</v>
      </c>
      <c r="X23" s="127"/>
      <c r="Y23" s="127"/>
    </row>
    <row r="24" spans="1:25">
      <c r="A24" s="380">
        <v>12</v>
      </c>
      <c r="B24" s="647" t="s">
        <v>856</v>
      </c>
      <c r="C24" s="648">
        <v>1</v>
      </c>
      <c r="D24" s="648">
        <v>10</v>
      </c>
      <c r="E24" s="208">
        <v>5815</v>
      </c>
      <c r="F24" s="208">
        <f t="shared" ref="F24:F33" si="9">E24*C24</f>
        <v>5815</v>
      </c>
      <c r="G24" s="643">
        <v>0.15</v>
      </c>
      <c r="H24" s="649">
        <f>F24*G24</f>
        <v>872.25</v>
      </c>
      <c r="I24" s="208"/>
      <c r="J24" s="639">
        <v>0.3</v>
      </c>
      <c r="K24" s="640">
        <f t="shared" si="7"/>
        <v>2006.175</v>
      </c>
      <c r="L24" s="640"/>
      <c r="M24" s="643">
        <v>0.5</v>
      </c>
      <c r="N24" s="640">
        <f t="shared" si="1"/>
        <v>3343.625</v>
      </c>
      <c r="O24" s="641"/>
      <c r="P24" s="641"/>
      <c r="Q24" s="740"/>
      <c r="R24" s="641">
        <f t="shared" si="8"/>
        <v>6687.25</v>
      </c>
      <c r="S24" s="641">
        <f t="shared" si="3"/>
        <v>5815</v>
      </c>
      <c r="T24" s="713">
        <f t="shared" si="6"/>
        <v>3648.6654206499998</v>
      </c>
      <c r="U24" s="641">
        <f t="shared" si="4"/>
        <v>15685.715420649998</v>
      </c>
      <c r="V24" s="495">
        <f t="shared" si="5"/>
        <v>200730.83504779998</v>
      </c>
      <c r="X24" s="127"/>
      <c r="Y24" s="127"/>
    </row>
    <row r="25" spans="1:25" ht="15" customHeight="1">
      <c r="A25" s="380">
        <v>13</v>
      </c>
      <c r="B25" s="647" t="s">
        <v>45</v>
      </c>
      <c r="C25" s="648">
        <v>1</v>
      </c>
      <c r="D25" s="648">
        <v>8</v>
      </c>
      <c r="E25" s="208">
        <v>5240</v>
      </c>
      <c r="F25" s="208">
        <f t="shared" si="9"/>
        <v>5240</v>
      </c>
      <c r="G25" s="643">
        <v>0.15</v>
      </c>
      <c r="H25" s="649">
        <f>F25*G25</f>
        <v>786</v>
      </c>
      <c r="I25" s="208"/>
      <c r="J25" s="639">
        <v>0.1</v>
      </c>
      <c r="K25" s="640">
        <f t="shared" si="7"/>
        <v>602.6</v>
      </c>
      <c r="L25" s="640"/>
      <c r="M25" s="643">
        <v>0.5</v>
      </c>
      <c r="N25" s="640">
        <f t="shared" si="1"/>
        <v>3013</v>
      </c>
      <c r="O25" s="641"/>
      <c r="P25" s="641"/>
      <c r="Q25" s="740"/>
      <c r="R25" s="641">
        <f t="shared" si="8"/>
        <v>6026</v>
      </c>
      <c r="S25" s="641">
        <f t="shared" si="3"/>
        <v>5240</v>
      </c>
      <c r="T25" s="713">
        <f t="shared" si="6"/>
        <v>3287.8773523999998</v>
      </c>
      <c r="U25" s="641">
        <f t="shared" si="4"/>
        <v>12929.477352400001</v>
      </c>
      <c r="V25" s="495">
        <f t="shared" si="5"/>
        <v>166419.7282288</v>
      </c>
      <c r="X25" s="127"/>
      <c r="Y25" s="127"/>
    </row>
    <row r="26" spans="1:25" ht="14.45" customHeight="1">
      <c r="A26" s="380">
        <v>14</v>
      </c>
      <c r="B26" s="647" t="s">
        <v>45</v>
      </c>
      <c r="C26" s="648">
        <v>0.5</v>
      </c>
      <c r="D26" s="648">
        <v>8</v>
      </c>
      <c r="E26" s="208">
        <v>5240</v>
      </c>
      <c r="F26" s="208">
        <f t="shared" si="9"/>
        <v>2620</v>
      </c>
      <c r="G26" s="643">
        <v>0.15</v>
      </c>
      <c r="H26" s="649">
        <f>F26*G26</f>
        <v>393</v>
      </c>
      <c r="I26" s="208"/>
      <c r="J26" s="639">
        <v>0.2</v>
      </c>
      <c r="K26" s="640">
        <f t="shared" si="7"/>
        <v>602.6</v>
      </c>
      <c r="L26" s="640"/>
      <c r="M26" s="643">
        <v>0.5</v>
      </c>
      <c r="N26" s="640">
        <f t="shared" si="1"/>
        <v>1506.5</v>
      </c>
      <c r="O26" s="641"/>
      <c r="P26" s="641"/>
      <c r="Q26" s="740"/>
      <c r="R26" s="641">
        <f t="shared" si="8"/>
        <v>3013</v>
      </c>
      <c r="S26" s="641">
        <f t="shared" si="3"/>
        <v>2620</v>
      </c>
      <c r="T26" s="713">
        <f t="shared" si="6"/>
        <v>1643.9386761999999</v>
      </c>
      <c r="U26" s="641">
        <f t="shared" si="4"/>
        <v>6766.0386761999998</v>
      </c>
      <c r="V26" s="495">
        <f t="shared" si="5"/>
        <v>86825.464114400005</v>
      </c>
      <c r="X26" s="127"/>
      <c r="Y26" s="127"/>
    </row>
    <row r="27" spans="1:25" ht="12.6" customHeight="1">
      <c r="A27" s="380">
        <v>15</v>
      </c>
      <c r="B27" s="638" t="s">
        <v>26</v>
      </c>
      <c r="C27" s="208">
        <v>1</v>
      </c>
      <c r="D27" s="208">
        <v>15</v>
      </c>
      <c r="E27" s="208">
        <v>8243</v>
      </c>
      <c r="F27" s="208">
        <f t="shared" si="9"/>
        <v>8243</v>
      </c>
      <c r="G27" s="643"/>
      <c r="H27" s="649"/>
      <c r="I27" s="208"/>
      <c r="J27" s="639"/>
      <c r="K27" s="640">
        <f t="shared" si="7"/>
        <v>0</v>
      </c>
      <c r="L27" s="640"/>
      <c r="M27" s="643">
        <v>0.5</v>
      </c>
      <c r="N27" s="640">
        <f t="shared" si="1"/>
        <v>4121.5</v>
      </c>
      <c r="O27" s="641"/>
      <c r="P27" s="641"/>
      <c r="Q27" s="740"/>
      <c r="R27" s="641">
        <f t="shared" si="8"/>
        <v>8243</v>
      </c>
      <c r="S27" s="641">
        <f t="shared" si="3"/>
        <v>8243</v>
      </c>
      <c r="T27" s="713">
        <f t="shared" si="6"/>
        <v>5172.1322549299994</v>
      </c>
      <c r="U27" s="641">
        <f t="shared" si="4"/>
        <v>17536.632254929998</v>
      </c>
      <c r="V27" s="495">
        <f t="shared" si="5"/>
        <v>226925.58705916</v>
      </c>
      <c r="X27" s="127"/>
      <c r="Y27" s="127"/>
    </row>
    <row r="28" spans="1:25" ht="13.15" customHeight="1">
      <c r="A28" s="380">
        <v>16</v>
      </c>
      <c r="B28" s="645" t="s">
        <v>54</v>
      </c>
      <c r="C28" s="650">
        <v>1</v>
      </c>
      <c r="D28" s="646">
        <v>9</v>
      </c>
      <c r="E28" s="646">
        <v>5527</v>
      </c>
      <c r="F28" s="646">
        <f t="shared" si="9"/>
        <v>5527</v>
      </c>
      <c r="G28" s="643"/>
      <c r="H28" s="649"/>
      <c r="I28" s="646"/>
      <c r="J28" s="639">
        <v>0.1</v>
      </c>
      <c r="K28" s="640">
        <f t="shared" si="7"/>
        <v>552.70000000000005</v>
      </c>
      <c r="L28" s="646"/>
      <c r="M28" s="643">
        <v>0.5</v>
      </c>
      <c r="N28" s="640">
        <f t="shared" si="1"/>
        <v>2763.5</v>
      </c>
      <c r="O28" s="646"/>
      <c r="P28" s="646"/>
      <c r="Q28" s="740"/>
      <c r="R28" s="641">
        <f t="shared" si="8"/>
        <v>5527</v>
      </c>
      <c r="S28" s="641">
        <f t="shared" si="3"/>
        <v>5527</v>
      </c>
      <c r="T28" s="713">
        <f t="shared" si="6"/>
        <v>3467.9576577699995</v>
      </c>
      <c r="U28" s="641">
        <f t="shared" si="4"/>
        <v>12311.15765777</v>
      </c>
      <c r="V28" s="495">
        <f t="shared" si="5"/>
        <v>158787.89189323998</v>
      </c>
      <c r="X28" s="127"/>
      <c r="Y28" s="127"/>
    </row>
    <row r="29" spans="1:25">
      <c r="A29" s="380">
        <v>17</v>
      </c>
      <c r="B29" s="647" t="s">
        <v>52</v>
      </c>
      <c r="C29" s="648">
        <v>1</v>
      </c>
      <c r="D29" s="648">
        <v>7</v>
      </c>
      <c r="E29" s="648">
        <v>4920</v>
      </c>
      <c r="F29" s="648">
        <f t="shared" si="9"/>
        <v>4920</v>
      </c>
      <c r="G29" s="643"/>
      <c r="H29" s="649"/>
      <c r="I29" s="648"/>
      <c r="J29" s="648"/>
      <c r="K29" s="640">
        <f t="shared" si="7"/>
        <v>0</v>
      </c>
      <c r="L29" s="642"/>
      <c r="M29" s="651">
        <v>0.5</v>
      </c>
      <c r="N29" s="640">
        <f t="shared" si="1"/>
        <v>2460</v>
      </c>
      <c r="O29" s="652"/>
      <c r="P29" s="652"/>
      <c r="Q29" s="740">
        <f>8000-(N29+F29)</f>
        <v>620</v>
      </c>
      <c r="R29" s="641">
        <f t="shared" si="8"/>
        <v>4920</v>
      </c>
      <c r="S29" s="641">
        <f t="shared" si="3"/>
        <v>4920</v>
      </c>
      <c r="T29" s="713">
        <f t="shared" si="6"/>
        <v>3087.0909491999996</v>
      </c>
      <c r="U29" s="641">
        <f t="shared" si="4"/>
        <v>11087.090949199999</v>
      </c>
      <c r="V29" s="495">
        <f t="shared" si="5"/>
        <v>142885.09139039999</v>
      </c>
      <c r="X29" s="127"/>
      <c r="Y29" s="127"/>
    </row>
    <row r="30" spans="1:25" ht="27" customHeight="1">
      <c r="A30" s="380">
        <v>18</v>
      </c>
      <c r="B30" s="638" t="s">
        <v>49</v>
      </c>
      <c r="C30" s="208">
        <v>2</v>
      </c>
      <c r="D30" s="208">
        <v>6</v>
      </c>
      <c r="E30" s="208">
        <v>4633</v>
      </c>
      <c r="F30" s="208">
        <f t="shared" si="9"/>
        <v>9266</v>
      </c>
      <c r="G30" s="643">
        <v>0.04</v>
      </c>
      <c r="H30" s="640">
        <f>F30*G30</f>
        <v>370.64</v>
      </c>
      <c r="I30" s="208"/>
      <c r="J30" s="639"/>
      <c r="K30" s="640">
        <f t="shared" si="7"/>
        <v>0</v>
      </c>
      <c r="L30" s="208"/>
      <c r="M30" s="643">
        <v>0.5</v>
      </c>
      <c r="N30" s="640">
        <f t="shared" si="1"/>
        <v>4818.32</v>
      </c>
      <c r="O30" s="208"/>
      <c r="P30" s="208"/>
      <c r="Q30" s="3">
        <v>1545.04</v>
      </c>
      <c r="R30" s="641">
        <f t="shared" si="8"/>
        <v>9636.64</v>
      </c>
      <c r="S30" s="641">
        <f t="shared" si="3"/>
        <v>9266</v>
      </c>
      <c r="T30" s="713">
        <f t="shared" si="6"/>
        <v>5814.0212876599999</v>
      </c>
      <c r="U30" s="641">
        <f t="shared" si="4"/>
        <v>21814.021287659998</v>
      </c>
      <c r="V30" s="495">
        <f t="shared" si="5"/>
        <v>280670.89545191999</v>
      </c>
      <c r="X30" s="127"/>
      <c r="Y30" s="127"/>
    </row>
    <row r="31" spans="1:25" ht="13.9" customHeight="1">
      <c r="A31" s="380">
        <v>19</v>
      </c>
      <c r="B31" s="638" t="s">
        <v>27</v>
      </c>
      <c r="C31" s="208">
        <v>1</v>
      </c>
      <c r="D31" s="208">
        <v>3</v>
      </c>
      <c r="E31" s="208">
        <v>3770</v>
      </c>
      <c r="F31" s="208">
        <f t="shared" si="9"/>
        <v>3770</v>
      </c>
      <c r="G31" s="643">
        <v>0.04</v>
      </c>
      <c r="H31" s="640">
        <f>F31*G31</f>
        <v>150.80000000000001</v>
      </c>
      <c r="I31" s="208"/>
      <c r="J31" s="208"/>
      <c r="K31" s="640">
        <f t="shared" si="7"/>
        <v>0</v>
      </c>
      <c r="L31" s="640"/>
      <c r="M31" s="643">
        <v>0.5</v>
      </c>
      <c r="N31" s="640">
        <f t="shared" si="1"/>
        <v>1960.4</v>
      </c>
      <c r="O31" s="641"/>
      <c r="P31" s="641"/>
      <c r="Q31" s="740">
        <v>2118.8000000000002</v>
      </c>
      <c r="R31" s="641">
        <f t="shared" si="8"/>
        <v>3920.8</v>
      </c>
      <c r="S31" s="641">
        <f t="shared" si="3"/>
        <v>3770</v>
      </c>
      <c r="T31" s="713">
        <f>F31*62.745751%</f>
        <v>2365.5148126999998</v>
      </c>
      <c r="U31" s="641">
        <f t="shared" si="4"/>
        <v>10365.514812700001</v>
      </c>
      <c r="V31" s="495">
        <f t="shared" si="5"/>
        <v>132076.97775240004</v>
      </c>
      <c r="X31" s="127"/>
      <c r="Y31" s="127"/>
    </row>
    <row r="32" spans="1:25">
      <c r="A32" s="380">
        <v>20</v>
      </c>
      <c r="B32" s="638" t="s">
        <v>28</v>
      </c>
      <c r="C32" s="208">
        <v>4</v>
      </c>
      <c r="D32" s="208">
        <v>1</v>
      </c>
      <c r="E32" s="208">
        <v>3195</v>
      </c>
      <c r="F32" s="208">
        <f t="shared" si="9"/>
        <v>12780</v>
      </c>
      <c r="G32" s="208"/>
      <c r="H32" s="643"/>
      <c r="I32" s="208"/>
      <c r="J32" s="208"/>
      <c r="K32" s="640">
        <f t="shared" si="7"/>
        <v>0</v>
      </c>
      <c r="L32" s="640"/>
      <c r="M32" s="643">
        <v>0.5</v>
      </c>
      <c r="N32" s="640">
        <f t="shared" si="1"/>
        <v>6390</v>
      </c>
      <c r="O32" s="641">
        <f>F32*13%</f>
        <v>1661.4</v>
      </c>
      <c r="P32" s="641"/>
      <c r="Q32" s="740">
        <f>30338.6-(F32+N32)</f>
        <v>11168.599999999999</v>
      </c>
      <c r="R32" s="641">
        <f t="shared" si="8"/>
        <v>12780</v>
      </c>
      <c r="S32" s="641">
        <f t="shared" si="3"/>
        <v>12780</v>
      </c>
      <c r="T32" s="713">
        <f t="shared" si="6"/>
        <v>8018.9069777999994</v>
      </c>
      <c r="U32" s="641">
        <f t="shared" si="4"/>
        <v>40018.906977799998</v>
      </c>
      <c r="V32" s="495">
        <f t="shared" si="5"/>
        <v>505786.88373359997</v>
      </c>
      <c r="X32" s="127"/>
      <c r="Y32" s="127"/>
    </row>
    <row r="33" spans="1:25" ht="14.45" customHeight="1">
      <c r="A33" s="380">
        <v>21</v>
      </c>
      <c r="B33" s="638" t="s">
        <v>29</v>
      </c>
      <c r="C33" s="208">
        <v>2</v>
      </c>
      <c r="D33" s="208">
        <v>1</v>
      </c>
      <c r="E33" s="208">
        <v>3195</v>
      </c>
      <c r="F33" s="208">
        <f t="shared" si="9"/>
        <v>6390</v>
      </c>
      <c r="G33" s="208"/>
      <c r="H33" s="643"/>
      <c r="I33" s="208"/>
      <c r="J33" s="208"/>
      <c r="K33" s="640">
        <f t="shared" si="7"/>
        <v>0</v>
      </c>
      <c r="L33" s="640"/>
      <c r="M33" s="643">
        <v>0.5</v>
      </c>
      <c r="N33" s="640">
        <f t="shared" si="1"/>
        <v>3195</v>
      </c>
      <c r="O33" s="641"/>
      <c r="P33" s="641">
        <f>F33*10%</f>
        <v>639</v>
      </c>
      <c r="Q33" s="740">
        <v>5776</v>
      </c>
      <c r="R33" s="641">
        <f t="shared" si="8"/>
        <v>6390</v>
      </c>
      <c r="S33" s="641">
        <f t="shared" si="3"/>
        <v>6390</v>
      </c>
      <c r="T33" s="713">
        <f t="shared" si="6"/>
        <v>4009.4534888999997</v>
      </c>
      <c r="U33" s="641">
        <f t="shared" si="4"/>
        <v>20009.453488899999</v>
      </c>
      <c r="V33" s="495">
        <f t="shared" si="5"/>
        <v>252893.44186679999</v>
      </c>
      <c r="X33" s="127"/>
      <c r="Y33" s="127"/>
    </row>
    <row r="34" spans="1:25" ht="26.45" customHeight="1">
      <c r="A34" s="653"/>
      <c r="B34" s="654" t="s">
        <v>30</v>
      </c>
      <c r="C34" s="655">
        <f>SUM(C13:C33)</f>
        <v>25.5</v>
      </c>
      <c r="D34" s="370"/>
      <c r="E34" s="370"/>
      <c r="F34" s="495">
        <f>SUM(F13:F33)</f>
        <v>143223</v>
      </c>
      <c r="G34" s="495"/>
      <c r="H34" s="495">
        <f>SUM(H13:H33)</f>
        <v>3516.79</v>
      </c>
      <c r="I34" s="495">
        <f>SUM(I13:I33)</f>
        <v>0</v>
      </c>
      <c r="J34" s="495" t="s">
        <v>31</v>
      </c>
      <c r="K34" s="495">
        <f>SUM(K13:K33)</f>
        <v>9410.7650000000031</v>
      </c>
      <c r="L34" s="495">
        <f>SUM(L13:L33)</f>
        <v>0</v>
      </c>
      <c r="M34" s="495" t="s">
        <v>31</v>
      </c>
      <c r="N34" s="495">
        <f>SUM(N13:N33)</f>
        <v>73369.895000000004</v>
      </c>
      <c r="O34" s="495">
        <f t="shared" ref="O34:U34" si="10">SUM(O13:O33)</f>
        <v>1661.4</v>
      </c>
      <c r="P34" s="495">
        <f t="shared" si="10"/>
        <v>639</v>
      </c>
      <c r="Q34" s="495">
        <f t="shared" si="10"/>
        <v>21848.44</v>
      </c>
      <c r="R34" s="495">
        <f t="shared" si="10"/>
        <v>146739.79</v>
      </c>
      <c r="S34" s="495">
        <f t="shared" si="10"/>
        <v>143223</v>
      </c>
      <c r="T34" s="714">
        <f t="shared" si="10"/>
        <v>98815.142732170018</v>
      </c>
      <c r="U34" s="495">
        <f t="shared" si="10"/>
        <v>352484.43273216998</v>
      </c>
      <c r="V34" s="495">
        <f>SUM(V13:V33)</f>
        <v>4519775.9827860417</v>
      </c>
      <c r="W34" s="127">
        <f>(V34-V28)*22%+V34-V28</f>
        <v>5320405.4708892182</v>
      </c>
      <c r="X34" s="127"/>
      <c r="Y34" s="127"/>
    </row>
    <row r="35" spans="1:25" ht="14.45" customHeight="1">
      <c r="A35" s="1054" t="s">
        <v>32</v>
      </c>
      <c r="B35" s="1054"/>
      <c r="C35" s="1054"/>
      <c r="D35" s="1054"/>
      <c r="E35" s="1054"/>
      <c r="F35" s="1054"/>
      <c r="G35" s="1054"/>
      <c r="H35" s="1054"/>
      <c r="I35" s="1054"/>
      <c r="J35" s="1054"/>
      <c r="K35" s="1054"/>
      <c r="L35" s="1054"/>
      <c r="M35" s="1054"/>
      <c r="N35" s="1054"/>
      <c r="O35" s="1054"/>
      <c r="P35" s="1054"/>
      <c r="Q35" s="1054"/>
      <c r="R35" s="1054"/>
      <c r="S35" s="1054"/>
      <c r="T35" s="1054"/>
      <c r="U35" s="1054"/>
      <c r="V35" s="1054"/>
    </row>
    <row r="36" spans="1:25" ht="15.6" customHeight="1">
      <c r="A36" s="208">
        <v>1</v>
      </c>
      <c r="B36" s="638" t="s">
        <v>33</v>
      </c>
      <c r="C36" s="208">
        <v>1</v>
      </c>
      <c r="D36" s="208">
        <v>12</v>
      </c>
      <c r="E36" s="208">
        <v>6773</v>
      </c>
      <c r="F36" s="637">
        <f t="shared" ref="F36:F41" si="11">E36*C36</f>
        <v>6773</v>
      </c>
      <c r="G36" s="637"/>
      <c r="H36" s="208"/>
      <c r="I36" s="208"/>
      <c r="J36" s="639">
        <v>0.1</v>
      </c>
      <c r="K36" s="640">
        <f>F36*J36</f>
        <v>677.30000000000007</v>
      </c>
      <c r="L36" s="208"/>
      <c r="M36" s="643">
        <v>0.5</v>
      </c>
      <c r="N36" s="640">
        <f>F36*M36</f>
        <v>3386.5</v>
      </c>
      <c r="O36" s="208"/>
      <c r="P36" s="208"/>
      <c r="Q36" s="208"/>
      <c r="R36" s="637">
        <f>F36</f>
        <v>6773</v>
      </c>
      <c r="S36" s="637">
        <f t="shared" ref="S36:S41" si="12">F36</f>
        <v>6773</v>
      </c>
      <c r="T36" s="713">
        <f>F36*62.745751%</f>
        <v>4249.7697152299997</v>
      </c>
      <c r="U36" s="641">
        <f t="shared" ref="U36:U41" si="13">F36+H36+I36+K36+L36+N36+O36+P36+Q36+T36</f>
        <v>15086.569715229998</v>
      </c>
      <c r="V36" s="495">
        <f>(U36*12)+R36+S36</f>
        <v>194584.83658275998</v>
      </c>
      <c r="X36" t="s">
        <v>709</v>
      </c>
    </row>
    <row r="37" spans="1:25" ht="19.899999999999999" customHeight="1">
      <c r="A37" s="208">
        <v>2</v>
      </c>
      <c r="B37" s="638" t="s">
        <v>34</v>
      </c>
      <c r="C37" s="208">
        <v>1</v>
      </c>
      <c r="D37" s="208">
        <v>11</v>
      </c>
      <c r="E37" s="208">
        <v>6294</v>
      </c>
      <c r="F37" s="637">
        <f t="shared" si="11"/>
        <v>6294</v>
      </c>
      <c r="G37" s="639">
        <v>0.15</v>
      </c>
      <c r="H37" s="208">
        <f>F37*G37</f>
        <v>944.09999999999991</v>
      </c>
      <c r="I37" s="208"/>
      <c r="J37" s="639">
        <v>0.3</v>
      </c>
      <c r="K37" s="640">
        <f>(F37+H37+I37)*J37</f>
        <v>2171.4299999999998</v>
      </c>
      <c r="L37" s="208"/>
      <c r="M37" s="643">
        <v>0.5</v>
      </c>
      <c r="N37" s="640">
        <f>(F37+H37+I37)*M37</f>
        <v>3619.05</v>
      </c>
      <c r="O37" s="208"/>
      <c r="P37" s="208"/>
      <c r="Q37" s="208"/>
      <c r="R37" s="637">
        <f>F37+H37+I37</f>
        <v>7238.1</v>
      </c>
      <c r="S37" s="637">
        <f t="shared" si="12"/>
        <v>6294</v>
      </c>
      <c r="T37" s="713">
        <f t="shared" ref="T37:T41" si="14">F37*62.745751%</f>
        <v>3949.2175679399998</v>
      </c>
      <c r="U37" s="641">
        <f t="shared" si="13"/>
        <v>16977.797567940001</v>
      </c>
      <c r="V37" s="495">
        <f t="shared" ref="V37:V41" si="15">(U37*12)+R37+S37</f>
        <v>217265.67081528003</v>
      </c>
      <c r="W37" s="449" t="s">
        <v>710</v>
      </c>
      <c r="X37" s="450" t="s">
        <v>711</v>
      </c>
    </row>
    <row r="38" spans="1:25" ht="15" customHeight="1">
      <c r="A38" s="648">
        <v>3</v>
      </c>
      <c r="B38" s="656" t="s">
        <v>35</v>
      </c>
      <c r="C38" s="648">
        <v>3</v>
      </c>
      <c r="D38" s="648">
        <v>6</v>
      </c>
      <c r="E38" s="648">
        <v>4633</v>
      </c>
      <c r="F38" s="657">
        <f t="shared" si="11"/>
        <v>13899</v>
      </c>
      <c r="G38" s="639">
        <v>0.15</v>
      </c>
      <c r="H38" s="208">
        <f>F38*G38</f>
        <v>2084.85</v>
      </c>
      <c r="I38" s="642">
        <f>F38*20%</f>
        <v>2779.8</v>
      </c>
      <c r="J38" s="658"/>
      <c r="K38" s="640">
        <f>(F38+H38+I38)*J38</f>
        <v>0</v>
      </c>
      <c r="L38" s="648"/>
      <c r="M38" s="651">
        <v>0.5</v>
      </c>
      <c r="N38" s="642">
        <f>(F38+H38+I38)*M38</f>
        <v>9381.8250000000007</v>
      </c>
      <c r="O38" s="648"/>
      <c r="P38" s="648"/>
      <c r="Q38" s="648"/>
      <c r="R38" s="637">
        <f>F38+H38+I38</f>
        <v>18763.650000000001</v>
      </c>
      <c r="S38" s="637">
        <f t="shared" si="12"/>
        <v>13899</v>
      </c>
      <c r="T38" s="713">
        <f t="shared" si="14"/>
        <v>8721.0319314899989</v>
      </c>
      <c r="U38" s="641">
        <f t="shared" si="13"/>
        <v>36866.506931490003</v>
      </c>
      <c r="V38" s="495">
        <f t="shared" si="15"/>
        <v>475060.73317788006</v>
      </c>
      <c r="W38" s="127">
        <f>V38+V39+V40+V41+V51+V52+V53+V54</f>
        <v>14737090.683295541</v>
      </c>
      <c r="X38" s="403">
        <f>W38/86.5</f>
        <v>170370.99055832994</v>
      </c>
    </row>
    <row r="39" spans="1:25" ht="15" customHeight="1">
      <c r="A39" s="208">
        <v>4</v>
      </c>
      <c r="B39" s="638" t="s">
        <v>35</v>
      </c>
      <c r="C39" s="208">
        <v>10</v>
      </c>
      <c r="D39" s="208">
        <v>6</v>
      </c>
      <c r="E39" s="208">
        <v>4633</v>
      </c>
      <c r="F39" s="637">
        <f t="shared" si="11"/>
        <v>46330</v>
      </c>
      <c r="G39" s="639">
        <v>0.15</v>
      </c>
      <c r="H39" s="208">
        <f>F39*G39</f>
        <v>6949.5</v>
      </c>
      <c r="I39" s="640">
        <f>F39*20%</f>
        <v>9266</v>
      </c>
      <c r="J39" s="639">
        <v>0.1</v>
      </c>
      <c r="K39" s="640">
        <f>(F39+H39+I39)*J39</f>
        <v>6254.55</v>
      </c>
      <c r="L39" s="208"/>
      <c r="M39" s="643">
        <v>0.5</v>
      </c>
      <c r="N39" s="642">
        <f>(F39+H39+I39)*M39</f>
        <v>31272.75</v>
      </c>
      <c r="O39" s="208"/>
      <c r="P39" s="208"/>
      <c r="Q39" s="208"/>
      <c r="R39" s="637">
        <f>F39+H39+I39</f>
        <v>62545.5</v>
      </c>
      <c r="S39" s="637">
        <f t="shared" si="12"/>
        <v>46330</v>
      </c>
      <c r="T39" s="713">
        <f t="shared" si="14"/>
        <v>29070.106438299998</v>
      </c>
      <c r="U39" s="641">
        <f t="shared" si="13"/>
        <v>129142.90643830001</v>
      </c>
      <c r="V39" s="495">
        <f t="shared" si="15"/>
        <v>1658590.3772596</v>
      </c>
    </row>
    <row r="40" spans="1:25" ht="15" customHeight="1">
      <c r="A40" s="208">
        <v>5</v>
      </c>
      <c r="B40" s="638" t="s">
        <v>35</v>
      </c>
      <c r="C40" s="208">
        <v>5</v>
      </c>
      <c r="D40" s="208">
        <v>6</v>
      </c>
      <c r="E40" s="208">
        <v>4633</v>
      </c>
      <c r="F40" s="637">
        <f t="shared" si="11"/>
        <v>23165</v>
      </c>
      <c r="G40" s="639">
        <v>0.15</v>
      </c>
      <c r="H40" s="208">
        <f>F40*G40</f>
        <v>3474.75</v>
      </c>
      <c r="I40" s="640">
        <f>F40*20%</f>
        <v>4633</v>
      </c>
      <c r="J40" s="639">
        <v>0.2</v>
      </c>
      <c r="K40" s="640">
        <f>(F40+H40+I40)*J40</f>
        <v>6254.55</v>
      </c>
      <c r="L40" s="208"/>
      <c r="M40" s="643">
        <v>0.5</v>
      </c>
      <c r="N40" s="642">
        <f>(F40+H40+I40)*M40</f>
        <v>15636.375</v>
      </c>
      <c r="O40" s="208"/>
      <c r="P40" s="208"/>
      <c r="Q40" s="208"/>
      <c r="R40" s="637">
        <f>F40+H40+I40</f>
        <v>31272.75</v>
      </c>
      <c r="S40" s="637">
        <f t="shared" si="12"/>
        <v>23165</v>
      </c>
      <c r="T40" s="713">
        <f t="shared" si="14"/>
        <v>14535.053219149999</v>
      </c>
      <c r="U40" s="641">
        <f t="shared" si="13"/>
        <v>67698.728219149998</v>
      </c>
      <c r="V40" s="495">
        <f t="shared" si="15"/>
        <v>866822.48862980003</v>
      </c>
      <c r="W40" t="s">
        <v>986</v>
      </c>
    </row>
    <row r="41" spans="1:25" ht="15.6" customHeight="1">
      <c r="A41" s="208">
        <v>6</v>
      </c>
      <c r="B41" s="638" t="s">
        <v>35</v>
      </c>
      <c r="C41" s="208">
        <v>3</v>
      </c>
      <c r="D41" s="208">
        <v>6</v>
      </c>
      <c r="E41" s="208">
        <v>4633</v>
      </c>
      <c r="F41" s="637">
        <f t="shared" si="11"/>
        <v>13899</v>
      </c>
      <c r="G41" s="639">
        <v>0.15</v>
      </c>
      <c r="H41" s="208">
        <f>F41*G41</f>
        <v>2084.85</v>
      </c>
      <c r="I41" s="640">
        <f>F41*20%</f>
        <v>2779.8</v>
      </c>
      <c r="J41" s="639">
        <v>0.3</v>
      </c>
      <c r="K41" s="640">
        <f>(F41+H41+I41)*J41</f>
        <v>5629.0950000000003</v>
      </c>
      <c r="L41" s="208"/>
      <c r="M41" s="643">
        <v>0.5</v>
      </c>
      <c r="N41" s="642">
        <f>(F41+H41+I41)*M41</f>
        <v>9381.8250000000007</v>
      </c>
      <c r="O41" s="208"/>
      <c r="P41" s="208"/>
      <c r="Q41" s="208"/>
      <c r="R41" s="637">
        <f>F41+H41+I41</f>
        <v>18763.650000000001</v>
      </c>
      <c r="S41" s="637">
        <f t="shared" si="12"/>
        <v>13899</v>
      </c>
      <c r="T41" s="713">
        <f t="shared" si="14"/>
        <v>8721.0319314899989</v>
      </c>
      <c r="U41" s="641">
        <f t="shared" si="13"/>
        <v>42495.601931490004</v>
      </c>
      <c r="V41" s="495">
        <f t="shared" si="15"/>
        <v>542609.87317788007</v>
      </c>
      <c r="W41" s="403">
        <f>(V37+V46+V47+V48+V49+V50)/6</f>
        <v>197875.09973119432</v>
      </c>
    </row>
    <row r="42" spans="1:25" ht="44.45" customHeight="1">
      <c r="A42" s="370"/>
      <c r="B42" s="654" t="s">
        <v>46</v>
      </c>
      <c r="C42" s="655">
        <f>SUM(C36:C41)</f>
        <v>23</v>
      </c>
      <c r="D42" s="370"/>
      <c r="E42" s="370"/>
      <c r="F42" s="495">
        <f>SUM(F36:F41)</f>
        <v>110360</v>
      </c>
      <c r="G42" s="495"/>
      <c r="H42" s="495">
        <f>SUM(H36:H41)</f>
        <v>15538.050000000001</v>
      </c>
      <c r="I42" s="495">
        <f>SUM(I36:I41)</f>
        <v>19458.599999999999</v>
      </c>
      <c r="J42" s="495" t="s">
        <v>31</v>
      </c>
      <c r="K42" s="495">
        <f>SUM(K36:K41)</f>
        <v>20986.925000000003</v>
      </c>
      <c r="L42" s="495">
        <f>SUM(L36:L41)</f>
        <v>0</v>
      </c>
      <c r="M42" s="495" t="s">
        <v>31</v>
      </c>
      <c r="N42" s="495">
        <f>SUM(N36:N41)</f>
        <v>72678.324999999997</v>
      </c>
      <c r="O42" s="495">
        <f t="shared" ref="O42:T42" si="16">SUM(O36:O41)</f>
        <v>0</v>
      </c>
      <c r="P42" s="495">
        <f t="shared" si="16"/>
        <v>0</v>
      </c>
      <c r="Q42" s="495">
        <f t="shared" si="16"/>
        <v>0</v>
      </c>
      <c r="R42" s="495">
        <f>SUM(R36:R41)</f>
        <v>145356.65</v>
      </c>
      <c r="S42" s="495">
        <f t="shared" si="16"/>
        <v>110360</v>
      </c>
      <c r="T42" s="714">
        <f t="shared" si="16"/>
        <v>69246.210803599985</v>
      </c>
      <c r="U42" s="495">
        <f>SUM(U36:U41)</f>
        <v>308268.11080359999</v>
      </c>
      <c r="V42" s="495">
        <f>SUM(V36:V41)</f>
        <v>3954933.9796432001</v>
      </c>
    </row>
    <row r="43" spans="1:25" ht="14.45" customHeight="1">
      <c r="A43" s="208">
        <v>1</v>
      </c>
      <c r="B43" s="208">
        <v>2</v>
      </c>
      <c r="C43" s="208">
        <v>3</v>
      </c>
      <c r="D43" s="208">
        <v>4</v>
      </c>
      <c r="E43" s="208"/>
      <c r="F43" s="208">
        <v>5</v>
      </c>
      <c r="G43" s="208"/>
      <c r="H43" s="208">
        <v>6</v>
      </c>
      <c r="I43" s="208">
        <v>7</v>
      </c>
      <c r="J43" s="208">
        <v>8</v>
      </c>
      <c r="K43" s="208">
        <v>9</v>
      </c>
      <c r="L43" s="208">
        <v>10</v>
      </c>
      <c r="M43" s="208">
        <v>11</v>
      </c>
      <c r="N43" s="208">
        <v>12</v>
      </c>
      <c r="O43" s="208">
        <v>13</v>
      </c>
      <c r="P43" s="208">
        <v>14</v>
      </c>
      <c r="Q43" s="208">
        <v>15</v>
      </c>
      <c r="R43" s="208"/>
      <c r="S43" s="208"/>
      <c r="T43" s="208">
        <v>16</v>
      </c>
      <c r="U43" s="637">
        <v>17</v>
      </c>
      <c r="V43" s="637">
        <v>18</v>
      </c>
    </row>
    <row r="44" spans="1:25" ht="14.45" customHeight="1">
      <c r="A44" s="1054" t="s">
        <v>36</v>
      </c>
      <c r="B44" s="1054"/>
      <c r="C44" s="1054"/>
      <c r="D44" s="1054"/>
      <c r="E44" s="1054"/>
      <c r="F44" s="1054"/>
      <c r="G44" s="1054"/>
      <c r="H44" s="1054"/>
      <c r="I44" s="1054"/>
      <c r="J44" s="1054"/>
      <c r="K44" s="1054"/>
      <c r="L44" s="1054"/>
      <c r="M44" s="1054"/>
      <c r="N44" s="1054"/>
      <c r="O44" s="1054"/>
      <c r="P44" s="1054"/>
      <c r="Q44" s="1054"/>
      <c r="R44" s="1054"/>
      <c r="S44" s="1054"/>
      <c r="T44" s="1054"/>
      <c r="U44" s="1054"/>
      <c r="V44" s="1054"/>
    </row>
    <row r="45" spans="1:25" ht="15" customHeight="1">
      <c r="A45" s="208">
        <v>1</v>
      </c>
      <c r="B45" s="249" t="s">
        <v>33</v>
      </c>
      <c r="C45" s="208">
        <v>1</v>
      </c>
      <c r="D45" s="208">
        <v>15</v>
      </c>
      <c r="E45" s="208">
        <v>8243</v>
      </c>
      <c r="F45" s="208">
        <f t="shared" ref="F45:F54" si="17">E45*C45</f>
        <v>8243</v>
      </c>
      <c r="G45" s="208"/>
      <c r="H45" s="208"/>
      <c r="I45" s="208"/>
      <c r="J45" s="643">
        <v>0.1</v>
      </c>
      <c r="K45" s="208">
        <f>J45*F45</f>
        <v>824.30000000000007</v>
      </c>
      <c r="L45" s="208"/>
      <c r="M45" s="643">
        <v>0.5</v>
      </c>
      <c r="N45" s="208">
        <f>M45*F45</f>
        <v>4121.5</v>
      </c>
      <c r="O45" s="208"/>
      <c r="P45" s="208"/>
      <c r="Q45" s="208"/>
      <c r="R45" s="208">
        <f>F45</f>
        <v>8243</v>
      </c>
      <c r="S45" s="208">
        <f t="shared" ref="S45:S54" si="18">F45</f>
        <v>8243</v>
      </c>
      <c r="T45" s="713">
        <f>F45*62.745751%</f>
        <v>5172.1322549299994</v>
      </c>
      <c r="U45" s="659">
        <f t="shared" ref="U45:U54" si="19">F45+H45+I45+K45+N45+T45</f>
        <v>18360.932254929998</v>
      </c>
      <c r="V45" s="495">
        <f>(U45*12)+S45+R45</f>
        <v>236817.18705915997</v>
      </c>
    </row>
    <row r="46" spans="1:25" ht="13.9" customHeight="1">
      <c r="A46" s="208">
        <v>2</v>
      </c>
      <c r="B46" s="249" t="s">
        <v>37</v>
      </c>
      <c r="C46" s="208">
        <v>1</v>
      </c>
      <c r="D46" s="643">
        <v>-0.15</v>
      </c>
      <c r="E46" s="644">
        <f>E45-(E45*15%)</f>
        <v>7006.55</v>
      </c>
      <c r="F46" s="644">
        <f t="shared" si="17"/>
        <v>7006.55</v>
      </c>
      <c r="G46" s="644"/>
      <c r="H46" s="208"/>
      <c r="I46" s="208"/>
      <c r="J46" s="643">
        <v>0.1</v>
      </c>
      <c r="K46" s="640">
        <f>J46*F46</f>
        <v>700.65500000000009</v>
      </c>
      <c r="L46" s="208"/>
      <c r="M46" s="643">
        <v>0.5</v>
      </c>
      <c r="N46" s="208">
        <f>M46*F46</f>
        <v>3503.2750000000001</v>
      </c>
      <c r="O46" s="208"/>
      <c r="P46" s="208"/>
      <c r="Q46" s="208"/>
      <c r="R46" s="208">
        <f>F46</f>
        <v>7006.55</v>
      </c>
      <c r="S46" s="208">
        <f t="shared" si="18"/>
        <v>7006.55</v>
      </c>
      <c r="T46" s="713">
        <f t="shared" ref="T46:T54" si="20">F46*62.745751%</f>
        <v>4396.3124166905</v>
      </c>
      <c r="U46" s="659">
        <f t="shared" si="19"/>
        <v>15606.7924166905</v>
      </c>
      <c r="V46" s="495">
        <f t="shared" ref="V46:V54" si="21">(U46*12)+S46+R46</f>
        <v>201294.60900028597</v>
      </c>
    </row>
    <row r="47" spans="1:25" ht="12.6" customHeight="1">
      <c r="A47" s="208">
        <v>3</v>
      </c>
      <c r="B47" s="249" t="s">
        <v>53</v>
      </c>
      <c r="C47" s="208">
        <v>1</v>
      </c>
      <c r="D47" s="644">
        <v>11</v>
      </c>
      <c r="E47" s="208">
        <v>6294</v>
      </c>
      <c r="F47" s="208">
        <f t="shared" si="17"/>
        <v>6294</v>
      </c>
      <c r="G47" s="639">
        <v>0.15</v>
      </c>
      <c r="H47" s="208">
        <f t="shared" ref="H47:H54" si="22">F47*G47</f>
        <v>944.09999999999991</v>
      </c>
      <c r="I47" s="208"/>
      <c r="J47" s="643">
        <v>0.1</v>
      </c>
      <c r="K47" s="208">
        <f t="shared" ref="K47:K54" si="23">(F47+H47+I47)*J47</f>
        <v>723.81000000000006</v>
      </c>
      <c r="L47" s="208"/>
      <c r="M47" s="643">
        <v>0.5</v>
      </c>
      <c r="N47" s="208">
        <f t="shared" ref="N47:N54" si="24">(F47+H47+I47)*M47</f>
        <v>3619.05</v>
      </c>
      <c r="O47" s="208"/>
      <c r="P47" s="208"/>
      <c r="Q47" s="208"/>
      <c r="R47" s="208">
        <f t="shared" ref="R47:R54" si="25">F47+H47+I47</f>
        <v>7238.1</v>
      </c>
      <c r="S47" s="208">
        <f t="shared" si="18"/>
        <v>6294</v>
      </c>
      <c r="T47" s="713">
        <f t="shared" si="20"/>
        <v>3949.2175679399998</v>
      </c>
      <c r="U47" s="659">
        <f t="shared" si="19"/>
        <v>15530.177567940002</v>
      </c>
      <c r="V47" s="495">
        <f t="shared" si="21"/>
        <v>199894.23081528003</v>
      </c>
    </row>
    <row r="48" spans="1:25" ht="13.15" customHeight="1">
      <c r="A48" s="208">
        <v>4</v>
      </c>
      <c r="B48" s="249" t="s">
        <v>53</v>
      </c>
      <c r="C48" s="208">
        <v>1</v>
      </c>
      <c r="D48" s="644">
        <v>11</v>
      </c>
      <c r="E48" s="208">
        <v>6294</v>
      </c>
      <c r="F48" s="208">
        <f t="shared" si="17"/>
        <v>6294</v>
      </c>
      <c r="G48" s="639">
        <v>0.15</v>
      </c>
      <c r="H48" s="208">
        <f t="shared" si="22"/>
        <v>944.09999999999991</v>
      </c>
      <c r="I48" s="208"/>
      <c r="J48" s="643">
        <v>0.2</v>
      </c>
      <c r="K48" s="208">
        <f t="shared" si="23"/>
        <v>1447.6200000000001</v>
      </c>
      <c r="L48" s="208"/>
      <c r="M48" s="643">
        <v>0.5</v>
      </c>
      <c r="N48" s="208">
        <f t="shared" si="24"/>
        <v>3619.05</v>
      </c>
      <c r="O48" s="208"/>
      <c r="P48" s="208"/>
      <c r="Q48" s="208"/>
      <c r="R48" s="208">
        <f t="shared" si="25"/>
        <v>7238.1</v>
      </c>
      <c r="S48" s="208">
        <f t="shared" si="18"/>
        <v>6294</v>
      </c>
      <c r="T48" s="713">
        <f t="shared" si="20"/>
        <v>3949.2175679399998</v>
      </c>
      <c r="U48" s="659">
        <f t="shared" si="19"/>
        <v>16253.987567939999</v>
      </c>
      <c r="V48" s="495">
        <f t="shared" si="21"/>
        <v>208579.95081528</v>
      </c>
      <c r="W48" t="s">
        <v>922</v>
      </c>
    </row>
    <row r="49" spans="1:25" ht="12" customHeight="1">
      <c r="A49" s="208">
        <v>5</v>
      </c>
      <c r="B49" s="249" t="s">
        <v>857</v>
      </c>
      <c r="C49" s="208">
        <v>1</v>
      </c>
      <c r="D49" s="644">
        <v>10</v>
      </c>
      <c r="E49" s="208">
        <v>5815</v>
      </c>
      <c r="F49" s="208">
        <f t="shared" si="17"/>
        <v>5815</v>
      </c>
      <c r="G49" s="639">
        <v>0.15</v>
      </c>
      <c r="H49" s="208">
        <f t="shared" si="22"/>
        <v>872.25</v>
      </c>
      <c r="I49" s="208"/>
      <c r="J49" s="643">
        <v>0.1</v>
      </c>
      <c r="K49" s="208">
        <f t="shared" si="23"/>
        <v>668.72500000000002</v>
      </c>
      <c r="L49" s="208"/>
      <c r="M49" s="643">
        <v>0.5</v>
      </c>
      <c r="N49" s="208">
        <f t="shared" si="24"/>
        <v>3343.625</v>
      </c>
      <c r="O49" s="208"/>
      <c r="P49" s="208"/>
      <c r="Q49" s="208"/>
      <c r="R49" s="208">
        <f t="shared" si="25"/>
        <v>6687.25</v>
      </c>
      <c r="S49" s="208">
        <f t="shared" si="18"/>
        <v>5815</v>
      </c>
      <c r="T49" s="713">
        <f t="shared" si="20"/>
        <v>3648.6654206499998</v>
      </c>
      <c r="U49" s="659">
        <f t="shared" si="19"/>
        <v>14348.265420650001</v>
      </c>
      <c r="V49" s="495">
        <f t="shared" si="21"/>
        <v>184681.43504780001</v>
      </c>
    </row>
    <row r="50" spans="1:25" ht="16.149999999999999" customHeight="1">
      <c r="A50" s="208">
        <v>6</v>
      </c>
      <c r="B50" s="249" t="s">
        <v>601</v>
      </c>
      <c r="C50" s="208">
        <v>1</v>
      </c>
      <c r="D50" s="208">
        <v>9</v>
      </c>
      <c r="E50" s="208">
        <v>5527</v>
      </c>
      <c r="F50" s="208">
        <f t="shared" si="17"/>
        <v>5527</v>
      </c>
      <c r="G50" s="639">
        <v>0.15</v>
      </c>
      <c r="H50" s="208">
        <f t="shared" si="22"/>
        <v>829.05</v>
      </c>
      <c r="I50" s="208"/>
      <c r="J50" s="643">
        <v>0.1</v>
      </c>
      <c r="K50" s="208">
        <f t="shared" si="23"/>
        <v>635.60500000000002</v>
      </c>
      <c r="L50" s="208"/>
      <c r="M50" s="643">
        <v>0.5</v>
      </c>
      <c r="N50" s="208">
        <f t="shared" si="24"/>
        <v>3178.0250000000001</v>
      </c>
      <c r="O50" s="208"/>
      <c r="P50" s="208"/>
      <c r="Q50" s="208"/>
      <c r="R50" s="208">
        <f t="shared" si="25"/>
        <v>6356.05</v>
      </c>
      <c r="S50" s="208">
        <f t="shared" si="18"/>
        <v>5527</v>
      </c>
      <c r="T50" s="713">
        <f t="shared" si="20"/>
        <v>3467.9576577699995</v>
      </c>
      <c r="U50" s="659">
        <f t="shared" si="19"/>
        <v>13637.637657769999</v>
      </c>
      <c r="V50" s="495">
        <f t="shared" si="21"/>
        <v>175534.70189323998</v>
      </c>
      <c r="Y50" s="127"/>
    </row>
    <row r="51" spans="1:25" ht="13.15" customHeight="1">
      <c r="A51" s="208">
        <v>7</v>
      </c>
      <c r="B51" s="249" t="s">
        <v>35</v>
      </c>
      <c r="C51" s="208">
        <v>7</v>
      </c>
      <c r="D51" s="208">
        <v>6</v>
      </c>
      <c r="E51" s="208">
        <v>4633</v>
      </c>
      <c r="F51" s="208">
        <f t="shared" si="17"/>
        <v>32431</v>
      </c>
      <c r="G51" s="639">
        <v>0.15</v>
      </c>
      <c r="H51" s="208">
        <f t="shared" si="22"/>
        <v>4864.6499999999996</v>
      </c>
      <c r="I51" s="208">
        <f>F51*0.2</f>
        <v>6486.2000000000007</v>
      </c>
      <c r="J51" s="643"/>
      <c r="K51" s="208">
        <f t="shared" si="23"/>
        <v>0</v>
      </c>
      <c r="L51" s="208"/>
      <c r="M51" s="643">
        <v>0.5</v>
      </c>
      <c r="N51" s="208">
        <f t="shared" si="24"/>
        <v>21890.925000000003</v>
      </c>
      <c r="O51" s="208"/>
      <c r="P51" s="208"/>
      <c r="Q51" s="208"/>
      <c r="R51" s="208">
        <f t="shared" si="25"/>
        <v>43781.850000000006</v>
      </c>
      <c r="S51" s="208">
        <f t="shared" si="18"/>
        <v>32431</v>
      </c>
      <c r="T51" s="713">
        <f t="shared" si="20"/>
        <v>20349.074506809997</v>
      </c>
      <c r="U51" s="659">
        <f t="shared" si="19"/>
        <v>86021.849506810002</v>
      </c>
      <c r="V51" s="495">
        <f t="shared" si="21"/>
        <v>1108475.0440817201</v>
      </c>
    </row>
    <row r="52" spans="1:25" ht="13.9" customHeight="1">
      <c r="A52" s="208">
        <v>8</v>
      </c>
      <c r="B52" s="249" t="s">
        <v>35</v>
      </c>
      <c r="C52" s="208">
        <v>27</v>
      </c>
      <c r="D52" s="208">
        <v>6</v>
      </c>
      <c r="E52" s="208">
        <v>4633</v>
      </c>
      <c r="F52" s="208">
        <f t="shared" si="17"/>
        <v>125091</v>
      </c>
      <c r="G52" s="639">
        <v>0.15</v>
      </c>
      <c r="H52" s="208">
        <f t="shared" si="22"/>
        <v>18763.649999999998</v>
      </c>
      <c r="I52" s="208">
        <f>F52*0.2</f>
        <v>25018.2</v>
      </c>
      <c r="J52" s="643">
        <v>0.1</v>
      </c>
      <c r="K52" s="208">
        <f t="shared" si="23"/>
        <v>16887.285</v>
      </c>
      <c r="L52" s="208"/>
      <c r="M52" s="643">
        <v>0.5</v>
      </c>
      <c r="N52" s="208">
        <f t="shared" si="24"/>
        <v>84436.425000000003</v>
      </c>
      <c r="O52" s="208"/>
      <c r="P52" s="208"/>
      <c r="Q52" s="208"/>
      <c r="R52" s="208">
        <f t="shared" si="25"/>
        <v>168872.85</v>
      </c>
      <c r="S52" s="208">
        <f t="shared" si="18"/>
        <v>125091</v>
      </c>
      <c r="T52" s="713">
        <f t="shared" si="20"/>
        <v>78489.287383409988</v>
      </c>
      <c r="U52" s="659">
        <f t="shared" si="19"/>
        <v>348685.84738340997</v>
      </c>
      <c r="V52" s="495">
        <f t="shared" si="21"/>
        <v>4478194.0186009193</v>
      </c>
    </row>
    <row r="53" spans="1:25" ht="13.9" customHeight="1">
      <c r="A53" s="208">
        <v>9</v>
      </c>
      <c r="B53" s="249" t="s">
        <v>35</v>
      </c>
      <c r="C53" s="208">
        <v>12</v>
      </c>
      <c r="D53" s="208">
        <v>6</v>
      </c>
      <c r="E53" s="208">
        <v>4633</v>
      </c>
      <c r="F53" s="208">
        <f t="shared" si="17"/>
        <v>55596</v>
      </c>
      <c r="G53" s="639">
        <v>0.15</v>
      </c>
      <c r="H53" s="208">
        <f t="shared" si="22"/>
        <v>8339.4</v>
      </c>
      <c r="I53" s="208">
        <f>F53*0.2</f>
        <v>11119.2</v>
      </c>
      <c r="J53" s="643">
        <v>0.2</v>
      </c>
      <c r="K53" s="208">
        <f t="shared" si="23"/>
        <v>15010.920000000002</v>
      </c>
      <c r="L53" s="208"/>
      <c r="M53" s="643">
        <v>0.5</v>
      </c>
      <c r="N53" s="208">
        <f t="shared" si="24"/>
        <v>37527.300000000003</v>
      </c>
      <c r="O53" s="208"/>
      <c r="P53" s="208"/>
      <c r="Q53" s="208"/>
      <c r="R53" s="208">
        <f t="shared" si="25"/>
        <v>75054.600000000006</v>
      </c>
      <c r="S53" s="208">
        <f t="shared" si="18"/>
        <v>55596</v>
      </c>
      <c r="T53" s="713">
        <f t="shared" si="20"/>
        <v>34884.127725959996</v>
      </c>
      <c r="U53" s="659">
        <f t="shared" si="19"/>
        <v>162476.94772596</v>
      </c>
      <c r="V53" s="495">
        <f t="shared" si="21"/>
        <v>2080373.97271152</v>
      </c>
    </row>
    <row r="54" spans="1:25" ht="18" customHeight="1">
      <c r="A54" s="208">
        <v>10</v>
      </c>
      <c r="B54" s="249" t="s">
        <v>35</v>
      </c>
      <c r="C54" s="208">
        <v>19.5</v>
      </c>
      <c r="D54" s="208">
        <v>6</v>
      </c>
      <c r="E54" s="208">
        <v>4633</v>
      </c>
      <c r="F54" s="208">
        <f t="shared" si="17"/>
        <v>90343.5</v>
      </c>
      <c r="G54" s="639">
        <v>0.15</v>
      </c>
      <c r="H54" s="208">
        <f t="shared" si="22"/>
        <v>13551.525</v>
      </c>
      <c r="I54" s="208">
        <f>F54*0.2</f>
        <v>18068.7</v>
      </c>
      <c r="J54" s="643">
        <v>0.3</v>
      </c>
      <c r="K54" s="208">
        <f t="shared" si="23"/>
        <v>36589.117499999993</v>
      </c>
      <c r="L54" s="208"/>
      <c r="M54" s="643">
        <v>0.5</v>
      </c>
      <c r="N54" s="208">
        <f t="shared" si="24"/>
        <v>60981.862499999996</v>
      </c>
      <c r="O54" s="208"/>
      <c r="P54" s="208"/>
      <c r="Q54" s="208"/>
      <c r="R54" s="208">
        <f t="shared" si="25"/>
        <v>121963.72499999999</v>
      </c>
      <c r="S54" s="208">
        <f t="shared" si="18"/>
        <v>90343.5</v>
      </c>
      <c r="T54" s="713">
        <f t="shared" si="20"/>
        <v>56686.707554684996</v>
      </c>
      <c r="U54" s="659">
        <f t="shared" si="19"/>
        <v>276221.41255468497</v>
      </c>
      <c r="V54" s="495">
        <f t="shared" si="21"/>
        <v>3526964.1756562195</v>
      </c>
    </row>
    <row r="55" spans="1:25" ht="40.9" customHeight="1">
      <c r="A55" s="208"/>
      <c r="B55" s="654" t="s">
        <v>47</v>
      </c>
      <c r="C55" s="370">
        <f>SUM(C45:C54)</f>
        <v>71.5</v>
      </c>
      <c r="D55" s="370"/>
      <c r="E55" s="370"/>
      <c r="F55" s="370">
        <f>SUM(F45:F54)</f>
        <v>342641.05</v>
      </c>
      <c r="G55" s="370"/>
      <c r="H55" s="370">
        <f>SUM(H45:H54)</f>
        <v>49108.724999999999</v>
      </c>
      <c r="I55" s="370">
        <f>SUM(I45:I54)</f>
        <v>60692.3</v>
      </c>
      <c r="J55" s="370"/>
      <c r="K55" s="370">
        <f>SUM(K45:K54)</f>
        <v>73488.037499999991</v>
      </c>
      <c r="L55" s="370">
        <f>SUM(L45:L54)</f>
        <v>0</v>
      </c>
      <c r="M55" s="370"/>
      <c r="N55" s="660">
        <f>SUM(N45:N54)</f>
        <v>226221.03749999998</v>
      </c>
      <c r="O55" s="370">
        <f t="shared" ref="O55:T55" si="26">SUM(O45:O54)</f>
        <v>0</v>
      </c>
      <c r="P55" s="370">
        <f t="shared" si="26"/>
        <v>0</v>
      </c>
      <c r="Q55" s="370">
        <f t="shared" si="26"/>
        <v>0</v>
      </c>
      <c r="R55" s="660">
        <f>SUM(R45:R54)</f>
        <v>452442.07499999995</v>
      </c>
      <c r="S55" s="660">
        <f t="shared" si="26"/>
        <v>342641.05</v>
      </c>
      <c r="T55" s="715">
        <f t="shared" si="26"/>
        <v>214992.70005678548</v>
      </c>
      <c r="U55" s="495">
        <f>SUM(U45:U54)</f>
        <v>967143.85005678562</v>
      </c>
      <c r="V55" s="495">
        <f>SUM(V45:V54)</f>
        <v>12400809.325681426</v>
      </c>
      <c r="W55" s="127">
        <f>V62+V63+V64</f>
        <v>1301194.617695</v>
      </c>
    </row>
    <row r="56" spans="1:25" ht="16.899999999999999" customHeight="1">
      <c r="A56" s="1061" t="s">
        <v>38</v>
      </c>
      <c r="B56" s="1062"/>
      <c r="C56" s="1062"/>
      <c r="D56" s="1062"/>
      <c r="E56" s="1062"/>
      <c r="F56" s="1062"/>
      <c r="G56" s="1062"/>
      <c r="H56" s="1062"/>
      <c r="I56" s="1062"/>
      <c r="J56" s="1062"/>
      <c r="K56" s="1062"/>
      <c r="L56" s="1062"/>
      <c r="M56" s="1062"/>
      <c r="N56" s="1062"/>
      <c r="O56" s="1062"/>
      <c r="P56" s="1062"/>
      <c r="Q56" s="1062"/>
      <c r="R56" s="1062"/>
      <c r="S56" s="1062"/>
      <c r="T56" s="1062"/>
      <c r="U56" s="1062"/>
      <c r="V56" s="1063"/>
    </row>
    <row r="57" spans="1:25" ht="12" customHeight="1">
      <c r="A57" s="208">
        <v>1</v>
      </c>
      <c r="B57" s="638" t="s">
        <v>33</v>
      </c>
      <c r="C57" s="208">
        <v>1</v>
      </c>
      <c r="D57" s="208">
        <v>15</v>
      </c>
      <c r="E57" s="208">
        <v>8243</v>
      </c>
      <c r="F57" s="637">
        <f t="shared" ref="F57:F64" si="27">E57*C57</f>
        <v>8243</v>
      </c>
      <c r="G57" s="637"/>
      <c r="H57" s="208"/>
      <c r="I57" s="208"/>
      <c r="J57" s="639">
        <v>0.1</v>
      </c>
      <c r="K57" s="640">
        <f>F57*J57</f>
        <v>824.30000000000007</v>
      </c>
      <c r="L57" s="208"/>
      <c r="M57" s="643">
        <v>0.5</v>
      </c>
      <c r="N57" s="640">
        <f t="shared" ref="N57:N67" si="28">(F57+H57+I57)*M57</f>
        <v>4121.5</v>
      </c>
      <c r="O57" s="208"/>
      <c r="P57" s="208"/>
      <c r="Q57" s="208"/>
      <c r="R57" s="637">
        <f>F57</f>
        <v>8243</v>
      </c>
      <c r="S57" s="637">
        <f t="shared" ref="S57:S67" si="29">F57</f>
        <v>8243</v>
      </c>
      <c r="T57" s="713">
        <f>F57*62.745751%</f>
        <v>5172.1322549299994</v>
      </c>
      <c r="U57" s="641">
        <f t="shared" ref="U57:U67" si="30">F57+H57+I57+K57+L57+N57+O57+P57+Q57+T57</f>
        <v>18360.932254929998</v>
      </c>
      <c r="V57" s="495">
        <f>(U57*12)+R57+S57</f>
        <v>236817.18705915997</v>
      </c>
    </row>
    <row r="58" spans="1:25" ht="15" customHeight="1">
      <c r="A58" s="208">
        <v>2</v>
      </c>
      <c r="B58" s="638" t="s">
        <v>37</v>
      </c>
      <c r="C58" s="208">
        <v>1</v>
      </c>
      <c r="D58" s="643">
        <v>-0.15</v>
      </c>
      <c r="E58" s="644">
        <f>E57-(E57*15%)</f>
        <v>7006.55</v>
      </c>
      <c r="F58" s="637">
        <f t="shared" si="27"/>
        <v>7006.55</v>
      </c>
      <c r="G58" s="637"/>
      <c r="H58" s="208"/>
      <c r="I58" s="208"/>
      <c r="J58" s="639">
        <v>0.2</v>
      </c>
      <c r="K58" s="640">
        <f>F58*J58</f>
        <v>1401.3100000000002</v>
      </c>
      <c r="L58" s="208"/>
      <c r="M58" s="643">
        <v>0.5</v>
      </c>
      <c r="N58" s="640">
        <f t="shared" si="28"/>
        <v>3503.2750000000001</v>
      </c>
      <c r="O58" s="208"/>
      <c r="P58" s="208"/>
      <c r="Q58" s="208"/>
      <c r="R58" s="637">
        <f>F58</f>
        <v>7006.55</v>
      </c>
      <c r="S58" s="637">
        <f t="shared" si="29"/>
        <v>7006.55</v>
      </c>
      <c r="T58" s="713">
        <f t="shared" ref="T58:T67" si="31">F58*62.745751%</f>
        <v>4396.3124166905</v>
      </c>
      <c r="U58" s="641">
        <f t="shared" si="30"/>
        <v>16307.4474166905</v>
      </c>
      <c r="V58" s="495">
        <f t="shared" ref="V58:V67" si="32">(U58*12)+R58+S58</f>
        <v>209702.46900028599</v>
      </c>
    </row>
    <row r="59" spans="1:25" ht="17.45" customHeight="1">
      <c r="A59" s="208">
        <v>3</v>
      </c>
      <c r="B59" s="638" t="s">
        <v>858</v>
      </c>
      <c r="C59" s="208">
        <v>1</v>
      </c>
      <c r="D59" s="208">
        <v>11</v>
      </c>
      <c r="E59" s="644">
        <v>6294</v>
      </c>
      <c r="F59" s="637">
        <f t="shared" si="27"/>
        <v>6294</v>
      </c>
      <c r="G59" s="639">
        <v>0.15</v>
      </c>
      <c r="H59" s="208">
        <f t="shared" ref="H59:H65" si="33">F59*G59</f>
        <v>944.09999999999991</v>
      </c>
      <c r="I59" s="208"/>
      <c r="J59" s="639">
        <v>0.1</v>
      </c>
      <c r="K59" s="640">
        <f t="shared" ref="K59:K67" si="34">(F59+H59+I59)*J59</f>
        <v>723.81000000000006</v>
      </c>
      <c r="L59" s="208"/>
      <c r="M59" s="643">
        <v>0.5</v>
      </c>
      <c r="N59" s="640">
        <f t="shared" si="28"/>
        <v>3619.05</v>
      </c>
      <c r="O59" s="208"/>
      <c r="P59" s="208"/>
      <c r="Q59" s="208"/>
      <c r="R59" s="637">
        <f t="shared" ref="R59:R67" si="35">F59+H59+I59</f>
        <v>7238.1</v>
      </c>
      <c r="S59" s="637">
        <f t="shared" si="29"/>
        <v>6294</v>
      </c>
      <c r="T59" s="713">
        <f t="shared" si="31"/>
        <v>3949.2175679399998</v>
      </c>
      <c r="U59" s="641">
        <f t="shared" si="30"/>
        <v>15530.177567940002</v>
      </c>
      <c r="V59" s="495">
        <f t="shared" si="32"/>
        <v>199894.23081528003</v>
      </c>
    </row>
    <row r="60" spans="1:25" ht="13.15" customHeight="1">
      <c r="A60" s="208">
        <v>4</v>
      </c>
      <c r="B60" s="741" t="s">
        <v>859</v>
      </c>
      <c r="C60" s="742">
        <v>1</v>
      </c>
      <c r="D60" s="742">
        <v>10</v>
      </c>
      <c r="E60" s="743">
        <v>5815</v>
      </c>
      <c r="F60" s="744">
        <f t="shared" si="27"/>
        <v>5815</v>
      </c>
      <c r="G60" s="745">
        <v>0.15</v>
      </c>
      <c r="H60" s="742">
        <f t="shared" si="33"/>
        <v>872.25</v>
      </c>
      <c r="I60" s="742">
        <f>F60*0.2</f>
        <v>1163</v>
      </c>
      <c r="J60" s="745">
        <v>0.1</v>
      </c>
      <c r="K60" s="746">
        <f t="shared" si="34"/>
        <v>785.02500000000009</v>
      </c>
      <c r="L60" s="742"/>
      <c r="M60" s="747">
        <v>0.5</v>
      </c>
      <c r="N60" s="746">
        <f t="shared" si="28"/>
        <v>3925.125</v>
      </c>
      <c r="O60" s="742"/>
      <c r="P60" s="742"/>
      <c r="Q60" s="742"/>
      <c r="R60" s="744">
        <f t="shared" si="35"/>
        <v>7850.25</v>
      </c>
      <c r="S60" s="744">
        <f t="shared" si="29"/>
        <v>5815</v>
      </c>
      <c r="T60" s="713">
        <f t="shared" si="31"/>
        <v>3648.6654206499998</v>
      </c>
      <c r="U60" s="748">
        <f t="shared" si="30"/>
        <v>16209.06542065</v>
      </c>
      <c r="V60" s="749">
        <f t="shared" si="32"/>
        <v>208174.03504779999</v>
      </c>
    </row>
    <row r="61" spans="1:25" ht="14.45" customHeight="1">
      <c r="A61" s="208">
        <v>5</v>
      </c>
      <c r="B61" s="638" t="s">
        <v>860</v>
      </c>
      <c r="C61" s="208">
        <v>1</v>
      </c>
      <c r="D61" s="208">
        <v>10</v>
      </c>
      <c r="E61" s="644">
        <v>5815</v>
      </c>
      <c r="F61" s="637">
        <f t="shared" si="27"/>
        <v>5815</v>
      </c>
      <c r="G61" s="639">
        <v>0.15</v>
      </c>
      <c r="H61" s="640">
        <f t="shared" si="33"/>
        <v>872.25</v>
      </c>
      <c r="I61" s="208"/>
      <c r="J61" s="639"/>
      <c r="K61" s="640">
        <f t="shared" si="34"/>
        <v>0</v>
      </c>
      <c r="L61" s="208"/>
      <c r="M61" s="643">
        <v>0.5</v>
      </c>
      <c r="N61" s="640">
        <f t="shared" si="28"/>
        <v>3343.625</v>
      </c>
      <c r="O61" s="208"/>
      <c r="P61" s="208"/>
      <c r="Q61" s="208"/>
      <c r="R61" s="637">
        <f t="shared" si="35"/>
        <v>6687.25</v>
      </c>
      <c r="S61" s="637">
        <f t="shared" si="29"/>
        <v>5815</v>
      </c>
      <c r="T61" s="713">
        <f t="shared" si="31"/>
        <v>3648.6654206499998</v>
      </c>
      <c r="U61" s="641">
        <f t="shared" si="30"/>
        <v>13679.540420649999</v>
      </c>
      <c r="V61" s="495">
        <f t="shared" si="32"/>
        <v>176656.7350478</v>
      </c>
      <c r="W61" s="384" t="s">
        <v>714</v>
      </c>
    </row>
    <row r="62" spans="1:25" ht="13.9" customHeight="1">
      <c r="A62" s="208">
        <v>6</v>
      </c>
      <c r="B62" s="638" t="s">
        <v>601</v>
      </c>
      <c r="C62" s="208">
        <v>1</v>
      </c>
      <c r="D62" s="208">
        <v>9</v>
      </c>
      <c r="E62" s="208">
        <v>5527</v>
      </c>
      <c r="F62" s="637">
        <f t="shared" si="27"/>
        <v>5527</v>
      </c>
      <c r="G62" s="639">
        <v>0.15</v>
      </c>
      <c r="H62" s="640">
        <f t="shared" si="33"/>
        <v>829.05</v>
      </c>
      <c r="I62" s="208"/>
      <c r="J62" s="639"/>
      <c r="K62" s="640">
        <f t="shared" si="34"/>
        <v>0</v>
      </c>
      <c r="L62" s="208"/>
      <c r="M62" s="643">
        <v>0.5</v>
      </c>
      <c r="N62" s="640">
        <f t="shared" si="28"/>
        <v>3178.0250000000001</v>
      </c>
      <c r="O62" s="208"/>
      <c r="P62" s="208"/>
      <c r="Q62" s="208"/>
      <c r="R62" s="637">
        <f t="shared" si="35"/>
        <v>6356.05</v>
      </c>
      <c r="S62" s="637">
        <f t="shared" si="29"/>
        <v>5527</v>
      </c>
      <c r="T62" s="713">
        <f t="shared" si="31"/>
        <v>3467.9576577699995</v>
      </c>
      <c r="U62" s="641">
        <f t="shared" si="30"/>
        <v>13002.03265777</v>
      </c>
      <c r="V62" s="495">
        <f t="shared" si="32"/>
        <v>167907.44189323997</v>
      </c>
      <c r="W62" s="455">
        <f>ROUND((E63+(H63/4)+(I63/4)+(K63/4)+(N63/4)+(T63/4))*12+(R63/4)+(S63/4),2)</f>
        <v>215771.26</v>
      </c>
      <c r="X62" t="s">
        <v>754</v>
      </c>
    </row>
    <row r="63" spans="1:25" ht="16.899999999999999" customHeight="1">
      <c r="A63" s="792">
        <v>7</v>
      </c>
      <c r="B63" s="793" t="s">
        <v>41</v>
      </c>
      <c r="C63" s="792">
        <v>4</v>
      </c>
      <c r="D63" s="792">
        <v>9</v>
      </c>
      <c r="E63" s="792">
        <v>5527</v>
      </c>
      <c r="F63" s="794">
        <f>E63*C63</f>
        <v>22108</v>
      </c>
      <c r="G63" s="795">
        <v>0.15</v>
      </c>
      <c r="H63" s="792">
        <f>F63*G63</f>
        <v>3316.2</v>
      </c>
      <c r="I63" s="792">
        <f>F63*0.2</f>
        <v>4421.6000000000004</v>
      </c>
      <c r="J63" s="795">
        <v>0.3</v>
      </c>
      <c r="K63" s="713">
        <f>(F63+H63+I63)*J63</f>
        <v>8953.74</v>
      </c>
      <c r="L63" s="792"/>
      <c r="M63" s="796">
        <v>0.5</v>
      </c>
      <c r="N63" s="713">
        <f>(F63+H63+I63)*M63</f>
        <v>14922.900000000001</v>
      </c>
      <c r="O63" s="792">
        <f>(F63)*0.2</f>
        <v>4421.6000000000004</v>
      </c>
      <c r="P63" s="792"/>
      <c r="Q63" s="792"/>
      <c r="R63" s="794">
        <f>F63+H63+I63</f>
        <v>29845.800000000003</v>
      </c>
      <c r="S63" s="794">
        <f t="shared" si="29"/>
        <v>22108</v>
      </c>
      <c r="T63" s="713">
        <f>F63*62.745751%</f>
        <v>13871.830631079998</v>
      </c>
      <c r="U63" s="797">
        <f>F63+H63+I63+K63+L63+N63+O63+P63+Q63+T63</f>
        <v>72015.870631080004</v>
      </c>
      <c r="V63" s="714">
        <f>(U63*12)+R63+S63</f>
        <v>916144.2475729601</v>
      </c>
      <c r="W63" s="127">
        <f>V63-W62</f>
        <v>700372.98757296009</v>
      </c>
    </row>
    <row r="64" spans="1:25" ht="13.9" customHeight="1">
      <c r="A64" s="208">
        <v>8</v>
      </c>
      <c r="B64" s="638" t="s">
        <v>40</v>
      </c>
      <c r="C64" s="208">
        <v>1</v>
      </c>
      <c r="D64" s="208">
        <v>8</v>
      </c>
      <c r="E64" s="208">
        <v>5240</v>
      </c>
      <c r="F64" s="637">
        <f t="shared" si="27"/>
        <v>5240</v>
      </c>
      <c r="G64" s="639">
        <v>0.15</v>
      </c>
      <c r="H64" s="208">
        <f t="shared" si="33"/>
        <v>786</v>
      </c>
      <c r="I64" s="208">
        <f>F64*0.2</f>
        <v>1048</v>
      </c>
      <c r="J64" s="639">
        <v>0.3</v>
      </c>
      <c r="K64" s="640">
        <f t="shared" si="34"/>
        <v>2122.1999999999998</v>
      </c>
      <c r="L64" s="208"/>
      <c r="M64" s="643">
        <v>0.5</v>
      </c>
      <c r="N64" s="640">
        <f t="shared" si="28"/>
        <v>3537</v>
      </c>
      <c r="O64" s="208">
        <f>F64*0.2</f>
        <v>1048</v>
      </c>
      <c r="P64" s="208"/>
      <c r="Q64" s="208"/>
      <c r="R64" s="637">
        <f t="shared" si="35"/>
        <v>7074</v>
      </c>
      <c r="S64" s="637">
        <f t="shared" si="29"/>
        <v>5240</v>
      </c>
      <c r="T64" s="713">
        <f t="shared" si="31"/>
        <v>3287.8773523999998</v>
      </c>
      <c r="U64" s="641">
        <f t="shared" si="30"/>
        <v>17069.0773524</v>
      </c>
      <c r="V64" s="495">
        <f t="shared" si="32"/>
        <v>217142.92822880001</v>
      </c>
      <c r="W64" s="403">
        <f>ROUND((W63+V64+V65)/5,2)</f>
        <v>222685.56</v>
      </c>
      <c r="Y64" s="127">
        <f>V63-W62</f>
        <v>700372.98757296009</v>
      </c>
    </row>
    <row r="65" spans="1:29" ht="13.9" customHeight="1">
      <c r="A65" s="208">
        <v>9</v>
      </c>
      <c r="B65" s="638" t="s">
        <v>39</v>
      </c>
      <c r="C65" s="208">
        <v>1</v>
      </c>
      <c r="D65" s="208">
        <v>7</v>
      </c>
      <c r="E65" s="208">
        <v>4920</v>
      </c>
      <c r="F65" s="637">
        <v>4920</v>
      </c>
      <c r="G65" s="639">
        <v>0.15</v>
      </c>
      <c r="H65" s="208">
        <f t="shared" si="33"/>
        <v>738</v>
      </c>
      <c r="I65" s="208">
        <f>F65*J65</f>
        <v>984</v>
      </c>
      <c r="J65" s="639">
        <v>0.2</v>
      </c>
      <c r="K65" s="640">
        <f t="shared" si="34"/>
        <v>1328.4</v>
      </c>
      <c r="L65" s="208"/>
      <c r="M65" s="643">
        <v>0.5</v>
      </c>
      <c r="N65" s="640">
        <f t="shared" si="28"/>
        <v>3321</v>
      </c>
      <c r="O65" s="208">
        <f>F65*0.2</f>
        <v>984</v>
      </c>
      <c r="P65" s="208"/>
      <c r="Q65" s="208"/>
      <c r="R65" s="637">
        <f t="shared" si="35"/>
        <v>6642</v>
      </c>
      <c r="S65" s="637">
        <f t="shared" si="29"/>
        <v>4920</v>
      </c>
      <c r="T65" s="713">
        <f t="shared" si="31"/>
        <v>3087.0909491999996</v>
      </c>
      <c r="U65" s="641">
        <f t="shared" si="30"/>
        <v>15362.490949199999</v>
      </c>
      <c r="V65" s="495">
        <f t="shared" si="32"/>
        <v>195911.89139039998</v>
      </c>
      <c r="W65" s="403">
        <f>(V66+V67)/5</f>
        <v>182982.60572596002</v>
      </c>
    </row>
    <row r="66" spans="1:29" ht="12" customHeight="1">
      <c r="A66" s="208">
        <v>10</v>
      </c>
      <c r="B66" s="638" t="s">
        <v>35</v>
      </c>
      <c r="C66" s="208">
        <v>2</v>
      </c>
      <c r="D66" s="208">
        <v>6</v>
      </c>
      <c r="E66" s="208">
        <v>4633</v>
      </c>
      <c r="F66" s="637">
        <f>E66*C66</f>
        <v>9266</v>
      </c>
      <c r="G66" s="637"/>
      <c r="H66" s="640">
        <f>F66*15%</f>
        <v>1389.8999999999999</v>
      </c>
      <c r="I66" s="640">
        <f>F66*20%</f>
        <v>1853.2</v>
      </c>
      <c r="J66" s="639">
        <v>0.3</v>
      </c>
      <c r="K66" s="640">
        <f t="shared" si="34"/>
        <v>3752.73</v>
      </c>
      <c r="L66" s="208"/>
      <c r="M66" s="643">
        <v>0.5</v>
      </c>
      <c r="N66" s="640">
        <f t="shared" si="28"/>
        <v>6254.55</v>
      </c>
      <c r="O66" s="208">
        <f>F66*0.2</f>
        <v>1853.2</v>
      </c>
      <c r="P66" s="208"/>
      <c r="Q66" s="208"/>
      <c r="R66" s="637">
        <f t="shared" si="35"/>
        <v>12509.1</v>
      </c>
      <c r="S66" s="637">
        <f t="shared" si="29"/>
        <v>9266</v>
      </c>
      <c r="T66" s="713">
        <f t="shared" si="31"/>
        <v>5814.0212876599999</v>
      </c>
      <c r="U66" s="641">
        <f t="shared" si="30"/>
        <v>30183.60128766</v>
      </c>
      <c r="V66" s="495">
        <f t="shared" si="32"/>
        <v>383978.31545191997</v>
      </c>
    </row>
    <row r="67" spans="1:29" ht="12" customHeight="1">
      <c r="A67" s="208">
        <v>11</v>
      </c>
      <c r="B67" s="638" t="s">
        <v>35</v>
      </c>
      <c r="C67" s="208">
        <v>3</v>
      </c>
      <c r="D67" s="208">
        <v>6</v>
      </c>
      <c r="E67" s="208">
        <v>4633</v>
      </c>
      <c r="F67" s="637">
        <f>E67*C67</f>
        <v>13899</v>
      </c>
      <c r="G67" s="637"/>
      <c r="H67" s="640">
        <f>F67*15%</f>
        <v>2084.85</v>
      </c>
      <c r="I67" s="640">
        <f>F67*20%</f>
        <v>2779.8</v>
      </c>
      <c r="J67" s="639">
        <v>0.1</v>
      </c>
      <c r="K67" s="640">
        <f t="shared" si="34"/>
        <v>1876.3650000000002</v>
      </c>
      <c r="L67" s="208"/>
      <c r="M67" s="643">
        <v>0.5</v>
      </c>
      <c r="N67" s="640">
        <f t="shared" si="28"/>
        <v>9381.8250000000007</v>
      </c>
      <c r="O67" s="208">
        <f>F67*0.2</f>
        <v>2779.8</v>
      </c>
      <c r="P67" s="208"/>
      <c r="Q67" s="208"/>
      <c r="R67" s="637">
        <f t="shared" si="35"/>
        <v>18763.650000000001</v>
      </c>
      <c r="S67" s="637">
        <f t="shared" si="29"/>
        <v>13899</v>
      </c>
      <c r="T67" s="713">
        <f t="shared" si="31"/>
        <v>8721.0319314899989</v>
      </c>
      <c r="U67" s="641">
        <f t="shared" si="30"/>
        <v>41522.671931490004</v>
      </c>
      <c r="V67" s="495">
        <f t="shared" si="32"/>
        <v>530934.71317788004</v>
      </c>
    </row>
    <row r="68" spans="1:29" ht="44.45" customHeight="1">
      <c r="A68" s="370"/>
      <c r="B68" s="654" t="s">
        <v>48</v>
      </c>
      <c r="C68" s="655">
        <f>SUM(C57:C67)</f>
        <v>17</v>
      </c>
      <c r="D68" s="370"/>
      <c r="E68" s="370"/>
      <c r="F68" s="495">
        <f>SUM(F57:F67)</f>
        <v>94133.55</v>
      </c>
      <c r="G68" s="495"/>
      <c r="H68" s="495">
        <f>SUM(H57:H67)</f>
        <v>11832.599999999999</v>
      </c>
      <c r="I68" s="495">
        <f>SUM(I57:I67)</f>
        <v>12249.600000000002</v>
      </c>
      <c r="J68" s="495" t="s">
        <v>31</v>
      </c>
      <c r="K68" s="495">
        <f>SUM(K57:K67)</f>
        <v>21767.88</v>
      </c>
      <c r="L68" s="495">
        <f>SUM(L57:L67)</f>
        <v>0</v>
      </c>
      <c r="M68" s="495" t="s">
        <v>31</v>
      </c>
      <c r="N68" s="495">
        <f t="shared" ref="N68:V68" si="36">SUM(N57:N67)</f>
        <v>59107.875</v>
      </c>
      <c r="O68" s="495">
        <f t="shared" si="36"/>
        <v>11086.600000000002</v>
      </c>
      <c r="P68" s="495">
        <f t="shared" si="36"/>
        <v>0</v>
      </c>
      <c r="Q68" s="495">
        <f t="shared" si="36"/>
        <v>0</v>
      </c>
      <c r="R68" s="495">
        <f t="shared" si="36"/>
        <v>118215.75</v>
      </c>
      <c r="S68" s="495">
        <f t="shared" si="36"/>
        <v>94133.55</v>
      </c>
      <c r="T68" s="714">
        <f t="shared" si="36"/>
        <v>59064.802890460487</v>
      </c>
      <c r="U68" s="495">
        <f t="shared" si="36"/>
        <v>269242.90789046051</v>
      </c>
      <c r="V68" s="495">
        <f t="shared" si="36"/>
        <v>3443264.1946855262</v>
      </c>
    </row>
    <row r="69" spans="1:29" ht="14.45" customHeight="1">
      <c r="A69" s="1061" t="s">
        <v>42</v>
      </c>
      <c r="B69" s="1062"/>
      <c r="C69" s="1062"/>
      <c r="D69" s="1062"/>
      <c r="E69" s="1062"/>
      <c r="F69" s="1062"/>
      <c r="G69" s="1062"/>
      <c r="H69" s="1062"/>
      <c r="I69" s="1062"/>
      <c r="J69" s="1062"/>
      <c r="K69" s="1062"/>
      <c r="L69" s="1062"/>
      <c r="M69" s="1062"/>
      <c r="N69" s="1062"/>
      <c r="O69" s="1062"/>
      <c r="P69" s="1062"/>
      <c r="Q69" s="1062"/>
      <c r="R69" s="1062"/>
      <c r="S69" s="1062"/>
      <c r="T69" s="1062"/>
      <c r="U69" s="1062"/>
      <c r="V69" s="1063"/>
      <c r="X69" t="s">
        <v>709</v>
      </c>
    </row>
    <row r="70" spans="1:29" ht="13.15" customHeight="1">
      <c r="A70" s="208">
        <v>1</v>
      </c>
      <c r="B70" s="638" t="s">
        <v>33</v>
      </c>
      <c r="C70" s="208">
        <v>1</v>
      </c>
      <c r="D70" s="208">
        <v>15</v>
      </c>
      <c r="E70" s="208">
        <v>8243</v>
      </c>
      <c r="F70" s="208">
        <f t="shared" ref="F70:F76" si="37">E70*C70</f>
        <v>8243</v>
      </c>
      <c r="G70" s="208"/>
      <c r="H70" s="208"/>
      <c r="I70" s="208"/>
      <c r="J70" s="639">
        <v>0.1</v>
      </c>
      <c r="K70" s="640">
        <f>F70*J70</f>
        <v>824.30000000000007</v>
      </c>
      <c r="L70" s="208"/>
      <c r="M70" s="643">
        <v>0.5</v>
      </c>
      <c r="N70" s="640">
        <f>F70*M70</f>
        <v>4121.5</v>
      </c>
      <c r="O70" s="208"/>
      <c r="P70" s="208"/>
      <c r="Q70" s="208"/>
      <c r="R70" s="208">
        <f>F70</f>
        <v>8243</v>
      </c>
      <c r="S70" s="208">
        <f t="shared" ref="S70:S76" si="38">F70</f>
        <v>8243</v>
      </c>
      <c r="T70" s="713">
        <f>F70*62.745751%</f>
        <v>5172.1322549299994</v>
      </c>
      <c r="U70" s="641">
        <f t="shared" ref="U70:U76" si="39">F70+H70+I70+K70+L70+N70+O70+P70+Q70+T70</f>
        <v>18360.932254929998</v>
      </c>
      <c r="V70" s="495">
        <f>(U70*12)+S70+R70</f>
        <v>236817.18705915997</v>
      </c>
    </row>
    <row r="71" spans="1:29" ht="13.9" customHeight="1">
      <c r="A71" s="208">
        <v>2</v>
      </c>
      <c r="B71" s="638" t="s">
        <v>37</v>
      </c>
      <c r="C71" s="208">
        <v>1</v>
      </c>
      <c r="D71" s="643">
        <v>-0.15</v>
      </c>
      <c r="E71" s="644">
        <f>E70-(E70*15%)</f>
        <v>7006.55</v>
      </c>
      <c r="F71" s="644">
        <f t="shared" si="37"/>
        <v>7006.55</v>
      </c>
      <c r="G71" s="208"/>
      <c r="H71" s="208"/>
      <c r="I71" s="208"/>
      <c r="J71" s="639">
        <v>0.1</v>
      </c>
      <c r="K71" s="640">
        <f>F71*J71</f>
        <v>700.65500000000009</v>
      </c>
      <c r="L71" s="208"/>
      <c r="M71" s="643">
        <v>0.5</v>
      </c>
      <c r="N71" s="640">
        <f>F71*M71</f>
        <v>3503.2750000000001</v>
      </c>
      <c r="O71" s="208"/>
      <c r="P71" s="208"/>
      <c r="Q71" s="208"/>
      <c r="R71" s="208">
        <f>F71</f>
        <v>7006.55</v>
      </c>
      <c r="S71" s="208">
        <f t="shared" si="38"/>
        <v>7006.55</v>
      </c>
      <c r="T71" s="713">
        <f t="shared" ref="T71:T76" si="40">F71*62.745751%</f>
        <v>4396.3124166905</v>
      </c>
      <c r="U71" s="641">
        <f t="shared" si="39"/>
        <v>15606.7924166905</v>
      </c>
      <c r="V71" s="495">
        <f t="shared" ref="V71:V75" si="41">(U71*12)+S71+R71</f>
        <v>201294.60900028597</v>
      </c>
      <c r="W71" s="403">
        <f>V75/3</f>
        <v>147141.71772595998</v>
      </c>
    </row>
    <row r="72" spans="1:29" ht="13.15" customHeight="1">
      <c r="A72" s="208">
        <v>3</v>
      </c>
      <c r="B72" s="638" t="s">
        <v>25</v>
      </c>
      <c r="C72" s="208">
        <v>1</v>
      </c>
      <c r="D72" s="208">
        <v>11</v>
      </c>
      <c r="E72" s="208">
        <v>6294</v>
      </c>
      <c r="F72" s="208">
        <f t="shared" si="37"/>
        <v>6294</v>
      </c>
      <c r="G72" s="643">
        <v>0.15</v>
      </c>
      <c r="H72" s="208">
        <f>F72*G72</f>
        <v>944.09999999999991</v>
      </c>
      <c r="I72" s="208"/>
      <c r="J72" s="639">
        <v>0.1</v>
      </c>
      <c r="K72" s="640">
        <f>(F72+H72)*J72</f>
        <v>723.81000000000006</v>
      </c>
      <c r="L72" s="208"/>
      <c r="M72" s="643">
        <v>0.5</v>
      </c>
      <c r="N72" s="640">
        <f>(F72+H72+I72)*M72</f>
        <v>3619.05</v>
      </c>
      <c r="O72" s="208"/>
      <c r="P72" s="208"/>
      <c r="Q72" s="208"/>
      <c r="R72" s="208">
        <f>F72+H72+I72</f>
        <v>7238.1</v>
      </c>
      <c r="S72" s="208">
        <f t="shared" si="38"/>
        <v>6294</v>
      </c>
      <c r="T72" s="713">
        <f t="shared" si="40"/>
        <v>3949.2175679399998</v>
      </c>
      <c r="U72" s="641">
        <f t="shared" si="39"/>
        <v>15530.177567940002</v>
      </c>
      <c r="V72" s="495">
        <f t="shared" si="41"/>
        <v>199894.23081528003</v>
      </c>
      <c r="W72" t="s">
        <v>921</v>
      </c>
    </row>
    <row r="73" spans="1:29" ht="13.15" customHeight="1">
      <c r="A73" s="208">
        <v>4</v>
      </c>
      <c r="B73" s="647" t="s">
        <v>861</v>
      </c>
      <c r="C73" s="648">
        <v>1</v>
      </c>
      <c r="D73" s="648">
        <v>11</v>
      </c>
      <c r="E73" s="648">
        <v>6294</v>
      </c>
      <c r="F73" s="648">
        <f t="shared" si="37"/>
        <v>6294</v>
      </c>
      <c r="G73" s="643">
        <v>0.15</v>
      </c>
      <c r="H73" s="208">
        <f>F73*G73</f>
        <v>944.09999999999991</v>
      </c>
      <c r="I73" s="648"/>
      <c r="J73" s="658">
        <v>0.1</v>
      </c>
      <c r="K73" s="640">
        <f>(F73+H73)*J73</f>
        <v>723.81000000000006</v>
      </c>
      <c r="L73" s="648"/>
      <c r="M73" s="651">
        <v>0.5</v>
      </c>
      <c r="N73" s="640">
        <f>(F73+H73+I73)*M73</f>
        <v>3619.05</v>
      </c>
      <c r="O73" s="648"/>
      <c r="P73" s="648"/>
      <c r="Q73" s="648"/>
      <c r="R73" s="208">
        <f>F73+H73+I73</f>
        <v>7238.1</v>
      </c>
      <c r="S73" s="208">
        <f t="shared" si="38"/>
        <v>6294</v>
      </c>
      <c r="T73" s="713">
        <f t="shared" si="40"/>
        <v>3949.2175679399998</v>
      </c>
      <c r="U73" s="641">
        <f t="shared" si="39"/>
        <v>15530.177567940002</v>
      </c>
      <c r="V73" s="495">
        <f t="shared" si="41"/>
        <v>199894.23081528003</v>
      </c>
      <c r="AA73">
        <f>V63/4</f>
        <v>229036.06189324002</v>
      </c>
      <c r="AC73">
        <f>O63*12</f>
        <v>53059.200000000004</v>
      </c>
    </row>
    <row r="74" spans="1:29" ht="14.45" customHeight="1">
      <c r="A74" s="208">
        <v>5</v>
      </c>
      <c r="B74" s="638" t="s">
        <v>862</v>
      </c>
      <c r="C74" s="208">
        <v>1</v>
      </c>
      <c r="D74" s="208">
        <v>10</v>
      </c>
      <c r="E74" s="208">
        <v>5815</v>
      </c>
      <c r="F74" s="208">
        <f t="shared" si="37"/>
        <v>5815</v>
      </c>
      <c r="G74" s="643">
        <v>0.15</v>
      </c>
      <c r="H74" s="208">
        <f>F74*G74</f>
        <v>872.25</v>
      </c>
      <c r="I74" s="208"/>
      <c r="J74" s="639">
        <v>0.2</v>
      </c>
      <c r="K74" s="640">
        <f>(F74+H74)*J74</f>
        <v>1337.45</v>
      </c>
      <c r="L74" s="208"/>
      <c r="M74" s="643">
        <v>0.5</v>
      </c>
      <c r="N74" s="640">
        <f>(F74+H74+I74)*M74</f>
        <v>3343.625</v>
      </c>
      <c r="O74" s="208"/>
      <c r="P74" s="208"/>
      <c r="Q74" s="208"/>
      <c r="R74" s="208">
        <f>F74+H74+I74</f>
        <v>6687.25</v>
      </c>
      <c r="S74" s="208">
        <f t="shared" si="38"/>
        <v>5815</v>
      </c>
      <c r="T74" s="713">
        <f t="shared" si="40"/>
        <v>3648.6654206499998</v>
      </c>
      <c r="U74" s="641">
        <f t="shared" si="39"/>
        <v>15016.99042065</v>
      </c>
      <c r="V74" s="495">
        <f t="shared" si="41"/>
        <v>192706.13504779999</v>
      </c>
    </row>
    <row r="75" spans="1:29" ht="13.15" customHeight="1">
      <c r="A75" s="208">
        <v>6</v>
      </c>
      <c r="B75" s="638" t="s">
        <v>35</v>
      </c>
      <c r="C75" s="208">
        <v>3</v>
      </c>
      <c r="D75" s="208">
        <v>6</v>
      </c>
      <c r="E75" s="208">
        <v>4633</v>
      </c>
      <c r="F75" s="208">
        <f t="shared" si="37"/>
        <v>13899</v>
      </c>
      <c r="G75" s="643">
        <v>0.15</v>
      </c>
      <c r="H75" s="208">
        <f>F75*G75</f>
        <v>2084.85</v>
      </c>
      <c r="I75" s="208"/>
      <c r="J75" s="639">
        <v>0.1</v>
      </c>
      <c r="K75" s="640">
        <f>(F75+H75)*J75</f>
        <v>1598.3850000000002</v>
      </c>
      <c r="L75" s="208"/>
      <c r="M75" s="643">
        <v>0.5</v>
      </c>
      <c r="N75" s="640">
        <f>(F75+H75+I75)*M75</f>
        <v>7991.9250000000002</v>
      </c>
      <c r="O75" s="208"/>
      <c r="P75" s="208"/>
      <c r="Q75" s="640"/>
      <c r="R75" s="208">
        <f>F75+H75+I75</f>
        <v>15983.85</v>
      </c>
      <c r="S75" s="208">
        <f t="shared" si="38"/>
        <v>13899</v>
      </c>
      <c r="T75" s="713">
        <f t="shared" si="40"/>
        <v>8721.0319314899989</v>
      </c>
      <c r="U75" s="641">
        <f t="shared" si="39"/>
        <v>34295.191931490001</v>
      </c>
      <c r="V75" s="495">
        <f t="shared" si="41"/>
        <v>441425.15317787998</v>
      </c>
      <c r="AB75">
        <f>AA73-AC73</f>
        <v>175976.86189324001</v>
      </c>
    </row>
    <row r="76" spans="1:29" ht="13.9" customHeight="1">
      <c r="A76" s="208">
        <v>7</v>
      </c>
      <c r="B76" s="638" t="s">
        <v>43</v>
      </c>
      <c r="C76" s="208">
        <v>1</v>
      </c>
      <c r="D76" s="208">
        <v>3</v>
      </c>
      <c r="E76" s="208">
        <v>3770</v>
      </c>
      <c r="F76" s="208">
        <f t="shared" si="37"/>
        <v>3770</v>
      </c>
      <c r="G76" s="643">
        <v>0.04</v>
      </c>
      <c r="H76" s="208">
        <f>F76*G76</f>
        <v>150.80000000000001</v>
      </c>
      <c r="I76" s="640">
        <f>F76*20%</f>
        <v>754</v>
      </c>
      <c r="J76" s="208"/>
      <c r="K76" s="640">
        <f>(F76+H76)*J76</f>
        <v>0</v>
      </c>
      <c r="L76" s="208"/>
      <c r="M76" s="643">
        <v>0.5</v>
      </c>
      <c r="N76" s="640">
        <f>(F76+H76+I76)*M76</f>
        <v>2337.4</v>
      </c>
      <c r="O76" s="208"/>
      <c r="P76" s="208"/>
      <c r="Q76" s="3">
        <v>987.8</v>
      </c>
      <c r="R76" s="640">
        <f>F76+H76+I76</f>
        <v>4674.8</v>
      </c>
      <c r="S76" s="208">
        <f t="shared" si="38"/>
        <v>3770</v>
      </c>
      <c r="T76" s="713">
        <f t="shared" si="40"/>
        <v>2365.5148126999998</v>
      </c>
      <c r="U76" s="641">
        <f t="shared" si="39"/>
        <v>10365.514812700001</v>
      </c>
      <c r="V76" s="495">
        <f>(U76*12)+S76+R76</f>
        <v>132830.97775240001</v>
      </c>
    </row>
    <row r="77" spans="1:29" ht="42" customHeight="1">
      <c r="A77" s="208"/>
      <c r="B77" s="654" t="s">
        <v>50</v>
      </c>
      <c r="C77" s="655">
        <f>SUM(C70:C76)</f>
        <v>9</v>
      </c>
      <c r="D77" s="208"/>
      <c r="E77" s="208"/>
      <c r="F77" s="495">
        <f>SUM(F70:F76)</f>
        <v>51321.55</v>
      </c>
      <c r="G77" s="495"/>
      <c r="H77" s="495">
        <f>SUM(H70:H76)</f>
        <v>4996.0999999999995</v>
      </c>
      <c r="I77" s="661">
        <f>SUM(I70:I76)</f>
        <v>754</v>
      </c>
      <c r="J77" s="495" t="s">
        <v>31</v>
      </c>
      <c r="K77" s="495">
        <f>SUM(K70:K76)</f>
        <v>5908.4100000000008</v>
      </c>
      <c r="L77" s="495">
        <f>SUM(L70:L76)</f>
        <v>0</v>
      </c>
      <c r="M77" s="495" t="s">
        <v>31</v>
      </c>
      <c r="N77" s="495">
        <f t="shared" ref="N77:Q77" si="42">SUM(N70:N76)</f>
        <v>28535.825000000001</v>
      </c>
      <c r="O77" s="495">
        <f t="shared" si="42"/>
        <v>0</v>
      </c>
      <c r="P77" s="495">
        <f t="shared" si="42"/>
        <v>0</v>
      </c>
      <c r="Q77" s="495">
        <f t="shared" si="42"/>
        <v>987.8</v>
      </c>
      <c r="R77" s="495">
        <f>SUM(R70:R76)</f>
        <v>57071.65</v>
      </c>
      <c r="S77" s="495">
        <f>SUM(S70:S76)</f>
        <v>51321.55</v>
      </c>
      <c r="T77" s="714">
        <f>SUM(T70:T76)</f>
        <v>32202.091972340495</v>
      </c>
      <c r="U77" s="495">
        <f>SUM(U70:U76)</f>
        <v>124705.77697234049</v>
      </c>
      <c r="V77" s="495">
        <f>SUM(V70:V76)</f>
        <v>1604862.5236680862</v>
      </c>
      <c r="W77" s="127"/>
    </row>
    <row r="78" spans="1:29">
      <c r="A78" s="716"/>
      <c r="B78" s="717" t="s">
        <v>44</v>
      </c>
      <c r="C78" s="718">
        <f>C77+C68+C42+C55+C34</f>
        <v>146</v>
      </c>
      <c r="D78" s="718">
        <f>D77+D68+D42+D55+D34</f>
        <v>0</v>
      </c>
      <c r="E78" s="718">
        <f>E77+E68+E42+E55+E34</f>
        <v>0</v>
      </c>
      <c r="F78" s="719">
        <f>F34+F55+F42+F68+F77</f>
        <v>741679.15000000014</v>
      </c>
      <c r="G78" s="719"/>
      <c r="H78" s="719">
        <f>H34+H55+H42+H68+H77</f>
        <v>84992.265000000014</v>
      </c>
      <c r="I78" s="719">
        <f>I34+I55+I42+I68+I77</f>
        <v>93154.5</v>
      </c>
      <c r="J78" s="718"/>
      <c r="K78" s="719">
        <f>K34+K55+K42+K68+K77</f>
        <v>131562.01749999999</v>
      </c>
      <c r="L78" s="718"/>
      <c r="M78" s="718"/>
      <c r="N78" s="718">
        <f t="shared" ref="N78:T78" si="43">N34+N55+N42+N68+N77</f>
        <v>459912.95750000002</v>
      </c>
      <c r="O78" s="718">
        <f t="shared" si="43"/>
        <v>12748.000000000002</v>
      </c>
      <c r="P78" s="718">
        <f t="shared" si="43"/>
        <v>639</v>
      </c>
      <c r="Q78" s="718">
        <f t="shared" si="43"/>
        <v>22836.239999999998</v>
      </c>
      <c r="R78" s="718">
        <f t="shared" si="43"/>
        <v>919825.91500000004</v>
      </c>
      <c r="S78" s="719">
        <f t="shared" si="43"/>
        <v>741679.15000000014</v>
      </c>
      <c r="T78" s="714">
        <f t="shared" si="43"/>
        <v>474320.94845535641</v>
      </c>
      <c r="U78" s="719">
        <f>U77+U68+U55+U42+U34</f>
        <v>2021845.0784553564</v>
      </c>
      <c r="V78" s="719">
        <f>V34+V42+V55+V68+V77-0.01</f>
        <v>25923645.996464279</v>
      </c>
    </row>
    <row r="79" spans="1:29">
      <c r="A79" s="680"/>
      <c r="B79" s="681"/>
      <c r="C79" s="682"/>
      <c r="D79" s="682"/>
      <c r="E79" s="682"/>
      <c r="F79" s="683"/>
      <c r="G79" s="683"/>
      <c r="H79" s="683"/>
      <c r="I79" s="683"/>
      <c r="J79" s="682"/>
      <c r="K79" s="683"/>
      <c r="L79" s="682"/>
      <c r="M79" s="682"/>
      <c r="N79" s="682"/>
      <c r="O79" s="682"/>
      <c r="P79" s="682"/>
      <c r="Q79" s="682"/>
      <c r="R79" s="682"/>
      <c r="S79" s="682"/>
      <c r="T79" s="682"/>
      <c r="U79" s="683"/>
      <c r="V79" s="683"/>
    </row>
    <row r="80" spans="1:29">
      <c r="A80" s="636"/>
      <c r="B80" s="636"/>
      <c r="C80" s="636"/>
      <c r="D80" s="636"/>
      <c r="E80" s="636"/>
      <c r="F80" s="636"/>
      <c r="G80" s="636"/>
      <c r="H80" s="636"/>
      <c r="I80" s="636"/>
      <c r="J80" s="636"/>
      <c r="K80" s="636"/>
      <c r="L80" s="636"/>
      <c r="M80" s="636"/>
      <c r="N80" s="636"/>
      <c r="O80" s="636"/>
      <c r="P80" s="636"/>
      <c r="Q80" s="734"/>
      <c r="R80" s="735"/>
      <c r="S80" s="735"/>
      <c r="T80" s="735"/>
      <c r="U80" s="735"/>
      <c r="V80" s="736">
        <v>25923646</v>
      </c>
    </row>
    <row r="81" spans="1:22" ht="14.45" customHeight="1">
      <c r="A81" s="636"/>
      <c r="B81" s="636"/>
      <c r="C81" s="636"/>
      <c r="D81" s="636"/>
      <c r="E81" s="636"/>
      <c r="F81" s="636"/>
      <c r="G81" s="636"/>
      <c r="H81" s="636"/>
      <c r="I81" s="636"/>
      <c r="J81" s="636"/>
      <c r="K81" s="636"/>
      <c r="L81" s="636"/>
      <c r="M81" s="636"/>
      <c r="N81" s="636"/>
      <c r="O81" s="636"/>
      <c r="P81" s="636"/>
      <c r="Q81" s="1067"/>
      <c r="R81" s="1067"/>
      <c r="S81" s="1067"/>
      <c r="T81" s="1067"/>
      <c r="U81" s="1067"/>
      <c r="V81" s="1067"/>
    </row>
    <row r="82" spans="1:22" ht="14.45" customHeight="1">
      <c r="A82" s="636"/>
      <c r="B82" s="636"/>
      <c r="C82" s="636"/>
      <c r="D82" s="636"/>
      <c r="E82" s="636"/>
      <c r="F82" s="636"/>
      <c r="G82" s="636"/>
      <c r="H82" s="636"/>
      <c r="I82" s="636"/>
      <c r="J82" s="636"/>
      <c r="K82" s="636"/>
      <c r="L82" s="636"/>
      <c r="M82" s="636"/>
      <c r="N82" s="636"/>
      <c r="O82" s="636"/>
      <c r="P82" s="636"/>
      <c r="Q82" s="737"/>
      <c r="R82" s="737"/>
      <c r="S82" s="737"/>
      <c r="T82" s="737"/>
      <c r="U82" s="737"/>
      <c r="V82" s="738">
        <f>V80-V78</f>
        <v>3.5357214510440826E-3</v>
      </c>
    </row>
    <row r="83" spans="1:22">
      <c r="A83" s="636"/>
      <c r="B83" s="636"/>
      <c r="C83" s="636"/>
      <c r="D83" s="636"/>
      <c r="E83" s="636"/>
      <c r="F83" s="636"/>
      <c r="G83" s="636"/>
      <c r="H83" s="636"/>
      <c r="I83" s="636"/>
      <c r="J83" s="636"/>
      <c r="K83" s="636"/>
      <c r="L83" s="636"/>
      <c r="M83" s="636"/>
      <c r="N83" s="636"/>
      <c r="O83" s="636"/>
      <c r="P83" s="636"/>
      <c r="Q83" s="1055"/>
      <c r="R83" s="1055"/>
      <c r="S83" s="1055"/>
      <c r="T83" s="1055"/>
      <c r="U83" s="1055"/>
      <c r="V83" s="1055"/>
    </row>
    <row r="84" spans="1:22">
      <c r="A84" s="636"/>
      <c r="B84" s="636"/>
      <c r="C84" s="636"/>
      <c r="D84" s="636"/>
      <c r="E84" s="636"/>
      <c r="F84" s="636"/>
      <c r="G84" s="636"/>
      <c r="H84" s="636"/>
      <c r="I84" s="636"/>
      <c r="J84" s="636"/>
      <c r="K84" s="636"/>
      <c r="L84" s="636"/>
      <c r="M84" s="636"/>
      <c r="N84" s="636"/>
      <c r="O84" s="636"/>
      <c r="P84" s="636"/>
      <c r="Q84" s="636"/>
      <c r="R84" s="636"/>
      <c r="S84" s="636"/>
      <c r="T84" s="636"/>
      <c r="U84" s="684"/>
      <c r="V84" s="684"/>
    </row>
    <row r="85" spans="1:22">
      <c r="A85" s="636"/>
      <c r="B85" s="636"/>
      <c r="C85" s="636"/>
      <c r="D85" s="636"/>
      <c r="E85" s="636"/>
      <c r="F85" s="636"/>
      <c r="G85" s="636"/>
      <c r="H85" s="636"/>
      <c r="I85" s="636"/>
      <c r="J85" s="636"/>
      <c r="K85" s="636"/>
      <c r="L85" s="636"/>
      <c r="M85" s="636"/>
      <c r="N85" s="636"/>
      <c r="O85" s="636"/>
      <c r="P85" s="636"/>
      <c r="Q85" s="636"/>
      <c r="R85" s="636"/>
      <c r="S85" s="636"/>
      <c r="T85" s="636"/>
      <c r="U85" s="684"/>
      <c r="V85" s="684"/>
    </row>
    <row r="86" spans="1:22">
      <c r="A86" s="636"/>
      <c r="B86" s="636"/>
      <c r="C86" s="636"/>
      <c r="D86" s="636"/>
      <c r="E86" s="636"/>
      <c r="F86" s="636"/>
      <c r="G86" s="636"/>
      <c r="H86" s="636"/>
      <c r="I86" s="636"/>
      <c r="J86" s="636"/>
      <c r="K86" s="636"/>
      <c r="L86" s="636"/>
      <c r="M86" s="636"/>
      <c r="N86" s="636"/>
      <c r="O86" s="636"/>
      <c r="P86" s="636"/>
      <c r="Q86" s="919"/>
      <c r="R86" s="919"/>
      <c r="S86" s="919"/>
      <c r="T86" s="919"/>
      <c r="U86" s="919"/>
      <c r="V86" s="684"/>
    </row>
    <row r="87" spans="1:22">
      <c r="A87" s="1"/>
      <c r="B87" s="1046"/>
      <c r="C87" s="1046"/>
      <c r="D87" s="1046"/>
      <c r="E87" s="1046"/>
      <c r="F87" s="1046"/>
      <c r="G87" s="1046"/>
      <c r="H87" s="1046"/>
      <c r="I87" s="1046"/>
      <c r="J87" s="1046"/>
      <c r="K87" s="1046"/>
      <c r="L87" s="1046"/>
      <c r="M87" s="1046"/>
      <c r="N87" s="1046"/>
      <c r="O87" s="1046"/>
      <c r="P87" s="1046"/>
      <c r="Q87" s="1046"/>
      <c r="R87" s="1046"/>
      <c r="S87" s="1046"/>
      <c r="T87" s="1046"/>
      <c r="U87" s="1046"/>
      <c r="V87" s="1046"/>
    </row>
    <row r="88" spans="1:22">
      <c r="A88" s="1"/>
      <c r="B88" s="1042"/>
      <c r="C88" s="1042"/>
      <c r="D88" s="1042"/>
      <c r="E88" s="1042"/>
      <c r="F88" s="1042"/>
      <c r="G88" s="1042"/>
      <c r="H88" s="1042"/>
      <c r="I88" s="1042"/>
      <c r="J88" s="1042"/>
      <c r="K88" s="1042"/>
      <c r="L88" s="1042"/>
      <c r="M88" s="1042"/>
      <c r="N88" s="1042"/>
      <c r="O88" s="1042"/>
      <c r="P88" s="1042"/>
      <c r="Q88" s="1042"/>
      <c r="R88" s="1042"/>
      <c r="S88" s="1042"/>
      <c r="T88" s="1042"/>
      <c r="U88" s="1042"/>
      <c r="V88" s="1042"/>
    </row>
    <row r="89" spans="1:22">
      <c r="A89" s="1"/>
      <c r="B89" s="1046"/>
      <c r="C89" s="1046"/>
      <c r="D89" s="1046"/>
      <c r="E89" s="1046"/>
      <c r="F89" s="1046"/>
      <c r="G89" s="1046"/>
      <c r="H89" s="1046"/>
      <c r="I89" s="1046"/>
      <c r="J89" s="1046"/>
      <c r="K89" s="1046"/>
      <c r="L89" s="1046"/>
      <c r="M89" s="1046"/>
      <c r="N89" s="1046"/>
      <c r="O89" s="1046"/>
      <c r="P89" s="1046"/>
      <c r="Q89" s="1046"/>
      <c r="R89" s="1046"/>
      <c r="S89" s="1046"/>
      <c r="T89" s="1046"/>
      <c r="U89" s="1046"/>
      <c r="V89" s="1046"/>
    </row>
    <row r="90" spans="1:22">
      <c r="A90" s="1043"/>
      <c r="B90" s="1043"/>
      <c r="C90" s="1065"/>
      <c r="D90" s="1065"/>
      <c r="E90" s="1043"/>
      <c r="F90" s="1043"/>
      <c r="G90" s="1043"/>
      <c r="H90" s="1043"/>
      <c r="I90" s="1043"/>
      <c r="J90" s="1043"/>
      <c r="K90" s="1043"/>
      <c r="L90" s="1043"/>
      <c r="M90" s="1043"/>
      <c r="N90" s="1043"/>
      <c r="O90" s="1043"/>
      <c r="P90" s="1043"/>
      <c r="Q90" s="1043"/>
      <c r="R90" s="1043"/>
      <c r="S90" s="685"/>
      <c r="T90" s="1043"/>
      <c r="U90" s="1064"/>
      <c r="V90" s="1064"/>
    </row>
    <row r="91" spans="1:22">
      <c r="A91" s="1043"/>
      <c r="B91" s="1043"/>
      <c r="C91" s="1065"/>
      <c r="D91" s="1065"/>
      <c r="E91" s="1066"/>
      <c r="F91" s="1043"/>
      <c r="G91" s="1043"/>
      <c r="H91" s="1043"/>
      <c r="I91" s="685"/>
      <c r="J91" s="1043"/>
      <c r="K91" s="1043"/>
      <c r="L91" s="685"/>
      <c r="M91" s="1043"/>
      <c r="N91" s="1043"/>
      <c r="O91" s="685"/>
      <c r="P91" s="685"/>
      <c r="Q91" s="685"/>
      <c r="R91" s="1043"/>
      <c r="S91" s="685"/>
      <c r="T91" s="1043"/>
      <c r="U91" s="1064"/>
      <c r="V91" s="1064"/>
    </row>
    <row r="92" spans="1:22">
      <c r="A92" s="1043"/>
      <c r="B92" s="1043"/>
      <c r="C92" s="1065"/>
      <c r="D92" s="1065"/>
      <c r="E92" s="685"/>
      <c r="F92" s="685"/>
      <c r="G92" s="685"/>
      <c r="H92" s="685"/>
      <c r="I92" s="685"/>
      <c r="J92" s="685"/>
      <c r="K92" s="685"/>
      <c r="L92" s="685"/>
      <c r="M92" s="685"/>
      <c r="N92" s="685"/>
      <c r="O92" s="685"/>
      <c r="P92" s="685"/>
      <c r="Q92" s="685"/>
      <c r="R92" s="685"/>
      <c r="S92" s="685"/>
      <c r="T92" s="685"/>
      <c r="U92" s="686"/>
      <c r="V92" s="686"/>
    </row>
    <row r="93" spans="1:22">
      <c r="A93" s="115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676"/>
      <c r="V93" s="676"/>
    </row>
    <row r="94" spans="1:22">
      <c r="A94" s="1053"/>
      <c r="B94" s="1053"/>
      <c r="C94" s="1053"/>
      <c r="D94" s="1053"/>
      <c r="E94" s="1053"/>
      <c r="F94" s="1053"/>
      <c r="G94" s="1053"/>
      <c r="H94" s="1053"/>
      <c r="I94" s="1053"/>
      <c r="J94" s="1053"/>
      <c r="K94" s="1053"/>
      <c r="L94" s="1053"/>
      <c r="M94" s="1053"/>
      <c r="N94" s="1053"/>
      <c r="O94" s="1053"/>
      <c r="P94" s="1053"/>
      <c r="Q94" s="1053"/>
      <c r="R94" s="1053"/>
      <c r="S94" s="1053"/>
      <c r="T94" s="1053"/>
      <c r="U94" s="1053"/>
      <c r="V94" s="1053"/>
    </row>
    <row r="95" spans="1:22">
      <c r="A95" s="687"/>
      <c r="B95" s="688"/>
      <c r="C95" s="115"/>
      <c r="D95" s="115"/>
      <c r="E95" s="115"/>
      <c r="F95" s="115"/>
      <c r="G95" s="115"/>
      <c r="H95" s="115"/>
      <c r="I95" s="115"/>
      <c r="J95" s="689"/>
      <c r="K95" s="690"/>
      <c r="L95" s="690"/>
      <c r="M95" s="689"/>
      <c r="N95" s="690"/>
      <c r="O95" s="675"/>
      <c r="P95" s="675"/>
      <c r="Q95" s="675"/>
      <c r="R95" s="675"/>
      <c r="S95" s="675"/>
      <c r="T95" s="691"/>
      <c r="U95" s="675"/>
      <c r="V95" s="686"/>
    </row>
    <row r="96" spans="1:22">
      <c r="A96" s="687"/>
      <c r="B96" s="688"/>
      <c r="C96" s="115"/>
      <c r="D96" s="692"/>
      <c r="E96" s="693"/>
      <c r="F96" s="693"/>
      <c r="G96" s="693"/>
      <c r="H96" s="115"/>
      <c r="I96" s="115"/>
      <c r="J96" s="689"/>
      <c r="K96" s="690"/>
      <c r="L96" s="690"/>
      <c r="M96" s="692"/>
      <c r="N96" s="690"/>
      <c r="O96" s="675"/>
      <c r="P96" s="675"/>
      <c r="Q96" s="675"/>
      <c r="R96" s="675"/>
      <c r="S96" s="675"/>
      <c r="T96" s="690"/>
      <c r="U96" s="675"/>
      <c r="V96" s="686"/>
    </row>
    <row r="97" spans="1:22">
      <c r="A97" s="687"/>
      <c r="B97" s="688"/>
      <c r="C97" s="115"/>
      <c r="D97" s="692"/>
      <c r="E97" s="693"/>
      <c r="F97" s="693"/>
      <c r="G97" s="693"/>
      <c r="H97" s="115"/>
      <c r="I97" s="115"/>
      <c r="J97" s="689"/>
      <c r="K97" s="690"/>
      <c r="L97" s="690"/>
      <c r="M97" s="692"/>
      <c r="N97" s="690"/>
      <c r="O97" s="675"/>
      <c r="P97" s="675"/>
      <c r="Q97" s="675"/>
      <c r="R97" s="675"/>
      <c r="S97" s="675"/>
      <c r="T97" s="690"/>
      <c r="U97" s="675"/>
      <c r="V97" s="686"/>
    </row>
    <row r="98" spans="1:22">
      <c r="A98" s="687"/>
      <c r="B98" s="688"/>
      <c r="C98" s="115"/>
      <c r="D98" s="692"/>
      <c r="E98" s="693"/>
      <c r="F98" s="693"/>
      <c r="G98" s="693"/>
      <c r="H98" s="115"/>
      <c r="I98" s="115"/>
      <c r="J98" s="115"/>
      <c r="K98" s="115"/>
      <c r="L98" s="690"/>
      <c r="M98" s="692"/>
      <c r="N98" s="690"/>
      <c r="O98" s="675"/>
      <c r="P98" s="675"/>
      <c r="Q98" s="675"/>
      <c r="R98" s="675"/>
      <c r="S98" s="675"/>
      <c r="T98" s="690"/>
      <c r="U98" s="675"/>
      <c r="V98" s="686"/>
    </row>
    <row r="99" spans="1:22">
      <c r="A99" s="687"/>
      <c r="B99" s="688"/>
      <c r="C99" s="115"/>
      <c r="D99" s="115"/>
      <c r="E99" s="115"/>
      <c r="F99" s="115"/>
      <c r="G99" s="115"/>
      <c r="H99" s="115"/>
      <c r="I99" s="115"/>
      <c r="J99" s="115"/>
      <c r="K99" s="115"/>
      <c r="L99" s="690"/>
      <c r="M99" s="692"/>
      <c r="N99" s="690"/>
      <c r="O99" s="675"/>
      <c r="P99" s="675"/>
      <c r="Q99" s="675"/>
      <c r="R99" s="675"/>
      <c r="S99" s="675"/>
      <c r="T99" s="690"/>
      <c r="U99" s="675"/>
      <c r="V99" s="686"/>
    </row>
    <row r="100" spans="1:22">
      <c r="A100" s="687"/>
      <c r="B100" s="688"/>
      <c r="C100" s="115"/>
      <c r="D100" s="115"/>
      <c r="E100" s="115"/>
      <c r="F100" s="115"/>
      <c r="G100" s="115"/>
      <c r="H100" s="115"/>
      <c r="I100" s="115"/>
      <c r="J100" s="115"/>
      <c r="K100" s="115"/>
      <c r="L100" s="690"/>
      <c r="M100" s="692"/>
      <c r="N100" s="690"/>
      <c r="O100" s="675"/>
      <c r="P100" s="675"/>
      <c r="Q100" s="675"/>
      <c r="R100" s="675"/>
      <c r="S100" s="675"/>
      <c r="T100" s="690"/>
      <c r="U100" s="675"/>
      <c r="V100" s="686"/>
    </row>
    <row r="101" spans="1:22">
      <c r="A101" s="687"/>
      <c r="B101" s="694"/>
      <c r="C101" s="650"/>
      <c r="D101" s="650"/>
      <c r="E101" s="115"/>
      <c r="F101" s="115"/>
      <c r="G101" s="115"/>
      <c r="H101" s="650"/>
      <c r="I101" s="650"/>
      <c r="J101" s="650"/>
      <c r="K101" s="650"/>
      <c r="L101" s="650"/>
      <c r="M101" s="692"/>
      <c r="N101" s="690"/>
      <c r="O101" s="650"/>
      <c r="P101" s="650"/>
      <c r="Q101" s="650"/>
      <c r="R101" s="675"/>
      <c r="S101" s="675"/>
      <c r="T101" s="690"/>
      <c r="U101" s="675"/>
      <c r="V101" s="686"/>
    </row>
    <row r="102" spans="1:22">
      <c r="A102" s="687"/>
      <c r="B102" s="688"/>
      <c r="C102" s="115"/>
      <c r="D102" s="115"/>
      <c r="E102" s="115"/>
      <c r="F102" s="115"/>
      <c r="G102" s="115"/>
      <c r="H102" s="115"/>
      <c r="I102" s="115"/>
      <c r="J102" s="115"/>
      <c r="K102" s="115"/>
      <c r="L102" s="690"/>
      <c r="M102" s="692"/>
      <c r="N102" s="690"/>
      <c r="O102" s="675"/>
      <c r="P102" s="675"/>
      <c r="Q102" s="675"/>
      <c r="R102" s="675"/>
      <c r="S102" s="675"/>
      <c r="T102" s="690"/>
      <c r="U102" s="675"/>
      <c r="V102" s="686"/>
    </row>
    <row r="103" spans="1:22">
      <c r="A103" s="687"/>
      <c r="B103" s="688"/>
      <c r="C103" s="115"/>
      <c r="D103" s="115"/>
      <c r="E103" s="115"/>
      <c r="F103" s="115"/>
      <c r="G103" s="115"/>
      <c r="H103" s="115"/>
      <c r="I103" s="115"/>
      <c r="J103" s="115"/>
      <c r="K103" s="115"/>
      <c r="L103" s="690"/>
      <c r="M103" s="692"/>
      <c r="N103" s="690"/>
      <c r="O103" s="675"/>
      <c r="P103" s="675"/>
      <c r="Q103" s="675"/>
      <c r="R103" s="675"/>
      <c r="S103" s="675"/>
      <c r="T103" s="690"/>
      <c r="U103" s="675"/>
      <c r="V103" s="686"/>
    </row>
    <row r="104" spans="1:22">
      <c r="A104" s="687"/>
      <c r="B104" s="688"/>
      <c r="C104" s="115"/>
      <c r="D104" s="115"/>
      <c r="E104" s="115"/>
      <c r="F104" s="115"/>
      <c r="G104" s="115"/>
      <c r="H104" s="115"/>
      <c r="I104" s="115"/>
      <c r="J104" s="115"/>
      <c r="K104" s="115"/>
      <c r="L104" s="690"/>
      <c r="M104" s="692"/>
      <c r="N104" s="690"/>
      <c r="O104" s="675"/>
      <c r="P104" s="675"/>
      <c r="Q104" s="675"/>
      <c r="R104" s="675"/>
      <c r="S104" s="675"/>
      <c r="T104" s="690"/>
      <c r="U104" s="675"/>
      <c r="V104" s="686"/>
    </row>
    <row r="105" spans="1:22">
      <c r="A105" s="687"/>
      <c r="B105" s="695"/>
      <c r="C105" s="696"/>
      <c r="D105" s="696"/>
      <c r="E105" s="115"/>
      <c r="F105" s="115"/>
      <c r="G105" s="692"/>
      <c r="H105" s="697"/>
      <c r="I105" s="115"/>
      <c r="J105" s="692"/>
      <c r="K105" s="690"/>
      <c r="L105" s="690"/>
      <c r="M105" s="692"/>
      <c r="N105" s="690"/>
      <c r="O105" s="675"/>
      <c r="P105" s="675"/>
      <c r="Q105" s="675"/>
      <c r="R105" s="675"/>
      <c r="S105" s="675"/>
      <c r="T105" s="690"/>
      <c r="U105" s="675"/>
      <c r="V105" s="686"/>
    </row>
    <row r="106" spans="1:22">
      <c r="A106" s="687"/>
      <c r="B106" s="695"/>
      <c r="C106" s="696"/>
      <c r="D106" s="696"/>
      <c r="E106" s="115"/>
      <c r="F106" s="115"/>
      <c r="G106" s="692"/>
      <c r="H106" s="697"/>
      <c r="I106" s="115"/>
      <c r="J106" s="689"/>
      <c r="K106" s="115"/>
      <c r="L106" s="690"/>
      <c r="M106" s="692"/>
      <c r="N106" s="690"/>
      <c r="O106" s="675"/>
      <c r="P106" s="675"/>
      <c r="Q106" s="675"/>
      <c r="R106" s="675"/>
      <c r="S106" s="675"/>
      <c r="T106" s="690"/>
      <c r="U106" s="675"/>
      <c r="V106" s="686"/>
    </row>
    <row r="107" spans="1:22">
      <c r="A107" s="687"/>
      <c r="B107" s="695"/>
      <c r="C107" s="696"/>
      <c r="D107" s="696"/>
      <c r="E107" s="115"/>
      <c r="F107" s="115"/>
      <c r="G107" s="692"/>
      <c r="H107" s="697"/>
      <c r="I107" s="115"/>
      <c r="J107" s="689"/>
      <c r="K107" s="115"/>
      <c r="L107" s="690"/>
      <c r="M107" s="692"/>
      <c r="N107" s="690"/>
      <c r="O107" s="675"/>
      <c r="P107" s="675"/>
      <c r="Q107" s="675"/>
      <c r="R107" s="675"/>
      <c r="S107" s="675"/>
      <c r="T107" s="690"/>
      <c r="U107" s="675"/>
      <c r="V107" s="686"/>
    </row>
    <row r="108" spans="1:22">
      <c r="A108" s="687"/>
      <c r="B108" s="695"/>
      <c r="C108" s="696"/>
      <c r="D108" s="696"/>
      <c r="E108" s="115"/>
      <c r="F108" s="115"/>
      <c r="G108" s="692"/>
      <c r="H108" s="697"/>
      <c r="I108" s="115"/>
      <c r="J108" s="689"/>
      <c r="K108" s="115"/>
      <c r="L108" s="690"/>
      <c r="M108" s="692"/>
      <c r="N108" s="690"/>
      <c r="O108" s="675"/>
      <c r="P108" s="675"/>
      <c r="Q108" s="675"/>
      <c r="R108" s="675"/>
      <c r="S108" s="675"/>
      <c r="T108" s="690"/>
      <c r="U108" s="675"/>
      <c r="V108" s="686"/>
    </row>
    <row r="109" spans="1:22">
      <c r="A109" s="687"/>
      <c r="B109" s="688"/>
      <c r="C109" s="115"/>
      <c r="D109" s="115"/>
      <c r="E109" s="115"/>
      <c r="F109" s="115"/>
      <c r="G109" s="692"/>
      <c r="H109" s="697"/>
      <c r="I109" s="115"/>
      <c r="J109" s="689"/>
      <c r="K109" s="115"/>
      <c r="L109" s="690"/>
      <c r="M109" s="692"/>
      <c r="N109" s="690"/>
      <c r="O109" s="675"/>
      <c r="P109" s="675"/>
      <c r="Q109" s="675"/>
      <c r="R109" s="675"/>
      <c r="S109" s="675"/>
      <c r="T109" s="690"/>
      <c r="U109" s="675"/>
      <c r="V109" s="686"/>
    </row>
    <row r="110" spans="1:22">
      <c r="A110" s="687"/>
      <c r="B110" s="694"/>
      <c r="C110" s="650"/>
      <c r="D110" s="650"/>
      <c r="E110" s="650"/>
      <c r="F110" s="650"/>
      <c r="G110" s="692"/>
      <c r="H110" s="697"/>
      <c r="I110" s="650"/>
      <c r="J110" s="689"/>
      <c r="K110" s="115"/>
      <c r="L110" s="650"/>
      <c r="M110" s="692"/>
      <c r="N110" s="690"/>
      <c r="O110" s="650"/>
      <c r="P110" s="650"/>
      <c r="Q110" s="675"/>
      <c r="R110" s="675"/>
      <c r="S110" s="675"/>
      <c r="T110" s="690"/>
      <c r="U110" s="675"/>
      <c r="V110" s="686"/>
    </row>
    <row r="111" spans="1:22">
      <c r="A111" s="687"/>
      <c r="B111" s="695"/>
      <c r="C111" s="696"/>
      <c r="D111" s="696"/>
      <c r="E111" s="696"/>
      <c r="F111" s="696"/>
      <c r="G111" s="692"/>
      <c r="H111" s="697"/>
      <c r="I111" s="696"/>
      <c r="J111" s="696"/>
      <c r="K111" s="696"/>
      <c r="L111" s="691"/>
      <c r="M111" s="698"/>
      <c r="N111" s="690"/>
      <c r="O111" s="699"/>
      <c r="P111" s="699"/>
      <c r="Q111" s="675"/>
      <c r="R111" s="675"/>
      <c r="S111" s="675"/>
      <c r="T111" s="690"/>
      <c r="U111" s="675"/>
      <c r="V111" s="686"/>
    </row>
    <row r="112" spans="1:22">
      <c r="A112" s="687"/>
      <c r="B112" s="688"/>
      <c r="C112" s="115"/>
      <c r="D112" s="115"/>
      <c r="E112" s="115"/>
      <c r="F112" s="115"/>
      <c r="G112" s="692"/>
      <c r="H112" s="690"/>
      <c r="I112" s="115"/>
      <c r="J112" s="689"/>
      <c r="K112" s="690"/>
      <c r="L112" s="115"/>
      <c r="M112" s="692"/>
      <c r="N112" s="690"/>
      <c r="O112" s="115"/>
      <c r="P112" s="115"/>
      <c r="Q112" s="690"/>
      <c r="R112" s="675"/>
      <c r="S112" s="675"/>
      <c r="T112" s="690"/>
      <c r="U112" s="675"/>
      <c r="V112" s="686"/>
    </row>
    <row r="113" spans="1:22">
      <c r="A113" s="687"/>
      <c r="B113" s="688"/>
      <c r="C113" s="115"/>
      <c r="D113" s="115"/>
      <c r="E113" s="115"/>
      <c r="F113" s="115"/>
      <c r="G113" s="692"/>
      <c r="H113" s="690"/>
      <c r="I113" s="115"/>
      <c r="J113" s="115"/>
      <c r="K113" s="115"/>
      <c r="L113" s="690"/>
      <c r="M113" s="692"/>
      <c r="N113" s="690"/>
      <c r="O113" s="675"/>
      <c r="P113" s="675"/>
      <c r="Q113" s="675"/>
      <c r="R113" s="675"/>
      <c r="S113" s="675"/>
      <c r="T113" s="690"/>
      <c r="U113" s="675"/>
      <c r="V113" s="686"/>
    </row>
    <row r="114" spans="1:22">
      <c r="A114" s="687"/>
      <c r="B114" s="688"/>
      <c r="C114" s="115"/>
      <c r="D114" s="115"/>
      <c r="E114" s="115"/>
      <c r="F114" s="115"/>
      <c r="G114" s="115"/>
      <c r="H114" s="692"/>
      <c r="I114" s="115"/>
      <c r="J114" s="115"/>
      <c r="K114" s="115"/>
      <c r="L114" s="690"/>
      <c r="M114" s="692"/>
      <c r="N114" s="690"/>
      <c r="O114" s="675"/>
      <c r="P114" s="675"/>
      <c r="Q114" s="675"/>
      <c r="R114" s="675"/>
      <c r="S114" s="675"/>
      <c r="T114" s="690"/>
      <c r="U114" s="675"/>
      <c r="V114" s="686"/>
    </row>
    <row r="115" spans="1:22">
      <c r="A115" s="687"/>
      <c r="B115" s="688"/>
      <c r="C115" s="115"/>
      <c r="D115" s="115"/>
      <c r="E115" s="115"/>
      <c r="F115" s="115"/>
      <c r="G115" s="115"/>
      <c r="H115" s="692"/>
      <c r="I115" s="115"/>
      <c r="J115" s="115"/>
      <c r="K115" s="115"/>
      <c r="L115" s="690"/>
      <c r="M115" s="692"/>
      <c r="N115" s="690"/>
      <c r="O115" s="675"/>
      <c r="P115" s="675"/>
      <c r="Q115" s="675"/>
      <c r="R115" s="675"/>
      <c r="S115" s="675"/>
      <c r="T115" s="690"/>
      <c r="U115" s="675"/>
      <c r="V115" s="686"/>
    </row>
    <row r="116" spans="1:22">
      <c r="A116" s="700"/>
      <c r="B116" s="701"/>
      <c r="C116" s="702"/>
      <c r="D116" s="685"/>
      <c r="E116" s="685"/>
      <c r="F116" s="686"/>
      <c r="G116" s="686"/>
      <c r="H116" s="686"/>
      <c r="I116" s="686"/>
      <c r="J116" s="686"/>
      <c r="K116" s="686"/>
      <c r="L116" s="686"/>
      <c r="M116" s="686"/>
      <c r="N116" s="686"/>
      <c r="O116" s="686"/>
      <c r="P116" s="686"/>
      <c r="Q116" s="686"/>
      <c r="R116" s="686"/>
      <c r="S116" s="686"/>
      <c r="T116" s="686"/>
      <c r="U116" s="686"/>
      <c r="V116" s="686"/>
    </row>
    <row r="117" spans="1:22">
      <c r="A117" s="1053"/>
      <c r="B117" s="1053"/>
      <c r="C117" s="1053"/>
      <c r="D117" s="1053"/>
      <c r="E117" s="1053"/>
      <c r="F117" s="1053"/>
      <c r="G117" s="1053"/>
      <c r="H117" s="1053"/>
      <c r="I117" s="1053"/>
      <c r="J117" s="1053"/>
      <c r="K117" s="1053"/>
      <c r="L117" s="1053"/>
      <c r="M117" s="1053"/>
      <c r="N117" s="1053"/>
      <c r="O117" s="1053"/>
      <c r="P117" s="1053"/>
      <c r="Q117" s="1053"/>
      <c r="R117" s="1053"/>
      <c r="S117" s="1053"/>
      <c r="T117" s="1053"/>
      <c r="U117" s="1053"/>
      <c r="V117" s="1053"/>
    </row>
    <row r="118" spans="1:22">
      <c r="A118" s="115"/>
      <c r="B118" s="688"/>
      <c r="C118" s="115"/>
      <c r="D118" s="115"/>
      <c r="E118" s="115"/>
      <c r="F118" s="676"/>
      <c r="G118" s="676"/>
      <c r="H118" s="115"/>
      <c r="I118" s="115"/>
      <c r="J118" s="689"/>
      <c r="K118" s="690"/>
      <c r="L118" s="115"/>
      <c r="M118" s="692"/>
      <c r="N118" s="690"/>
      <c r="O118" s="115"/>
      <c r="P118" s="115"/>
      <c r="Q118" s="115"/>
      <c r="R118" s="676"/>
      <c r="S118" s="676"/>
      <c r="T118" s="690"/>
      <c r="U118" s="675"/>
      <c r="V118" s="686"/>
    </row>
    <row r="119" spans="1:22">
      <c r="A119" s="115"/>
      <c r="B119" s="688"/>
      <c r="C119" s="115"/>
      <c r="D119" s="115"/>
      <c r="E119" s="115"/>
      <c r="F119" s="676"/>
      <c r="G119" s="689"/>
      <c r="H119" s="115"/>
      <c r="I119" s="115"/>
      <c r="J119" s="689"/>
      <c r="K119" s="690"/>
      <c r="L119" s="115"/>
      <c r="M119" s="692"/>
      <c r="N119" s="690"/>
      <c r="O119" s="115"/>
      <c r="P119" s="115"/>
      <c r="Q119" s="115"/>
      <c r="R119" s="676"/>
      <c r="S119" s="676"/>
      <c r="T119" s="690"/>
      <c r="U119" s="675"/>
      <c r="V119" s="686"/>
    </row>
    <row r="120" spans="1:22">
      <c r="A120" s="696"/>
      <c r="B120" s="703"/>
      <c r="C120" s="696"/>
      <c r="D120" s="696"/>
      <c r="E120" s="696"/>
      <c r="F120" s="704"/>
      <c r="G120" s="689"/>
      <c r="H120" s="115"/>
      <c r="I120" s="691"/>
      <c r="J120" s="705"/>
      <c r="K120" s="691"/>
      <c r="L120" s="696"/>
      <c r="M120" s="698"/>
      <c r="N120" s="691"/>
      <c r="O120" s="696"/>
      <c r="P120" s="696"/>
      <c r="Q120" s="696"/>
      <c r="R120" s="676"/>
      <c r="S120" s="676"/>
      <c r="T120" s="690"/>
      <c r="U120" s="675"/>
      <c r="V120" s="686"/>
    </row>
    <row r="121" spans="1:22">
      <c r="A121" s="115"/>
      <c r="B121" s="688"/>
      <c r="C121" s="115"/>
      <c r="D121" s="115"/>
      <c r="E121" s="115"/>
      <c r="F121" s="676"/>
      <c r="G121" s="689"/>
      <c r="H121" s="115"/>
      <c r="I121" s="690"/>
      <c r="J121" s="689"/>
      <c r="K121" s="691"/>
      <c r="L121" s="115"/>
      <c r="M121" s="692"/>
      <c r="N121" s="690"/>
      <c r="O121" s="115"/>
      <c r="P121" s="115"/>
      <c r="Q121" s="115"/>
      <c r="R121" s="676"/>
      <c r="S121" s="676"/>
      <c r="T121" s="690"/>
      <c r="U121" s="675"/>
      <c r="V121" s="686"/>
    </row>
    <row r="122" spans="1:22">
      <c r="A122" s="115"/>
      <c r="B122" s="688"/>
      <c r="C122" s="115"/>
      <c r="D122" s="115"/>
      <c r="E122" s="115"/>
      <c r="F122" s="676"/>
      <c r="G122" s="689"/>
      <c r="H122" s="115"/>
      <c r="I122" s="690"/>
      <c r="J122" s="689"/>
      <c r="K122" s="691"/>
      <c r="L122" s="115"/>
      <c r="M122" s="692"/>
      <c r="N122" s="690"/>
      <c r="O122" s="115"/>
      <c r="P122" s="115"/>
      <c r="Q122" s="115"/>
      <c r="R122" s="676"/>
      <c r="S122" s="676"/>
      <c r="T122" s="690"/>
      <c r="U122" s="675"/>
      <c r="V122" s="686"/>
    </row>
    <row r="123" spans="1:22">
      <c r="A123" s="115"/>
      <c r="B123" s="688"/>
      <c r="C123" s="115"/>
      <c r="D123" s="115"/>
      <c r="E123" s="115"/>
      <c r="F123" s="676"/>
      <c r="G123" s="689"/>
      <c r="H123" s="115"/>
      <c r="I123" s="690"/>
      <c r="J123" s="689"/>
      <c r="K123" s="691"/>
      <c r="L123" s="115"/>
      <c r="M123" s="692"/>
      <c r="N123" s="690"/>
      <c r="O123" s="115"/>
      <c r="P123" s="115"/>
      <c r="Q123" s="115"/>
      <c r="R123" s="676"/>
      <c r="S123" s="676"/>
      <c r="T123" s="690"/>
      <c r="U123" s="675"/>
      <c r="V123" s="686"/>
    </row>
    <row r="124" spans="1:22">
      <c r="A124" s="685"/>
      <c r="B124" s="701"/>
      <c r="C124" s="702"/>
      <c r="D124" s="685"/>
      <c r="E124" s="685"/>
      <c r="F124" s="686"/>
      <c r="G124" s="686"/>
      <c r="H124" s="686"/>
      <c r="I124" s="686"/>
      <c r="J124" s="686"/>
      <c r="K124" s="686"/>
      <c r="L124" s="686"/>
      <c r="M124" s="686"/>
      <c r="N124" s="686"/>
      <c r="O124" s="686"/>
      <c r="P124" s="686"/>
      <c r="Q124" s="686"/>
      <c r="R124" s="686"/>
      <c r="S124" s="686"/>
      <c r="T124" s="686"/>
      <c r="U124" s="686"/>
      <c r="V124" s="686"/>
    </row>
    <row r="125" spans="1:22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676"/>
      <c r="V125" s="676"/>
    </row>
    <row r="126" spans="1:22">
      <c r="A126" s="1053"/>
      <c r="B126" s="1053"/>
      <c r="C126" s="1053"/>
      <c r="D126" s="1053"/>
      <c r="E126" s="1053"/>
      <c r="F126" s="1053"/>
      <c r="G126" s="1053"/>
      <c r="H126" s="1053"/>
      <c r="I126" s="1053"/>
      <c r="J126" s="1053"/>
      <c r="K126" s="1053"/>
      <c r="L126" s="1053"/>
      <c r="M126" s="1053"/>
      <c r="N126" s="1053"/>
      <c r="O126" s="1053"/>
      <c r="P126" s="1053"/>
      <c r="Q126" s="1053"/>
      <c r="R126" s="1053"/>
      <c r="S126" s="1053"/>
      <c r="T126" s="1053"/>
      <c r="U126" s="1053"/>
      <c r="V126" s="1053"/>
    </row>
    <row r="127" spans="1:22">
      <c r="A127" s="115"/>
      <c r="B127" s="434"/>
      <c r="C127" s="115"/>
      <c r="D127" s="115"/>
      <c r="E127" s="115"/>
      <c r="F127" s="115"/>
      <c r="G127" s="115"/>
      <c r="H127" s="115"/>
      <c r="I127" s="115"/>
      <c r="J127" s="692"/>
      <c r="K127" s="115"/>
      <c r="L127" s="115"/>
      <c r="M127" s="692"/>
      <c r="N127" s="115"/>
      <c r="O127" s="115"/>
      <c r="P127" s="115"/>
      <c r="Q127" s="115"/>
      <c r="R127" s="115"/>
      <c r="S127" s="115"/>
      <c r="T127" s="690"/>
      <c r="U127" s="706"/>
      <c r="V127" s="686"/>
    </row>
    <row r="128" spans="1:22">
      <c r="A128" s="115"/>
      <c r="B128" s="434"/>
      <c r="C128" s="115"/>
      <c r="D128" s="692"/>
      <c r="E128" s="693"/>
      <c r="F128" s="693"/>
      <c r="G128" s="693"/>
      <c r="H128" s="115"/>
      <c r="I128" s="115"/>
      <c r="J128" s="692"/>
      <c r="K128" s="115"/>
      <c r="L128" s="115"/>
      <c r="M128" s="692"/>
      <c r="N128" s="115"/>
      <c r="O128" s="115"/>
      <c r="P128" s="115"/>
      <c r="Q128" s="115"/>
      <c r="R128" s="115"/>
      <c r="S128" s="115"/>
      <c r="T128" s="690"/>
      <c r="U128" s="706"/>
      <c r="V128" s="686"/>
    </row>
    <row r="129" spans="1:22">
      <c r="A129" s="115"/>
      <c r="B129" s="434"/>
      <c r="C129" s="115"/>
      <c r="D129" s="693"/>
      <c r="E129" s="115"/>
      <c r="F129" s="115"/>
      <c r="G129" s="689"/>
      <c r="H129" s="115"/>
      <c r="I129" s="115"/>
      <c r="J129" s="692"/>
      <c r="K129" s="115"/>
      <c r="L129" s="115"/>
      <c r="M129" s="692"/>
      <c r="N129" s="115"/>
      <c r="O129" s="115"/>
      <c r="P129" s="115"/>
      <c r="Q129" s="115"/>
      <c r="R129" s="115"/>
      <c r="S129" s="115"/>
      <c r="T129" s="690"/>
      <c r="U129" s="706"/>
      <c r="V129" s="686"/>
    </row>
    <row r="130" spans="1:22">
      <c r="A130" s="115"/>
      <c r="B130" s="434"/>
      <c r="C130" s="115"/>
      <c r="D130" s="693"/>
      <c r="E130" s="115"/>
      <c r="F130" s="115"/>
      <c r="G130" s="689"/>
      <c r="H130" s="115"/>
      <c r="I130" s="115"/>
      <c r="J130" s="692"/>
      <c r="K130" s="115"/>
      <c r="L130" s="115"/>
      <c r="M130" s="692"/>
      <c r="N130" s="115"/>
      <c r="O130" s="115"/>
      <c r="P130" s="115"/>
      <c r="Q130" s="115"/>
      <c r="R130" s="115"/>
      <c r="S130" s="115"/>
      <c r="T130" s="690"/>
      <c r="U130" s="706"/>
      <c r="V130" s="686"/>
    </row>
    <row r="131" spans="1:22">
      <c r="A131" s="115"/>
      <c r="B131" s="434"/>
      <c r="C131" s="115"/>
      <c r="D131" s="693"/>
      <c r="E131" s="115"/>
      <c r="F131" s="115"/>
      <c r="G131" s="689"/>
      <c r="H131" s="115"/>
      <c r="I131" s="115"/>
      <c r="J131" s="692"/>
      <c r="K131" s="115"/>
      <c r="L131" s="115"/>
      <c r="M131" s="692"/>
      <c r="N131" s="115"/>
      <c r="O131" s="115"/>
      <c r="P131" s="115"/>
      <c r="Q131" s="115"/>
      <c r="R131" s="115"/>
      <c r="S131" s="115"/>
      <c r="T131" s="690"/>
      <c r="U131" s="706"/>
      <c r="V131" s="686"/>
    </row>
    <row r="132" spans="1:22">
      <c r="A132" s="115"/>
      <c r="B132" s="434"/>
      <c r="C132" s="115"/>
      <c r="D132" s="115"/>
      <c r="E132" s="115"/>
      <c r="F132" s="115"/>
      <c r="G132" s="689"/>
      <c r="H132" s="115"/>
      <c r="I132" s="115"/>
      <c r="J132" s="692"/>
      <c r="K132" s="115"/>
      <c r="L132" s="115"/>
      <c r="M132" s="692"/>
      <c r="N132" s="115"/>
      <c r="O132" s="115"/>
      <c r="P132" s="115"/>
      <c r="Q132" s="115"/>
      <c r="R132" s="115"/>
      <c r="S132" s="115"/>
      <c r="T132" s="690"/>
      <c r="U132" s="706"/>
      <c r="V132" s="686"/>
    </row>
    <row r="133" spans="1:22">
      <c r="A133" s="115"/>
      <c r="B133" s="434"/>
      <c r="C133" s="115"/>
      <c r="D133" s="115"/>
      <c r="E133" s="115"/>
      <c r="F133" s="115"/>
      <c r="G133" s="689"/>
      <c r="H133" s="115"/>
      <c r="I133" s="115"/>
      <c r="J133" s="692"/>
      <c r="K133" s="115"/>
      <c r="L133" s="115"/>
      <c r="M133" s="692"/>
      <c r="N133" s="115"/>
      <c r="O133" s="115"/>
      <c r="P133" s="115"/>
      <c r="Q133" s="115"/>
      <c r="R133" s="115"/>
      <c r="S133" s="115"/>
      <c r="T133" s="690"/>
      <c r="U133" s="706"/>
      <c r="V133" s="686"/>
    </row>
    <row r="134" spans="1:22">
      <c r="A134" s="115"/>
      <c r="B134" s="434"/>
      <c r="C134" s="115"/>
      <c r="D134" s="115"/>
      <c r="E134" s="115"/>
      <c r="F134" s="115"/>
      <c r="G134" s="689"/>
      <c r="H134" s="115"/>
      <c r="I134" s="115"/>
      <c r="J134" s="692"/>
      <c r="K134" s="115"/>
      <c r="L134" s="115"/>
      <c r="M134" s="692"/>
      <c r="N134" s="115"/>
      <c r="O134" s="115"/>
      <c r="P134" s="115"/>
      <c r="Q134" s="115"/>
      <c r="R134" s="115"/>
      <c r="S134" s="115"/>
      <c r="T134" s="690"/>
      <c r="U134" s="706"/>
      <c r="V134" s="686"/>
    </row>
    <row r="135" spans="1:22">
      <c r="A135" s="115"/>
      <c r="B135" s="434"/>
      <c r="C135" s="115"/>
      <c r="D135" s="115"/>
      <c r="E135" s="115"/>
      <c r="F135" s="115"/>
      <c r="G135" s="689"/>
      <c r="H135" s="115"/>
      <c r="I135" s="115"/>
      <c r="J135" s="692"/>
      <c r="K135" s="115"/>
      <c r="L135" s="115"/>
      <c r="M135" s="692"/>
      <c r="N135" s="115"/>
      <c r="O135" s="115"/>
      <c r="P135" s="115"/>
      <c r="Q135" s="115"/>
      <c r="R135" s="115"/>
      <c r="S135" s="115"/>
      <c r="T135" s="690"/>
      <c r="U135" s="706"/>
      <c r="V135" s="686"/>
    </row>
    <row r="136" spans="1:22">
      <c r="A136" s="115"/>
      <c r="B136" s="434"/>
      <c r="C136" s="115"/>
      <c r="D136" s="115"/>
      <c r="E136" s="115"/>
      <c r="F136" s="115"/>
      <c r="G136" s="689"/>
      <c r="H136" s="115"/>
      <c r="I136" s="115"/>
      <c r="J136" s="692"/>
      <c r="K136" s="115"/>
      <c r="L136" s="115"/>
      <c r="M136" s="692"/>
      <c r="N136" s="115"/>
      <c r="O136" s="115"/>
      <c r="P136" s="115"/>
      <c r="Q136" s="115"/>
      <c r="R136" s="115"/>
      <c r="S136" s="115"/>
      <c r="T136" s="690"/>
      <c r="U136" s="706"/>
      <c r="V136" s="686"/>
    </row>
    <row r="137" spans="1:22">
      <c r="A137" s="115"/>
      <c r="B137" s="701"/>
      <c r="C137" s="685"/>
      <c r="D137" s="685"/>
      <c r="E137" s="685"/>
      <c r="F137" s="685"/>
      <c r="G137" s="685"/>
      <c r="H137" s="685"/>
      <c r="I137" s="685"/>
      <c r="J137" s="685"/>
      <c r="K137" s="685"/>
      <c r="L137" s="685"/>
      <c r="M137" s="685"/>
      <c r="N137" s="707"/>
      <c r="O137" s="685"/>
      <c r="P137" s="685"/>
      <c r="Q137" s="685"/>
      <c r="R137" s="707"/>
      <c r="S137" s="707"/>
      <c r="T137" s="707"/>
      <c r="U137" s="686"/>
      <c r="V137" s="686"/>
    </row>
    <row r="138" spans="1:22">
      <c r="A138" s="1053"/>
      <c r="B138" s="1053"/>
      <c r="C138" s="1053"/>
      <c r="D138" s="1053"/>
      <c r="E138" s="1053"/>
      <c r="F138" s="1053"/>
      <c r="G138" s="1053"/>
      <c r="H138" s="1053"/>
      <c r="I138" s="1053"/>
      <c r="J138" s="1053"/>
      <c r="K138" s="1053"/>
      <c r="L138" s="1053"/>
      <c r="M138" s="1053"/>
      <c r="N138" s="1053"/>
      <c r="O138" s="1053"/>
      <c r="P138" s="1053"/>
      <c r="Q138" s="1053"/>
      <c r="R138" s="1053"/>
      <c r="S138" s="1053"/>
      <c r="T138" s="1053"/>
      <c r="U138" s="1053"/>
      <c r="V138" s="1053"/>
    </row>
    <row r="139" spans="1:22">
      <c r="A139" s="115"/>
      <c r="B139" s="688"/>
      <c r="C139" s="115"/>
      <c r="D139" s="115"/>
      <c r="E139" s="115"/>
      <c r="F139" s="676"/>
      <c r="G139" s="676"/>
      <c r="H139" s="115"/>
      <c r="I139" s="115"/>
      <c r="J139" s="689"/>
      <c r="K139" s="690"/>
      <c r="L139" s="115"/>
      <c r="M139" s="692"/>
      <c r="N139" s="690"/>
      <c r="O139" s="115"/>
      <c r="P139" s="115"/>
      <c r="Q139" s="115"/>
      <c r="R139" s="676"/>
      <c r="S139" s="676"/>
      <c r="T139" s="690"/>
      <c r="U139" s="675"/>
      <c r="V139" s="686"/>
    </row>
    <row r="140" spans="1:22">
      <c r="A140" s="115"/>
      <c r="B140" s="688"/>
      <c r="C140" s="115"/>
      <c r="D140" s="692"/>
      <c r="E140" s="693"/>
      <c r="F140" s="676"/>
      <c r="G140" s="676"/>
      <c r="H140" s="115"/>
      <c r="I140" s="115"/>
      <c r="J140" s="689"/>
      <c r="K140" s="690"/>
      <c r="L140" s="115"/>
      <c r="M140" s="692"/>
      <c r="N140" s="690"/>
      <c r="O140" s="115"/>
      <c r="P140" s="115"/>
      <c r="Q140" s="115"/>
      <c r="R140" s="676"/>
      <c r="S140" s="676"/>
      <c r="T140" s="690"/>
      <c r="U140" s="675"/>
      <c r="V140" s="686"/>
    </row>
    <row r="141" spans="1:22">
      <c r="A141" s="115"/>
      <c r="B141" s="688"/>
      <c r="C141" s="115"/>
      <c r="D141" s="115"/>
      <c r="E141" s="693"/>
      <c r="F141" s="676"/>
      <c r="G141" s="689"/>
      <c r="H141" s="115"/>
      <c r="I141" s="115"/>
      <c r="J141" s="689"/>
      <c r="K141" s="690"/>
      <c r="L141" s="115"/>
      <c r="M141" s="692"/>
      <c r="N141" s="690"/>
      <c r="O141" s="115"/>
      <c r="P141" s="115"/>
      <c r="Q141" s="115"/>
      <c r="R141" s="676"/>
      <c r="S141" s="676"/>
      <c r="T141" s="690"/>
      <c r="U141" s="675"/>
      <c r="V141" s="686"/>
    </row>
    <row r="142" spans="1:22">
      <c r="A142" s="115"/>
      <c r="B142" s="688"/>
      <c r="C142" s="115"/>
      <c r="D142" s="115"/>
      <c r="E142" s="693"/>
      <c r="F142" s="676"/>
      <c r="G142" s="689"/>
      <c r="H142" s="115"/>
      <c r="I142" s="115"/>
      <c r="J142" s="689"/>
      <c r="K142" s="690"/>
      <c r="L142" s="115"/>
      <c r="M142" s="692"/>
      <c r="N142" s="690"/>
      <c r="O142" s="115"/>
      <c r="P142" s="115"/>
      <c r="Q142" s="115"/>
      <c r="R142" s="676"/>
      <c r="S142" s="676"/>
      <c r="T142" s="690"/>
      <c r="U142" s="675"/>
      <c r="V142" s="686"/>
    </row>
    <row r="143" spans="1:22">
      <c r="A143" s="115"/>
      <c r="B143" s="688"/>
      <c r="C143" s="115"/>
      <c r="D143" s="115"/>
      <c r="E143" s="693"/>
      <c r="F143" s="676"/>
      <c r="G143" s="689"/>
      <c r="H143" s="690"/>
      <c r="I143" s="115"/>
      <c r="J143" s="689"/>
      <c r="K143" s="690"/>
      <c r="L143" s="115"/>
      <c r="M143" s="692"/>
      <c r="N143" s="690"/>
      <c r="O143" s="115"/>
      <c r="P143" s="115"/>
      <c r="Q143" s="115"/>
      <c r="R143" s="676"/>
      <c r="S143" s="676"/>
      <c r="T143" s="690"/>
      <c r="U143" s="675"/>
      <c r="V143" s="686"/>
    </row>
    <row r="144" spans="1:22">
      <c r="A144" s="115"/>
      <c r="B144" s="688"/>
      <c r="C144" s="115"/>
      <c r="D144" s="115"/>
      <c r="E144" s="115"/>
      <c r="F144" s="676"/>
      <c r="G144" s="689"/>
      <c r="H144" s="690"/>
      <c r="I144" s="115"/>
      <c r="J144" s="689"/>
      <c r="K144" s="690"/>
      <c r="L144" s="115"/>
      <c r="M144" s="692"/>
      <c r="N144" s="690"/>
      <c r="O144" s="115"/>
      <c r="P144" s="115"/>
      <c r="Q144" s="115"/>
      <c r="R144" s="676"/>
      <c r="S144" s="676"/>
      <c r="T144" s="690"/>
      <c r="U144" s="675"/>
      <c r="V144" s="686"/>
    </row>
    <row r="145" spans="1:22">
      <c r="A145" s="115"/>
      <c r="B145" s="688"/>
      <c r="C145" s="115"/>
      <c r="D145" s="115"/>
      <c r="E145" s="115"/>
      <c r="F145" s="676"/>
      <c r="G145" s="689"/>
      <c r="H145" s="115"/>
      <c r="I145" s="115"/>
      <c r="J145" s="689"/>
      <c r="K145" s="690"/>
      <c r="L145" s="115"/>
      <c r="M145" s="692"/>
      <c r="N145" s="690"/>
      <c r="O145" s="115"/>
      <c r="P145" s="115"/>
      <c r="Q145" s="115"/>
      <c r="R145" s="676"/>
      <c r="S145" s="676"/>
      <c r="T145" s="690"/>
      <c r="U145" s="675"/>
      <c r="V145" s="686"/>
    </row>
    <row r="146" spans="1:22">
      <c r="A146" s="115"/>
      <c r="B146" s="688"/>
      <c r="C146" s="115"/>
      <c r="D146" s="115"/>
      <c r="E146" s="115"/>
      <c r="F146" s="676"/>
      <c r="G146" s="689"/>
      <c r="H146" s="115"/>
      <c r="I146" s="115"/>
      <c r="J146" s="689"/>
      <c r="K146" s="690"/>
      <c r="L146" s="115"/>
      <c r="M146" s="692"/>
      <c r="N146" s="690"/>
      <c r="O146" s="115"/>
      <c r="P146" s="115"/>
      <c r="Q146" s="115"/>
      <c r="R146" s="676"/>
      <c r="S146" s="676"/>
      <c r="T146" s="690"/>
      <c r="U146" s="675"/>
      <c r="V146" s="686"/>
    </row>
    <row r="147" spans="1:22">
      <c r="A147" s="115"/>
      <c r="B147" s="688"/>
      <c r="C147" s="115"/>
      <c r="D147" s="115"/>
      <c r="E147" s="115"/>
      <c r="F147" s="676"/>
      <c r="G147" s="689"/>
      <c r="H147" s="115"/>
      <c r="I147" s="115"/>
      <c r="J147" s="689"/>
      <c r="K147" s="690"/>
      <c r="L147" s="115"/>
      <c r="M147" s="692"/>
      <c r="N147" s="690"/>
      <c r="O147" s="115"/>
      <c r="P147" s="115"/>
      <c r="Q147" s="115"/>
      <c r="R147" s="676"/>
      <c r="S147" s="676"/>
      <c r="T147" s="690"/>
      <c r="U147" s="675"/>
      <c r="V147" s="686"/>
    </row>
    <row r="148" spans="1:22">
      <c r="A148" s="115"/>
      <c r="B148" s="688"/>
      <c r="C148" s="115"/>
      <c r="D148" s="115"/>
      <c r="E148" s="115"/>
      <c r="F148" s="676"/>
      <c r="G148" s="676"/>
      <c r="H148" s="690"/>
      <c r="I148" s="690"/>
      <c r="J148" s="689"/>
      <c r="K148" s="690"/>
      <c r="L148" s="115"/>
      <c r="M148" s="692"/>
      <c r="N148" s="690"/>
      <c r="O148" s="115"/>
      <c r="P148" s="115"/>
      <c r="Q148" s="115"/>
      <c r="R148" s="676"/>
      <c r="S148" s="676"/>
      <c r="T148" s="690"/>
      <c r="U148" s="675"/>
      <c r="V148" s="686"/>
    </row>
    <row r="149" spans="1:22">
      <c r="A149" s="115"/>
      <c r="B149" s="688"/>
      <c r="C149" s="115"/>
      <c r="D149" s="115"/>
      <c r="E149" s="115"/>
      <c r="F149" s="676"/>
      <c r="G149" s="676"/>
      <c r="H149" s="690"/>
      <c r="I149" s="690"/>
      <c r="J149" s="689"/>
      <c r="K149" s="690"/>
      <c r="L149" s="115"/>
      <c r="M149" s="692"/>
      <c r="N149" s="690"/>
      <c r="O149" s="115"/>
      <c r="P149" s="115"/>
      <c r="Q149" s="115"/>
      <c r="R149" s="676"/>
      <c r="S149" s="676"/>
      <c r="T149" s="690"/>
      <c r="U149" s="675"/>
      <c r="V149" s="686"/>
    </row>
    <row r="150" spans="1:22">
      <c r="A150" s="685"/>
      <c r="B150" s="701"/>
      <c r="C150" s="702"/>
      <c r="D150" s="685"/>
      <c r="E150" s="685"/>
      <c r="F150" s="686"/>
      <c r="G150" s="686"/>
      <c r="H150" s="686"/>
      <c r="I150" s="686"/>
      <c r="J150" s="686"/>
      <c r="K150" s="686"/>
      <c r="L150" s="686"/>
      <c r="M150" s="686"/>
      <c r="N150" s="686"/>
      <c r="O150" s="686"/>
      <c r="P150" s="686"/>
      <c r="Q150" s="686"/>
      <c r="R150" s="686"/>
      <c r="S150" s="686"/>
      <c r="T150" s="686"/>
      <c r="U150" s="686"/>
      <c r="V150" s="686"/>
    </row>
    <row r="151" spans="1:22">
      <c r="A151" s="1053"/>
      <c r="B151" s="1053"/>
      <c r="C151" s="1053"/>
      <c r="D151" s="1053"/>
      <c r="E151" s="1053"/>
      <c r="F151" s="1053"/>
      <c r="G151" s="1053"/>
      <c r="H151" s="1053"/>
      <c r="I151" s="1053"/>
      <c r="J151" s="1053"/>
      <c r="K151" s="1053"/>
      <c r="L151" s="1053"/>
      <c r="M151" s="1053"/>
      <c r="N151" s="1053"/>
      <c r="O151" s="1053"/>
      <c r="P151" s="1053"/>
      <c r="Q151" s="1053"/>
      <c r="R151" s="1053"/>
      <c r="S151" s="1053"/>
      <c r="T151" s="1053"/>
      <c r="U151" s="1053"/>
      <c r="V151" s="1053"/>
    </row>
    <row r="152" spans="1:22">
      <c r="A152" s="115"/>
      <c r="B152" s="688"/>
      <c r="C152" s="115"/>
      <c r="D152" s="115"/>
      <c r="E152" s="115"/>
      <c r="F152" s="115"/>
      <c r="G152" s="115"/>
      <c r="H152" s="115"/>
      <c r="I152" s="115"/>
      <c r="J152" s="689"/>
      <c r="K152" s="690"/>
      <c r="L152" s="115"/>
      <c r="M152" s="692"/>
      <c r="N152" s="690"/>
      <c r="O152" s="115"/>
      <c r="P152" s="115"/>
      <c r="Q152" s="115"/>
      <c r="R152" s="115"/>
      <c r="S152" s="115"/>
      <c r="T152" s="690"/>
      <c r="U152" s="675"/>
      <c r="V152" s="686"/>
    </row>
    <row r="153" spans="1:22">
      <c r="A153" s="115"/>
      <c r="B153" s="688"/>
      <c r="C153" s="115"/>
      <c r="D153" s="692"/>
      <c r="E153" s="693"/>
      <c r="F153" s="693"/>
      <c r="G153" s="115"/>
      <c r="H153" s="115"/>
      <c r="I153" s="115"/>
      <c r="J153" s="689"/>
      <c r="K153" s="690"/>
      <c r="L153" s="115"/>
      <c r="M153" s="692"/>
      <c r="N153" s="690"/>
      <c r="O153" s="115"/>
      <c r="P153" s="115"/>
      <c r="Q153" s="115"/>
      <c r="R153" s="115"/>
      <c r="S153" s="115"/>
      <c r="T153" s="690"/>
      <c r="U153" s="675"/>
      <c r="V153" s="686"/>
    </row>
    <row r="154" spans="1:22">
      <c r="A154" s="115"/>
      <c r="B154" s="688"/>
      <c r="C154" s="115"/>
      <c r="D154" s="115"/>
      <c r="E154" s="115"/>
      <c r="F154" s="115"/>
      <c r="G154" s="692"/>
      <c r="H154" s="115"/>
      <c r="I154" s="115"/>
      <c r="J154" s="689"/>
      <c r="K154" s="690"/>
      <c r="L154" s="115"/>
      <c r="M154" s="692"/>
      <c r="N154" s="690"/>
      <c r="O154" s="115"/>
      <c r="P154" s="115"/>
      <c r="Q154" s="115"/>
      <c r="R154" s="115"/>
      <c r="S154" s="115"/>
      <c r="T154" s="690"/>
      <c r="U154" s="675"/>
      <c r="V154" s="686"/>
    </row>
    <row r="155" spans="1:22">
      <c r="A155" s="115"/>
      <c r="B155" s="695"/>
      <c r="C155" s="696"/>
      <c r="D155" s="696"/>
      <c r="E155" s="696"/>
      <c r="F155" s="696"/>
      <c r="G155" s="692"/>
      <c r="H155" s="115"/>
      <c r="I155" s="696"/>
      <c r="J155" s="705"/>
      <c r="K155" s="690"/>
      <c r="L155" s="696"/>
      <c r="M155" s="698"/>
      <c r="N155" s="691"/>
      <c r="O155" s="696"/>
      <c r="P155" s="696"/>
      <c r="Q155" s="696"/>
      <c r="R155" s="115"/>
      <c r="S155" s="115"/>
      <c r="T155" s="690"/>
      <c r="U155" s="675"/>
      <c r="V155" s="686"/>
    </row>
    <row r="156" spans="1:22">
      <c r="A156" s="115"/>
      <c r="B156" s="688"/>
      <c r="C156" s="115"/>
      <c r="D156" s="115"/>
      <c r="E156" s="115"/>
      <c r="F156" s="115"/>
      <c r="G156" s="692"/>
      <c r="H156" s="115"/>
      <c r="I156" s="115"/>
      <c r="J156" s="689"/>
      <c r="K156" s="690"/>
      <c r="L156" s="115"/>
      <c r="M156" s="692"/>
      <c r="N156" s="690"/>
      <c r="O156" s="115"/>
      <c r="P156" s="115"/>
      <c r="Q156" s="115"/>
      <c r="R156" s="115"/>
      <c r="S156" s="115"/>
      <c r="T156" s="690"/>
      <c r="U156" s="675"/>
      <c r="V156" s="686"/>
    </row>
    <row r="157" spans="1:22">
      <c r="A157" s="115"/>
      <c r="B157" s="688"/>
      <c r="C157" s="115"/>
      <c r="D157" s="115"/>
      <c r="E157" s="115"/>
      <c r="F157" s="115"/>
      <c r="G157" s="692"/>
      <c r="H157" s="115"/>
      <c r="I157" s="115"/>
      <c r="J157" s="689"/>
      <c r="K157" s="690"/>
      <c r="L157" s="115"/>
      <c r="M157" s="692"/>
      <c r="N157" s="690"/>
      <c r="O157" s="115"/>
      <c r="P157" s="115"/>
      <c r="Q157" s="690"/>
      <c r="R157" s="115"/>
      <c r="S157" s="115"/>
      <c r="T157" s="690"/>
      <c r="U157" s="675"/>
      <c r="V157" s="686"/>
    </row>
    <row r="158" spans="1:22">
      <c r="A158" s="115"/>
      <c r="B158" s="688"/>
      <c r="C158" s="115"/>
      <c r="D158" s="115"/>
      <c r="E158" s="115"/>
      <c r="F158" s="115"/>
      <c r="G158" s="692"/>
      <c r="H158" s="115"/>
      <c r="I158" s="690"/>
      <c r="J158" s="115"/>
      <c r="K158" s="691"/>
      <c r="L158" s="115"/>
      <c r="M158" s="692"/>
      <c r="N158" s="690"/>
      <c r="O158" s="115"/>
      <c r="P158" s="115"/>
      <c r="Q158" s="690"/>
      <c r="R158" s="115"/>
      <c r="S158" s="115"/>
      <c r="T158" s="690"/>
      <c r="U158" s="675"/>
      <c r="V158" s="686"/>
    </row>
    <row r="159" spans="1:22">
      <c r="A159" s="115"/>
      <c r="B159" s="701"/>
      <c r="C159" s="702"/>
      <c r="D159" s="115"/>
      <c r="E159" s="115"/>
      <c r="F159" s="686"/>
      <c r="G159" s="686"/>
      <c r="H159" s="686"/>
      <c r="I159" s="708"/>
      <c r="J159" s="686"/>
      <c r="K159" s="686"/>
      <c r="L159" s="686"/>
      <c r="M159" s="686"/>
      <c r="N159" s="686"/>
      <c r="O159" s="686"/>
      <c r="P159" s="686"/>
      <c r="Q159" s="686"/>
      <c r="R159" s="686"/>
      <c r="S159" s="686"/>
      <c r="T159" s="686"/>
      <c r="U159" s="686"/>
      <c r="V159" s="686"/>
    </row>
    <row r="160" spans="1:22">
      <c r="A160" s="662"/>
      <c r="B160" s="663"/>
      <c r="C160" s="664"/>
      <c r="D160" s="664"/>
      <c r="E160" s="664"/>
      <c r="F160" s="665"/>
      <c r="G160" s="665"/>
      <c r="H160" s="665"/>
      <c r="I160" s="665"/>
      <c r="J160" s="664"/>
      <c r="K160" s="665"/>
      <c r="L160" s="664"/>
      <c r="M160" s="664"/>
      <c r="N160" s="664"/>
      <c r="O160" s="664"/>
      <c r="P160" s="664"/>
      <c r="Q160" s="664"/>
      <c r="R160" s="664"/>
      <c r="S160" s="664"/>
      <c r="T160" s="664"/>
      <c r="U160" s="665"/>
      <c r="V160" s="665"/>
    </row>
    <row r="161" spans="1:22">
      <c r="A161" s="662"/>
      <c r="B161" s="663"/>
      <c r="C161" s="664"/>
      <c r="D161" s="664"/>
      <c r="E161" s="664"/>
      <c r="F161" s="665"/>
      <c r="G161" s="665"/>
      <c r="H161" s="665"/>
      <c r="I161" s="665"/>
      <c r="J161" s="664"/>
      <c r="K161" s="665"/>
      <c r="L161" s="664"/>
      <c r="M161" s="664"/>
      <c r="N161" s="664"/>
      <c r="O161" s="664"/>
      <c r="P161" s="664"/>
      <c r="Q161" s="664"/>
      <c r="R161" s="664"/>
      <c r="S161" s="664"/>
      <c r="T161" s="664"/>
      <c r="U161" s="665"/>
      <c r="V161" s="665"/>
    </row>
    <row r="162" spans="1:22">
      <c r="A162" s="666"/>
      <c r="B162" s="667"/>
      <c r="C162" s="668"/>
      <c r="D162" s="668"/>
      <c r="E162" s="668"/>
      <c r="F162" s="669"/>
      <c r="G162" s="670"/>
      <c r="H162" s="1058"/>
      <c r="I162" s="1058"/>
      <c r="J162" s="668"/>
      <c r="K162" s="1059"/>
      <c r="L162" s="1059"/>
      <c r="M162" s="1059"/>
      <c r="N162" s="1059"/>
      <c r="O162" s="1060"/>
      <c r="P162" s="1060"/>
      <c r="Q162" s="1060"/>
      <c r="R162" s="668"/>
      <c r="S162" s="668"/>
      <c r="T162" s="668"/>
      <c r="U162" s="670"/>
      <c r="V162" s="670"/>
    </row>
    <row r="163" spans="1:22">
      <c r="A163" s="666"/>
      <c r="B163" s="667"/>
      <c r="C163" s="668"/>
      <c r="D163" s="668"/>
      <c r="E163" s="668"/>
      <c r="F163" s="670"/>
      <c r="G163" s="670"/>
      <c r="H163" s="670"/>
      <c r="I163" s="670"/>
      <c r="J163" s="668"/>
      <c r="K163" s="670"/>
      <c r="L163" s="668"/>
      <c r="M163" s="668"/>
      <c r="N163" s="668"/>
      <c r="O163" s="1060"/>
      <c r="P163" s="1060"/>
      <c r="Q163" s="1060"/>
      <c r="R163" s="668"/>
      <c r="S163" s="668"/>
      <c r="T163" s="668"/>
      <c r="U163" s="670"/>
      <c r="V163" s="670"/>
    </row>
    <row r="164" spans="1:22" ht="15.75">
      <c r="A164" s="666"/>
      <c r="B164" s="671"/>
      <c r="C164" s="672"/>
      <c r="D164" s="672"/>
      <c r="E164" s="672"/>
      <c r="F164" s="673"/>
      <c r="G164" s="673"/>
      <c r="H164" s="673"/>
      <c r="I164" s="673"/>
      <c r="J164" s="672"/>
      <c r="K164" s="673"/>
      <c r="L164" s="672"/>
      <c r="M164" s="672"/>
      <c r="N164" s="672"/>
      <c r="O164" s="1057"/>
      <c r="P164" s="1057"/>
      <c r="Q164" s="1057"/>
      <c r="R164" s="674"/>
      <c r="S164" s="674"/>
      <c r="T164" s="668"/>
      <c r="U164" s="673"/>
      <c r="V164" s="673"/>
    </row>
    <row r="165" spans="1:22" ht="15.75">
      <c r="A165" s="666"/>
      <c r="B165" s="636"/>
      <c r="C165" s="636"/>
      <c r="D165" s="636"/>
      <c r="E165" s="636"/>
      <c r="F165" s="636"/>
      <c r="G165" s="636"/>
      <c r="H165" s="636"/>
      <c r="I165" s="636"/>
      <c r="J165" s="636"/>
      <c r="K165" s="636"/>
      <c r="L165" s="636"/>
      <c r="M165" s="636"/>
      <c r="N165" s="636"/>
      <c r="O165" s="636"/>
      <c r="P165" s="636"/>
      <c r="Q165" s="636"/>
      <c r="R165" s="636"/>
      <c r="S165" s="636"/>
      <c r="T165" s="672"/>
      <c r="U165" s="673"/>
      <c r="V165" s="673"/>
    </row>
    <row r="166" spans="1:22">
      <c r="A166" s="115"/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056"/>
      <c r="U166" s="1056"/>
      <c r="V166" s="675"/>
    </row>
    <row r="167" spans="1:22" ht="15.75">
      <c r="A167" s="675"/>
      <c r="B167" s="671"/>
      <c r="C167" s="672"/>
      <c r="D167" s="672"/>
      <c r="E167" s="672"/>
      <c r="F167" s="673"/>
      <c r="G167" s="673"/>
      <c r="H167" s="673"/>
      <c r="I167" s="673"/>
      <c r="J167" s="672"/>
      <c r="K167" s="673"/>
      <c r="L167" s="672"/>
      <c r="M167" s="672"/>
      <c r="N167" s="672"/>
      <c r="O167" s="1057"/>
      <c r="P167" s="1057"/>
      <c r="Q167" s="1057"/>
      <c r="R167" s="674"/>
      <c r="S167" s="674"/>
      <c r="T167" s="676"/>
      <c r="U167" s="676"/>
      <c r="V167" s="676"/>
    </row>
  </sheetData>
  <mergeCells count="62">
    <mergeCell ref="A35:V35"/>
    <mergeCell ref="A44:V44"/>
    <mergeCell ref="A56:V56"/>
    <mergeCell ref="A69:V69"/>
    <mergeCell ref="O164:Q164"/>
    <mergeCell ref="R90:R91"/>
    <mergeCell ref="T90:T91"/>
    <mergeCell ref="U90:U91"/>
    <mergeCell ref="V90:V91"/>
    <mergeCell ref="G91:H91"/>
    <mergeCell ref="A90:A92"/>
    <mergeCell ref="B90:B92"/>
    <mergeCell ref="C90:C92"/>
    <mergeCell ref="D90:D92"/>
    <mergeCell ref="E90:E91"/>
    <mergeCell ref="Q81:V81"/>
    <mergeCell ref="T166:U166"/>
    <mergeCell ref="O167:Q167"/>
    <mergeCell ref="A126:V126"/>
    <mergeCell ref="A138:V138"/>
    <mergeCell ref="A151:V151"/>
    <mergeCell ref="H162:I162"/>
    <mergeCell ref="K162:N162"/>
    <mergeCell ref="O162:Q162"/>
    <mergeCell ref="O163:Q163"/>
    <mergeCell ref="A94:V94"/>
    <mergeCell ref="A117:V117"/>
    <mergeCell ref="M9:N9"/>
    <mergeCell ref="A12:V12"/>
    <mergeCell ref="R8:R9"/>
    <mergeCell ref="B87:V87"/>
    <mergeCell ref="B88:V88"/>
    <mergeCell ref="B89:V89"/>
    <mergeCell ref="F90:F91"/>
    <mergeCell ref="G90:I90"/>
    <mergeCell ref="J90:N90"/>
    <mergeCell ref="O90:Q90"/>
    <mergeCell ref="Q83:V83"/>
    <mergeCell ref="Q86:U86"/>
    <mergeCell ref="J91:K91"/>
    <mergeCell ref="M91:N91"/>
    <mergeCell ref="B7:V7"/>
    <mergeCell ref="B8:B10"/>
    <mergeCell ref="C8:C10"/>
    <mergeCell ref="D8:D10"/>
    <mergeCell ref="E8:E9"/>
    <mergeCell ref="F8:F9"/>
    <mergeCell ref="G8:I8"/>
    <mergeCell ref="J8:N8"/>
    <mergeCell ref="O8:Q8"/>
    <mergeCell ref="T8:T9"/>
    <mergeCell ref="U8:U9"/>
    <mergeCell ref="V8:V9"/>
    <mergeCell ref="G9:H9"/>
    <mergeCell ref="J9:K9"/>
    <mergeCell ref="S8:S9"/>
    <mergeCell ref="B6:V6"/>
    <mergeCell ref="R1:V1"/>
    <mergeCell ref="R2:V2"/>
    <mergeCell ref="R3:V3"/>
    <mergeCell ref="R4:V4"/>
    <mergeCell ref="B5:V5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54" orientation="portrait" r:id="rId1"/>
  <rowBreaks count="1" manualBreakCount="1">
    <brk id="79" max="20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85"/>
  <sheetViews>
    <sheetView view="pageBreakPreview" topLeftCell="A19" zoomScale="96" zoomScaleNormal="100" zoomScaleSheetLayoutView="96" workbookViewId="0">
      <selection activeCell="B62" sqref="B62:B63"/>
    </sheetView>
  </sheetViews>
  <sheetFormatPr defaultColWidth="9.140625" defaultRowHeight="15.75"/>
  <cols>
    <col min="1" max="1" width="6.28515625" style="195" customWidth="1"/>
    <col min="2" max="2" width="68.140625" style="5" customWidth="1"/>
    <col min="3" max="3" width="9.7109375" style="5" customWidth="1"/>
    <col min="4" max="4" width="10" style="5" customWidth="1"/>
    <col min="5" max="5" width="12" style="5" customWidth="1"/>
    <col min="6" max="6" width="11.5703125" style="5" customWidth="1"/>
    <col min="7" max="7" width="16.7109375" style="5" customWidth="1"/>
    <col min="8" max="8" width="9.42578125" style="5" bestFit="1" customWidth="1"/>
    <col min="9" max="12" width="9.140625" style="5"/>
    <col min="13" max="13" width="21" style="5" customWidth="1"/>
    <col min="14" max="15" width="9.140625" style="5"/>
    <col min="16" max="16" width="10.7109375" style="5" customWidth="1"/>
    <col min="17" max="16384" width="9.140625" style="5"/>
  </cols>
  <sheetData>
    <row r="1" spans="1:16" ht="21.6" customHeight="1">
      <c r="A1" s="1080" t="s">
        <v>590</v>
      </c>
      <c r="B1" s="1080"/>
      <c r="C1" s="1080"/>
      <c r="D1" s="1080"/>
      <c r="E1" s="1080"/>
      <c r="F1" s="445"/>
      <c r="M1" s="188"/>
      <c r="N1" s="187"/>
      <c r="O1" s="187"/>
      <c r="P1" s="204"/>
    </row>
    <row r="2" spans="1:16" ht="15.6" customHeight="1">
      <c r="A2" s="10"/>
      <c r="B2" s="10"/>
      <c r="C2" s="10"/>
      <c r="D2" s="10"/>
      <c r="E2" s="10"/>
      <c r="F2" s="10"/>
      <c r="P2" s="205"/>
    </row>
    <row r="3" spans="1:16" ht="15.75" customHeight="1">
      <c r="A3" s="1023" t="s">
        <v>76</v>
      </c>
      <c r="B3" s="1023"/>
      <c r="C3" s="1023"/>
      <c r="D3" s="1023"/>
      <c r="E3" s="1023"/>
      <c r="F3" s="398"/>
    </row>
    <row r="4" spans="1:16" ht="54" customHeight="1">
      <c r="A4" s="451" t="s">
        <v>211</v>
      </c>
      <c r="B4" s="192" t="s">
        <v>212</v>
      </c>
      <c r="C4" s="192" t="s">
        <v>488</v>
      </c>
      <c r="D4" s="192" t="s">
        <v>274</v>
      </c>
      <c r="E4" s="192" t="s">
        <v>554</v>
      </c>
      <c r="F4" s="192" t="s">
        <v>722</v>
      </c>
    </row>
    <row r="5" spans="1:16" ht="31.5">
      <c r="A5" s="13" t="s">
        <v>296</v>
      </c>
      <c r="B5" s="813" t="s">
        <v>478</v>
      </c>
      <c r="C5" s="240"/>
      <c r="D5" s="240"/>
      <c r="E5" s="241"/>
      <c r="F5" s="241"/>
    </row>
    <row r="6" spans="1:16" ht="31.9" customHeight="1">
      <c r="A6" s="541" t="s">
        <v>66</v>
      </c>
      <c r="B6" s="814" t="s">
        <v>463</v>
      </c>
      <c r="C6" s="242"/>
      <c r="D6" s="242"/>
      <c r="E6" s="243"/>
      <c r="F6" s="243"/>
      <c r="G6" s="285"/>
      <c r="H6" s="285"/>
      <c r="I6" s="285"/>
      <c r="L6" s="1068"/>
      <c r="M6" s="1069"/>
      <c r="N6" s="29"/>
      <c r="O6" s="196"/>
      <c r="P6" s="197"/>
    </row>
    <row r="7" spans="1:16" ht="13.15" customHeight="1">
      <c r="A7" s="13" t="s">
        <v>464</v>
      </c>
      <c r="B7" s="815" t="s">
        <v>466</v>
      </c>
      <c r="C7" s="198" t="s">
        <v>171</v>
      </c>
      <c r="D7" s="198">
        <v>15</v>
      </c>
      <c r="E7" s="199">
        <f>('міос,ноги,короб,алімп, корон'!E18+'міос,ноги,короб,алімп, корон'!E23)/60*'ІІІ відділення'!D7</f>
        <v>9.8175000000000008</v>
      </c>
      <c r="F7" s="199">
        <v>9.8000000000000007</v>
      </c>
      <c r="G7" s="200"/>
      <c r="H7" s="200"/>
      <c r="I7" s="200"/>
      <c r="L7" s="1068"/>
      <c r="M7" s="1069"/>
      <c r="N7" s="29"/>
      <c r="O7" s="196"/>
      <c r="P7" s="197"/>
    </row>
    <row r="8" spans="1:16" ht="13.15" customHeight="1">
      <c r="A8" s="13" t="s">
        <v>465</v>
      </c>
      <c r="B8" s="815" t="s">
        <v>1133</v>
      </c>
      <c r="C8" s="198" t="s">
        <v>171</v>
      </c>
      <c r="D8" s="198">
        <v>15</v>
      </c>
      <c r="E8" s="199">
        <f>('міос,ноги,короб,алімп, корон'!E18+'міос,ноги,короб,алімп, корон'!E41)/60*'ІІІ відділення'!D8</f>
        <v>10.01</v>
      </c>
      <c r="F8" s="199">
        <v>10</v>
      </c>
      <c r="G8" s="200"/>
      <c r="H8" s="200"/>
      <c r="I8" s="200"/>
      <c r="L8" s="187"/>
      <c r="M8" s="446"/>
      <c r="N8" s="29"/>
      <c r="O8" s="196"/>
      <c r="P8" s="197"/>
    </row>
    <row r="9" spans="1:16" ht="13.15" customHeight="1">
      <c r="A9" s="13" t="s">
        <v>467</v>
      </c>
      <c r="B9" s="611" t="s">
        <v>485</v>
      </c>
      <c r="C9" s="198" t="s">
        <v>171</v>
      </c>
      <c r="D9" s="198">
        <v>15</v>
      </c>
      <c r="E9" s="199">
        <f>('міос,ноги,короб,алімп, корон'!E18+'міос,ноги,короб,алімп, корон'!E45)/60*'ІІІ відділення'!D9</f>
        <v>10.8825</v>
      </c>
      <c r="F9" s="199">
        <v>10.9</v>
      </c>
      <c r="G9" s="200"/>
      <c r="H9" s="200"/>
      <c r="I9" s="200"/>
      <c r="L9" s="187"/>
      <c r="M9" s="446"/>
      <c r="N9" s="29"/>
      <c r="O9" s="196"/>
      <c r="P9" s="197"/>
    </row>
    <row r="10" spans="1:16" ht="12.6" customHeight="1">
      <c r="A10" s="13" t="s">
        <v>469</v>
      </c>
      <c r="B10" s="608" t="s">
        <v>716</v>
      </c>
      <c r="C10" s="198" t="s">
        <v>171</v>
      </c>
      <c r="D10" s="198">
        <v>15</v>
      </c>
      <c r="E10" s="199">
        <f>('міос,ноги,короб,алімп, корон'!E18+'міос,ноги,короб,алімп, корон'!E48)/60*'ІІІ відділення'!D10</f>
        <v>10.407500000000001</v>
      </c>
      <c r="F10" s="199">
        <v>10.4</v>
      </c>
      <c r="G10" s="200"/>
      <c r="H10" s="200"/>
      <c r="I10" s="200"/>
      <c r="L10" s="187"/>
      <c r="M10" s="446"/>
      <c r="N10" s="29"/>
      <c r="O10" s="196"/>
      <c r="P10" s="197"/>
    </row>
    <row r="11" spans="1:16" ht="14.45" customHeight="1">
      <c r="A11" s="541" t="s">
        <v>244</v>
      </c>
      <c r="B11" s="817" t="s">
        <v>512</v>
      </c>
      <c r="C11" s="6"/>
      <c r="D11" s="6"/>
      <c r="E11" s="6"/>
      <c r="F11" s="199"/>
      <c r="G11" s="200"/>
      <c r="H11" s="201"/>
      <c r="I11" s="200"/>
      <c r="L11" s="187"/>
      <c r="M11" s="187"/>
      <c r="N11" s="187"/>
      <c r="O11" s="457"/>
      <c r="P11" s="458"/>
    </row>
    <row r="12" spans="1:16" ht="14.45" customHeight="1">
      <c r="A12" s="13" t="s">
        <v>765</v>
      </c>
      <c r="B12" s="7" t="s">
        <v>512</v>
      </c>
      <c r="C12" s="198" t="s">
        <v>171</v>
      </c>
      <c r="D12" s="198">
        <v>2</v>
      </c>
      <c r="E12" s="199">
        <f>'вимір. тиску'!D36/60*'ІІІ відділення'!D12</f>
        <v>4.9850000000000003</v>
      </c>
      <c r="F12" s="199">
        <v>5</v>
      </c>
      <c r="G12" s="200" t="s">
        <v>775</v>
      </c>
      <c r="H12" s="201"/>
      <c r="I12" s="200"/>
      <c r="L12" s="187"/>
      <c r="M12" s="187"/>
      <c r="N12" s="187"/>
      <c r="O12" s="457"/>
      <c r="P12" s="458"/>
    </row>
    <row r="13" spans="1:16" ht="14.45" customHeight="1">
      <c r="A13" s="459" t="s">
        <v>219</v>
      </c>
      <c r="B13" s="818" t="s">
        <v>145</v>
      </c>
      <c r="C13" s="198"/>
      <c r="D13" s="198"/>
      <c r="E13" s="199"/>
      <c r="F13" s="199"/>
      <c r="G13" s="200"/>
      <c r="H13" s="201"/>
      <c r="I13" s="200"/>
      <c r="L13" s="187"/>
      <c r="M13" s="187"/>
      <c r="N13" s="187"/>
      <c r="O13" s="457"/>
      <c r="P13" s="458"/>
    </row>
    <row r="14" spans="1:16" ht="55.9" customHeight="1">
      <c r="A14" s="238" t="s">
        <v>179</v>
      </c>
      <c r="B14" s="819" t="s">
        <v>721</v>
      </c>
      <c r="C14" s="239" t="s">
        <v>171</v>
      </c>
      <c r="D14" s="239">
        <v>30</v>
      </c>
      <c r="E14" s="203">
        <f>(Психолог!E14+Психолог!E23)/60*'ІІІ відділення'!D14</f>
        <v>54.74</v>
      </c>
      <c r="F14" s="203">
        <v>54.7</v>
      </c>
      <c r="G14" s="540" t="s">
        <v>751</v>
      </c>
      <c r="H14" s="201"/>
      <c r="I14" s="200"/>
      <c r="L14" s="187"/>
      <c r="M14" s="187"/>
      <c r="N14" s="187"/>
      <c r="O14" s="457"/>
      <c r="P14" s="458"/>
    </row>
    <row r="15" spans="1:16" ht="29.45" customHeight="1">
      <c r="A15" s="238" t="s">
        <v>107</v>
      </c>
      <c r="B15" s="820" t="s">
        <v>764</v>
      </c>
      <c r="C15" s="239" t="s">
        <v>171</v>
      </c>
      <c r="D15" s="239">
        <v>45</v>
      </c>
      <c r="E15" s="203">
        <f>(Психолог!E14+Психолог!E23)/60*'ІІІ відділення'!D15</f>
        <v>82.11</v>
      </c>
      <c r="F15" s="203">
        <v>82.1</v>
      </c>
      <c r="G15" s="540" t="s">
        <v>751</v>
      </c>
      <c r="H15" s="201"/>
      <c r="I15" s="200"/>
      <c r="L15" s="187"/>
      <c r="M15" s="187"/>
      <c r="N15" s="187"/>
      <c r="O15" s="457"/>
      <c r="P15" s="458"/>
    </row>
    <row r="16" spans="1:16" ht="29.45" customHeight="1">
      <c r="A16" s="238" t="s">
        <v>182</v>
      </c>
      <c r="B16" s="821" t="s">
        <v>479</v>
      </c>
      <c r="C16" s="239" t="s">
        <v>171</v>
      </c>
      <c r="D16" s="239">
        <v>60</v>
      </c>
      <c r="E16" s="203">
        <f>(Психолог!E14+Психолог!E23)/60*'ІІІ відділення'!D16</f>
        <v>109.48</v>
      </c>
      <c r="F16" s="203">
        <v>109.5</v>
      </c>
      <c r="G16" s="200" t="s">
        <v>751</v>
      </c>
      <c r="H16" s="201"/>
      <c r="I16" s="200"/>
      <c r="L16" s="187"/>
      <c r="M16" s="187"/>
      <c r="N16" s="187"/>
      <c r="O16" s="457"/>
      <c r="P16" s="458"/>
    </row>
    <row r="17" spans="1:16" ht="29.45" customHeight="1">
      <c r="A17" s="1073" t="s">
        <v>112</v>
      </c>
      <c r="B17" s="821" t="s">
        <v>749</v>
      </c>
      <c r="C17" s="1074" t="s">
        <v>477</v>
      </c>
      <c r="D17" s="1074">
        <v>30</v>
      </c>
      <c r="E17" s="203">
        <f>('фітотер, оксиген, аромотер'!E17+'фітотер, оксиген, аромотер'!E45)/60*'ІІІ відділення'!D17</f>
        <v>72.430549999999997</v>
      </c>
      <c r="F17" s="203">
        <v>72.400000000000006</v>
      </c>
      <c r="G17" s="200"/>
      <c r="H17" s="201"/>
      <c r="I17" s="200"/>
      <c r="L17" s="187"/>
      <c r="M17" s="187"/>
      <c r="N17" s="187"/>
      <c r="O17" s="457"/>
      <c r="P17" s="458"/>
    </row>
    <row r="18" spans="1:16" ht="14.45" customHeight="1">
      <c r="A18" s="1073"/>
      <c r="B18" s="822" t="s">
        <v>723</v>
      </c>
      <c r="C18" s="1074"/>
      <c r="D18" s="1074"/>
      <c r="E18" s="203">
        <f>E17/10</f>
        <v>7.243055</v>
      </c>
      <c r="F18" s="203">
        <v>7.2</v>
      </c>
      <c r="G18" s="200"/>
      <c r="H18" s="201"/>
      <c r="I18" s="200"/>
      <c r="L18" s="187"/>
      <c r="M18" s="187"/>
      <c r="N18" s="187"/>
      <c r="O18" s="457"/>
      <c r="P18" s="458"/>
    </row>
    <row r="19" spans="1:16" ht="14.45" customHeight="1">
      <c r="A19" s="459" t="s">
        <v>223</v>
      </c>
      <c r="B19" s="27" t="s">
        <v>480</v>
      </c>
      <c r="C19" s="198"/>
      <c r="D19" s="198"/>
      <c r="E19" s="199"/>
      <c r="F19" s="199"/>
      <c r="G19" s="200"/>
      <c r="H19" s="201"/>
      <c r="I19" s="200"/>
      <c r="L19" s="187"/>
      <c r="M19" s="187"/>
      <c r="N19" s="187"/>
      <c r="O19" s="457"/>
      <c r="P19" s="458"/>
    </row>
    <row r="20" spans="1:16" ht="42" customHeight="1">
      <c r="A20" s="542" t="s">
        <v>224</v>
      </c>
      <c r="B20" s="823" t="s">
        <v>719</v>
      </c>
      <c r="C20" s="6"/>
      <c r="D20" s="6"/>
      <c r="E20" s="6"/>
      <c r="F20" s="6"/>
      <c r="G20" s="200"/>
      <c r="H20" s="201"/>
      <c r="I20" s="200"/>
      <c r="L20" s="187"/>
      <c r="M20" s="187"/>
      <c r="N20" s="187"/>
      <c r="O20" s="457"/>
      <c r="P20" s="458"/>
    </row>
    <row r="21" spans="1:16" ht="16.899999999999999" customHeight="1">
      <c r="A21" s="1083" t="s">
        <v>766</v>
      </c>
      <c r="B21" s="19" t="s">
        <v>840</v>
      </c>
      <c r="C21" s="239" t="s">
        <v>477</v>
      </c>
      <c r="D21" s="239">
        <v>30</v>
      </c>
      <c r="E21" s="203">
        <f>'фіз.реаб театр., зан.в залі'!E18/60*'ІІІ відділення'!D21</f>
        <v>72.64</v>
      </c>
      <c r="F21" s="203">
        <v>72.599999999999994</v>
      </c>
      <c r="G21" s="200"/>
      <c r="H21" s="201"/>
      <c r="I21" s="200"/>
      <c r="L21" s="187"/>
      <c r="M21" s="187"/>
      <c r="N21" s="187"/>
      <c r="O21" s="457"/>
      <c r="P21" s="458"/>
    </row>
    <row r="22" spans="1:16" ht="12.6" customHeight="1">
      <c r="A22" s="1084"/>
      <c r="B22" s="824" t="s">
        <v>723</v>
      </c>
      <c r="C22" s="239"/>
      <c r="D22" s="239"/>
      <c r="E22" s="203">
        <f>F21/10</f>
        <v>7.26</v>
      </c>
      <c r="F22" s="203">
        <v>7.3</v>
      </c>
      <c r="G22" s="200"/>
      <c r="H22" s="201"/>
      <c r="I22" s="200"/>
      <c r="L22" s="187"/>
      <c r="M22" s="187"/>
      <c r="N22" s="187"/>
      <c r="O22" s="457"/>
      <c r="P22" s="458"/>
    </row>
    <row r="23" spans="1:16" ht="13.9" customHeight="1">
      <c r="A23" s="1076" t="s">
        <v>767</v>
      </c>
      <c r="B23" s="19" t="s">
        <v>842</v>
      </c>
      <c r="C23" s="1074" t="s">
        <v>477</v>
      </c>
      <c r="D23" s="198">
        <v>60</v>
      </c>
      <c r="E23" s="199">
        <f>('фіз.реаб театр., зан.в залі'!E18+'фіз.реаб театр., зан.в залі'!E15+'фіз.реаб театр., зан.в залі'!E37)/60*'ІІІ відділення'!D23</f>
        <v>158.57482999999999</v>
      </c>
      <c r="F23" s="199">
        <v>158.6</v>
      </c>
      <c r="G23" s="200"/>
      <c r="H23" s="201"/>
      <c r="I23" s="200"/>
      <c r="L23" s="187"/>
      <c r="M23" s="187"/>
      <c r="N23" s="187"/>
      <c r="O23" s="457"/>
      <c r="P23" s="458"/>
    </row>
    <row r="24" spans="1:16" ht="13.15" customHeight="1">
      <c r="A24" s="1076"/>
      <c r="B24" s="824" t="s">
        <v>723</v>
      </c>
      <c r="C24" s="1074"/>
      <c r="D24" s="825"/>
      <c r="E24" s="199">
        <f>E23/4</f>
        <v>39.643707499999998</v>
      </c>
      <c r="F24" s="199">
        <v>39.6</v>
      </c>
      <c r="G24" s="200"/>
      <c r="H24" s="201"/>
      <c r="I24" s="200"/>
      <c r="L24" s="187"/>
      <c r="M24" s="187"/>
      <c r="N24" s="187"/>
      <c r="O24" s="457"/>
      <c r="P24" s="458"/>
    </row>
    <row r="25" spans="1:16" ht="13.15" customHeight="1">
      <c r="A25" s="18" t="s">
        <v>768</v>
      </c>
      <c r="B25" s="19" t="s">
        <v>843</v>
      </c>
      <c r="C25" s="198" t="s">
        <v>171</v>
      </c>
      <c r="D25" s="198">
        <v>30</v>
      </c>
      <c r="E25" s="604">
        <f>('фіз.реаб театр., зан.в залі'!E18+'фіз.реаб театр., зан.в залі'!E37+'фіз.реаб театр., зан.в залі'!E19)/60*'ІІІ відділення'!D25</f>
        <v>74.584999999999994</v>
      </c>
      <c r="F25" s="199">
        <v>74.599999999999994</v>
      </c>
      <c r="G25" s="200"/>
      <c r="H25" s="201"/>
      <c r="I25" s="200"/>
      <c r="L25" s="187"/>
      <c r="M25" s="187"/>
      <c r="N25" s="187"/>
      <c r="O25" s="457"/>
      <c r="P25" s="458"/>
    </row>
    <row r="26" spans="1:16" ht="13.15" customHeight="1">
      <c r="A26" s="1076" t="s">
        <v>769</v>
      </c>
      <c r="B26" s="19" t="s">
        <v>748</v>
      </c>
      <c r="C26" s="1077" t="s">
        <v>477</v>
      </c>
      <c r="D26" s="1077">
        <v>30</v>
      </c>
      <c r="E26" s="199">
        <f>('фітотер, оксиген, аромотер'!E17+'фітотер, оксиген, аромотер'!E30)/60*D26</f>
        <v>91.49</v>
      </c>
      <c r="F26" s="199">
        <v>91.5</v>
      </c>
      <c r="G26" s="200"/>
      <c r="H26" s="201"/>
      <c r="I26" s="200"/>
      <c r="L26" s="187"/>
      <c r="M26" s="187"/>
      <c r="N26" s="187"/>
      <c r="O26" s="457"/>
      <c r="P26" s="458"/>
    </row>
    <row r="27" spans="1:16" ht="12" customHeight="1">
      <c r="A27" s="1076"/>
      <c r="B27" s="824" t="s">
        <v>723</v>
      </c>
      <c r="C27" s="1077"/>
      <c r="D27" s="1077"/>
      <c r="E27" s="286">
        <f>E26/10</f>
        <v>9.1489999999999991</v>
      </c>
      <c r="F27" s="286">
        <v>9.1999999999999993</v>
      </c>
      <c r="G27" s="200"/>
      <c r="H27" s="201"/>
      <c r="I27" s="200"/>
      <c r="L27" s="187"/>
      <c r="M27" s="187"/>
      <c r="N27" s="187"/>
      <c r="O27" s="457"/>
      <c r="P27" s="458"/>
    </row>
    <row r="28" spans="1:16" ht="13.9" customHeight="1">
      <c r="A28" s="1076" t="s">
        <v>771</v>
      </c>
      <c r="B28" s="19" t="s">
        <v>770</v>
      </c>
      <c r="C28" s="1077" t="s">
        <v>477</v>
      </c>
      <c r="D28" s="1077">
        <v>30</v>
      </c>
      <c r="E28" s="199">
        <f>(('фітотер, оксиген, аромотер'!E17+'фітотер, оксиген, аромотер'!E38)/60*'ІІІ відділення'!D28)</f>
        <v>83.584999999999994</v>
      </c>
      <c r="F28" s="199">
        <v>83.6</v>
      </c>
      <c r="G28" s="200"/>
      <c r="H28" s="201"/>
      <c r="I28" s="200"/>
      <c r="L28" s="187"/>
      <c r="M28" s="187"/>
      <c r="N28" s="187"/>
      <c r="O28" s="457"/>
      <c r="P28" s="458"/>
    </row>
    <row r="29" spans="1:16" ht="13.9" customHeight="1">
      <c r="A29" s="1076"/>
      <c r="B29" s="824" t="s">
        <v>723</v>
      </c>
      <c r="C29" s="1077"/>
      <c r="D29" s="1077"/>
      <c r="E29" s="199">
        <f>E28/10</f>
        <v>8.3584999999999994</v>
      </c>
      <c r="F29" s="199">
        <v>8.4</v>
      </c>
      <c r="G29" s="200"/>
      <c r="H29" s="201"/>
      <c r="I29" s="200"/>
      <c r="L29" s="187"/>
      <c r="M29" s="187"/>
      <c r="N29" s="187"/>
      <c r="O29" s="457"/>
      <c r="P29" s="458"/>
    </row>
    <row r="30" spans="1:16">
      <c r="A30" s="289" t="s">
        <v>772</v>
      </c>
      <c r="B30" s="19" t="s">
        <v>654</v>
      </c>
      <c r="C30" s="198" t="s">
        <v>171</v>
      </c>
      <c r="D30" s="198">
        <v>30</v>
      </c>
      <c r="E30" s="199">
        <f>('масаж, сераг,нуга, релакс'!E17/60)*'ІІІ відділення'!D30</f>
        <v>76.7</v>
      </c>
      <c r="F30" s="199">
        <v>76.7</v>
      </c>
      <c r="G30" s="200"/>
      <c r="H30" s="201"/>
      <c r="I30" s="200"/>
      <c r="L30" s="187"/>
      <c r="M30" s="187"/>
      <c r="N30" s="187"/>
      <c r="O30" s="457"/>
      <c r="P30" s="458"/>
    </row>
    <row r="31" spans="1:16">
      <c r="A31" s="289" t="s">
        <v>773</v>
      </c>
      <c r="B31" s="815" t="s">
        <v>468</v>
      </c>
      <c r="C31" s="198" t="s">
        <v>171</v>
      </c>
      <c r="D31" s="460">
        <v>40</v>
      </c>
      <c r="E31" s="604">
        <f>('масаж, сераг,нуга, релакс'!E29+'масаж, сераг,нуга, релакс'!E37)/60*'ІІІ відділення'!D31</f>
        <v>28.093333333333334</v>
      </c>
      <c r="F31" s="199">
        <v>28.1</v>
      </c>
      <c r="G31" s="200"/>
      <c r="H31" s="201"/>
      <c r="I31" s="200"/>
      <c r="L31" s="187"/>
      <c r="M31" s="187"/>
      <c r="N31" s="187"/>
      <c r="O31" s="457"/>
      <c r="P31" s="458"/>
    </row>
    <row r="32" spans="1:16">
      <c r="A32" s="289" t="s">
        <v>774</v>
      </c>
      <c r="B32" s="815" t="s">
        <v>717</v>
      </c>
      <c r="C32" s="239" t="s">
        <v>171</v>
      </c>
      <c r="D32" s="239">
        <v>37</v>
      </c>
      <c r="E32" s="286">
        <f>('масаж, сераг,нуга, релакс'!E29+'масаж, сераг,нуга, релакс'!E42)/60*'ІІІ відділення'!D32</f>
        <v>25.733500000000003</v>
      </c>
      <c r="F32" s="286">
        <v>25.7</v>
      </c>
      <c r="G32" s="200"/>
      <c r="H32" s="201"/>
      <c r="I32" s="200"/>
      <c r="L32" s="187"/>
      <c r="M32" s="187"/>
      <c r="N32" s="187"/>
      <c r="O32" s="457"/>
      <c r="P32" s="458"/>
    </row>
    <row r="33" spans="1:17">
      <c r="A33" s="289" t="s">
        <v>778</v>
      </c>
      <c r="B33" s="816" t="s">
        <v>718</v>
      </c>
      <c r="C33" s="239" t="s">
        <v>171</v>
      </c>
      <c r="D33" s="239">
        <v>20</v>
      </c>
      <c r="E33" s="199">
        <f>('масаж, сераг,нуга, релакс'!E29+'масаж, сераг,нуга, релакс'!E48)/60*'ІІІ відділення'!D33</f>
        <v>15.75</v>
      </c>
      <c r="F33" s="199">
        <v>15.8</v>
      </c>
      <c r="G33" s="200"/>
      <c r="H33" s="201"/>
      <c r="I33" s="200"/>
      <c r="L33" s="187"/>
      <c r="M33" s="187"/>
      <c r="N33" s="187"/>
      <c r="O33" s="457"/>
      <c r="P33" s="458"/>
    </row>
    <row r="34" spans="1:17">
      <c r="A34" s="289" t="s">
        <v>1134</v>
      </c>
      <c r="B34" s="816" t="s">
        <v>484</v>
      </c>
      <c r="C34" s="198" t="s">
        <v>171</v>
      </c>
      <c r="D34" s="198">
        <v>10</v>
      </c>
      <c r="E34" s="199">
        <f>('міос,ноги,короб,алімп, корон'!E18+'міос,ноги,короб,алімп, корон'!E53)/60*'ІІІ відділення'!D34</f>
        <v>6.5949999999999998</v>
      </c>
      <c r="F34" s="199">
        <v>6.6</v>
      </c>
      <c r="G34" s="200"/>
      <c r="H34" s="201"/>
      <c r="I34" s="200"/>
      <c r="L34" s="187"/>
      <c r="M34" s="187"/>
      <c r="N34" s="187"/>
      <c r="O34" s="457"/>
      <c r="P34" s="458"/>
    </row>
    <row r="35" spans="1:17" ht="26.45" customHeight="1">
      <c r="A35" s="541" t="s">
        <v>225</v>
      </c>
      <c r="B35" s="826" t="s">
        <v>776</v>
      </c>
      <c r="C35" s="6"/>
      <c r="D35" s="6"/>
      <c r="E35" s="6"/>
      <c r="F35" s="6"/>
      <c r="G35" s="200"/>
      <c r="H35" s="201"/>
      <c r="I35" s="200"/>
      <c r="L35" s="187"/>
      <c r="M35" s="187"/>
      <c r="N35" s="187"/>
      <c r="O35" s="457"/>
      <c r="P35" s="458"/>
    </row>
    <row r="36" spans="1:17" ht="29.45" customHeight="1">
      <c r="A36" s="1075" t="s">
        <v>777</v>
      </c>
      <c r="B36" s="821" t="s">
        <v>750</v>
      </c>
      <c r="C36" s="1074" t="s">
        <v>477</v>
      </c>
      <c r="D36" s="1074">
        <v>90</v>
      </c>
      <c r="E36" s="203">
        <f>(теніс!E13+теніс!E19)/60*'ІІІ відділення'!D36</f>
        <v>240.32999999999998</v>
      </c>
      <c r="F36" s="203">
        <v>240.3</v>
      </c>
      <c r="G36" s="200"/>
      <c r="H36" s="201"/>
      <c r="I36" s="200"/>
    </row>
    <row r="37" spans="1:17" ht="13.9" customHeight="1">
      <c r="A37" s="1075"/>
      <c r="B37" s="824" t="s">
        <v>723</v>
      </c>
      <c r="C37" s="1074"/>
      <c r="D37" s="1074"/>
      <c r="E37" s="203">
        <f>E36/4</f>
        <v>60.082499999999996</v>
      </c>
      <c r="F37" s="203">
        <v>60.1</v>
      </c>
      <c r="G37" s="200"/>
      <c r="H37" s="201"/>
      <c r="I37" s="200"/>
      <c r="M37" s="1070" t="s">
        <v>470</v>
      </c>
      <c r="N37" s="1071"/>
      <c r="O37" s="1071"/>
      <c r="P37" s="1071"/>
      <c r="Q37" s="1072"/>
    </row>
    <row r="38" spans="1:17" ht="13.15" customHeight="1">
      <c r="A38" s="543"/>
      <c r="C38" s="573"/>
      <c r="G38" s="201"/>
      <c r="I38" s="200"/>
      <c r="M38" s="466"/>
      <c r="N38" s="257"/>
      <c r="O38" s="467"/>
      <c r="P38" s="468"/>
      <c r="Q38" s="469"/>
    </row>
    <row r="39" spans="1:17">
      <c r="A39" s="195" t="s">
        <v>720</v>
      </c>
      <c r="B39" s="5" t="s">
        <v>593</v>
      </c>
    </row>
    <row r="41" spans="1:17" ht="62.45" customHeight="1">
      <c r="A41" s="22" t="s">
        <v>211</v>
      </c>
      <c r="B41" s="29" t="s">
        <v>212</v>
      </c>
      <c r="C41" s="192" t="s">
        <v>560</v>
      </c>
      <c r="D41" s="192" t="s">
        <v>596</v>
      </c>
      <c r="E41" s="192" t="s">
        <v>554</v>
      </c>
      <c r="F41" s="192" t="s">
        <v>722</v>
      </c>
    </row>
    <row r="42" spans="1:17">
      <c r="A42" s="13" t="s">
        <v>296</v>
      </c>
      <c r="B42" s="64" t="s">
        <v>594</v>
      </c>
      <c r="C42" s="58" t="s">
        <v>171</v>
      </c>
      <c r="D42" s="15">
        <v>24</v>
      </c>
      <c r="E42" s="286">
        <f>E43-200</f>
        <v>334.25</v>
      </c>
      <c r="F42" s="286">
        <v>334.3</v>
      </c>
    </row>
    <row r="43" spans="1:17">
      <c r="A43" s="13" t="s">
        <v>219</v>
      </c>
      <c r="B43" s="64" t="s">
        <v>595</v>
      </c>
      <c r="C43" s="58" t="s">
        <v>171</v>
      </c>
      <c r="D43" s="15">
        <v>24</v>
      </c>
      <c r="E43" s="286">
        <f>'адм.сес.мед і соц.роб. цілодоб.'!M26</f>
        <v>534.25</v>
      </c>
      <c r="F43" s="286">
        <v>534.29999999999995</v>
      </c>
    </row>
    <row r="44" spans="1:17">
      <c r="A44" s="297"/>
      <c r="B44" s="298"/>
      <c r="C44" s="299"/>
      <c r="D44" s="169"/>
      <c r="E44" s="300"/>
      <c r="F44" s="300"/>
    </row>
    <row r="45" spans="1:17">
      <c r="A45" s="195" t="s">
        <v>223</v>
      </c>
      <c r="B45" s="1081" t="s">
        <v>1127</v>
      </c>
      <c r="C45" s="1081"/>
      <c r="D45" s="1081"/>
      <c r="E45" s="1081"/>
      <c r="F45" s="1081"/>
    </row>
    <row r="46" spans="1:17" ht="51.6" customHeight="1">
      <c r="A46" s="451" t="s">
        <v>211</v>
      </c>
      <c r="B46" s="192" t="s">
        <v>212</v>
      </c>
      <c r="C46" s="192" t="s">
        <v>488</v>
      </c>
      <c r="D46" s="192" t="s">
        <v>274</v>
      </c>
      <c r="E46" s="192" t="s">
        <v>554</v>
      </c>
      <c r="F46" s="192" t="s">
        <v>722</v>
      </c>
    </row>
    <row r="47" spans="1:17">
      <c r="A47" s="541"/>
    </row>
    <row r="48" spans="1:17" ht="13.9" customHeight="1">
      <c r="A48" s="1075" t="s">
        <v>296</v>
      </c>
      <c r="B48" s="1082" t="s">
        <v>1142</v>
      </c>
      <c r="C48" s="648" t="s">
        <v>1111</v>
      </c>
      <c r="D48" s="15">
        <v>80</v>
      </c>
      <c r="E48" s="901">
        <v>570.70000000000005</v>
      </c>
      <c r="F48" s="901">
        <v>570.70000000000005</v>
      </c>
      <c r="G48" s="5" t="s">
        <v>1131</v>
      </c>
    </row>
    <row r="49" spans="1:6" ht="22.9" customHeight="1">
      <c r="A49" s="1075"/>
      <c r="B49" s="1082"/>
      <c r="C49" s="851" t="s">
        <v>1112</v>
      </c>
      <c r="D49" s="15"/>
      <c r="E49" s="275">
        <v>38.049999999999997</v>
      </c>
      <c r="F49" s="275">
        <v>38.1</v>
      </c>
    </row>
    <row r="50" spans="1:6" ht="16.899999999999999" customHeight="1">
      <c r="A50" s="1075" t="s">
        <v>219</v>
      </c>
      <c r="B50" s="1082" t="s">
        <v>1156</v>
      </c>
      <c r="C50" s="648" t="s">
        <v>1111</v>
      </c>
      <c r="D50" s="15">
        <v>80</v>
      </c>
      <c r="E50" s="901">
        <v>569.70000000000005</v>
      </c>
      <c r="F50" s="901">
        <v>569.70000000000005</v>
      </c>
    </row>
    <row r="51" spans="1:6" ht="29.45" customHeight="1">
      <c r="A51" s="1075"/>
      <c r="B51" s="1082"/>
      <c r="C51" s="851" t="s">
        <v>1112</v>
      </c>
      <c r="D51" s="15"/>
      <c r="E51" s="275">
        <v>37.980000000000004</v>
      </c>
      <c r="F51" s="275">
        <v>38</v>
      </c>
    </row>
    <row r="52" spans="1:6" ht="13.9" customHeight="1">
      <c r="A52" s="1075" t="s">
        <v>223</v>
      </c>
      <c r="B52" s="1078" t="s">
        <v>1140</v>
      </c>
      <c r="C52" s="648" t="s">
        <v>1111</v>
      </c>
      <c r="D52" s="15">
        <v>80</v>
      </c>
      <c r="E52" s="275">
        <v>567.1</v>
      </c>
      <c r="F52" s="275">
        <v>567.1</v>
      </c>
    </row>
    <row r="53" spans="1:6" ht="12" customHeight="1">
      <c r="A53" s="1075"/>
      <c r="B53" s="1079"/>
      <c r="C53" s="851" t="s">
        <v>1112</v>
      </c>
      <c r="D53" s="15"/>
      <c r="E53" s="275">
        <v>37.806666666666665</v>
      </c>
      <c r="F53" s="275">
        <v>37.799999999999997</v>
      </c>
    </row>
    <row r="54" spans="1:6" ht="14.45" customHeight="1">
      <c r="A54" s="1075" t="s">
        <v>235</v>
      </c>
      <c r="B54" s="1078" t="s">
        <v>1141</v>
      </c>
      <c r="C54" s="648" t="s">
        <v>1111</v>
      </c>
      <c r="D54" s="15">
        <v>80</v>
      </c>
      <c r="E54" s="275">
        <v>565.21</v>
      </c>
      <c r="F54" s="275">
        <v>565.20000000000005</v>
      </c>
    </row>
    <row r="55" spans="1:6" ht="12" customHeight="1">
      <c r="A55" s="1075"/>
      <c r="B55" s="1079"/>
      <c r="C55" s="851" t="s">
        <v>1112</v>
      </c>
      <c r="D55" s="15"/>
      <c r="E55" s="275">
        <v>37.680666666666667</v>
      </c>
      <c r="F55" s="275">
        <v>37.700000000000003</v>
      </c>
    </row>
    <row r="56" spans="1:6" ht="15" customHeight="1">
      <c r="A56" s="1075" t="s">
        <v>238</v>
      </c>
      <c r="B56" s="1078" t="s">
        <v>1143</v>
      </c>
      <c r="C56" s="648" t="s">
        <v>1111</v>
      </c>
      <c r="D56" s="15">
        <v>80</v>
      </c>
      <c r="E56" s="275">
        <v>564.89</v>
      </c>
      <c r="F56" s="275">
        <v>564.9</v>
      </c>
    </row>
    <row r="57" spans="1:6" ht="13.15" customHeight="1">
      <c r="A57" s="1075"/>
      <c r="B57" s="1079"/>
      <c r="C57" s="851" t="s">
        <v>1112</v>
      </c>
      <c r="D57" s="15"/>
      <c r="E57" s="275">
        <v>37.659333333333329</v>
      </c>
      <c r="F57" s="275">
        <v>37.700000000000003</v>
      </c>
    </row>
    <row r="58" spans="1:6" ht="16.149999999999999" customHeight="1">
      <c r="A58" s="1075" t="s">
        <v>1120</v>
      </c>
      <c r="B58" s="1082" t="s">
        <v>1144</v>
      </c>
      <c r="C58" s="648" t="s">
        <v>1111</v>
      </c>
      <c r="D58" s="15">
        <v>80</v>
      </c>
      <c r="E58" s="902">
        <v>592.07000000000005</v>
      </c>
      <c r="F58" s="902">
        <v>592.1</v>
      </c>
    </row>
    <row r="59" spans="1:6" ht="31.15" customHeight="1">
      <c r="A59" s="1075"/>
      <c r="B59" s="1082"/>
      <c r="C59" s="851" t="s">
        <v>1112</v>
      </c>
      <c r="D59" s="15"/>
      <c r="E59" s="275">
        <v>39.471333333333334</v>
      </c>
      <c r="F59" s="275">
        <v>39.5</v>
      </c>
    </row>
    <row r="60" spans="1:6" ht="14.45" customHeight="1">
      <c r="A60" s="1075" t="s">
        <v>1129</v>
      </c>
      <c r="B60" s="1078" t="s">
        <v>1145</v>
      </c>
      <c r="C60" s="648" t="s">
        <v>1111</v>
      </c>
      <c r="D60" s="15">
        <v>80</v>
      </c>
      <c r="E60" s="275">
        <v>591.77</v>
      </c>
      <c r="F60" s="275">
        <v>591.79999999999995</v>
      </c>
    </row>
    <row r="61" spans="1:6" ht="18" customHeight="1">
      <c r="A61" s="1075"/>
      <c r="B61" s="1079"/>
      <c r="C61" s="851" t="s">
        <v>1112</v>
      </c>
      <c r="D61" s="15"/>
      <c r="E61" s="275">
        <v>39.451333333333331</v>
      </c>
      <c r="F61" s="275">
        <v>39.5</v>
      </c>
    </row>
    <row r="62" spans="1:6" ht="16.149999999999999" customHeight="1">
      <c r="A62" s="1076" t="s">
        <v>1130</v>
      </c>
      <c r="B62" s="1082" t="s">
        <v>1146</v>
      </c>
      <c r="C62" s="648" t="s">
        <v>1111</v>
      </c>
      <c r="D62" s="15">
        <v>80</v>
      </c>
      <c r="E62" s="901">
        <v>589.28</v>
      </c>
      <c r="F62" s="901">
        <v>589.29999999999995</v>
      </c>
    </row>
    <row r="63" spans="1:6" ht="10.9" customHeight="1">
      <c r="A63" s="1076"/>
      <c r="B63" s="1082"/>
      <c r="C63" s="851" t="s">
        <v>1112</v>
      </c>
      <c r="D63" s="15"/>
      <c r="E63" s="275">
        <v>39.285333333333334</v>
      </c>
      <c r="F63" s="275">
        <v>39.299999999999997</v>
      </c>
    </row>
    <row r="64" spans="1:6">
      <c r="A64" s="852" t="s">
        <v>1114</v>
      </c>
      <c r="B64" s="853" t="s">
        <v>1128</v>
      </c>
      <c r="C64" s="853"/>
      <c r="D64" s="853"/>
      <c r="E64" s="853"/>
      <c r="F64" s="853"/>
    </row>
    <row r="65" spans="1:7">
      <c r="A65" s="459" t="s">
        <v>126</v>
      </c>
      <c r="B65" s="1087" t="s">
        <v>1097</v>
      </c>
      <c r="C65" s="1087"/>
      <c r="D65" s="1087"/>
      <c r="E65" s="1087"/>
      <c r="F65" s="1087"/>
    </row>
    <row r="66" spans="1:7" ht="30.6" customHeight="1">
      <c r="A66" s="238" t="s">
        <v>1115</v>
      </c>
      <c r="B66" s="850" t="s">
        <v>1098</v>
      </c>
      <c r="C66" s="893" t="s">
        <v>171</v>
      </c>
      <c r="D66" s="893">
        <v>60</v>
      </c>
      <c r="E66" s="15">
        <v>109.48</v>
      </c>
      <c r="F66" s="286">
        <v>109.5</v>
      </c>
      <c r="G66" s="5" t="s">
        <v>1132</v>
      </c>
    </row>
    <row r="67" spans="1:7">
      <c r="A67" s="459" t="s">
        <v>128</v>
      </c>
      <c r="B67" s="1085" t="s">
        <v>1099</v>
      </c>
      <c r="C67" s="1085"/>
      <c r="D67" s="1085"/>
      <c r="E67" s="1085"/>
      <c r="F67" s="1085"/>
    </row>
    <row r="68" spans="1:7" ht="47.25">
      <c r="A68" s="289" t="s">
        <v>1116</v>
      </c>
      <c r="B68" s="850" t="s">
        <v>1100</v>
      </c>
      <c r="C68" s="893" t="s">
        <v>171</v>
      </c>
      <c r="D68" s="893">
        <v>60</v>
      </c>
      <c r="E68" s="15">
        <v>109.48</v>
      </c>
      <c r="F68" s="286">
        <v>109.5</v>
      </c>
    </row>
    <row r="69" spans="1:7">
      <c r="A69" s="844" t="s">
        <v>130</v>
      </c>
      <c r="B69" s="1086" t="s">
        <v>1101</v>
      </c>
      <c r="C69" s="1086"/>
      <c r="D69" s="1086"/>
      <c r="E69" s="1086"/>
      <c r="F69" s="1086"/>
    </row>
    <row r="70" spans="1:7" ht="63">
      <c r="A70" s="289" t="s">
        <v>1117</v>
      </c>
      <c r="B70" s="850" t="s">
        <v>1102</v>
      </c>
      <c r="C70" s="893" t="s">
        <v>171</v>
      </c>
      <c r="D70" s="15">
        <v>60</v>
      </c>
      <c r="E70" s="15">
        <v>109.48</v>
      </c>
      <c r="F70" s="286">
        <v>109.5</v>
      </c>
    </row>
    <row r="71" spans="1:7" ht="31.5">
      <c r="A71" s="289" t="s">
        <v>1118</v>
      </c>
      <c r="B71" s="850" t="s">
        <v>1103</v>
      </c>
      <c r="C71" s="15" t="s">
        <v>171</v>
      </c>
      <c r="D71" s="15">
        <v>45</v>
      </c>
      <c r="E71" s="286">
        <v>82.11</v>
      </c>
      <c r="F71" s="286">
        <v>82.1</v>
      </c>
    </row>
    <row r="73" spans="1:7">
      <c r="A73" s="219" t="s">
        <v>489</v>
      </c>
      <c r="B73" s="5" t="s">
        <v>490</v>
      </c>
    </row>
    <row r="85" spans="1:4">
      <c r="A85" s="295" t="s">
        <v>23</v>
      </c>
      <c r="D85" s="51" t="s">
        <v>51</v>
      </c>
    </row>
  </sheetData>
  <mergeCells count="40">
    <mergeCell ref="A54:A55"/>
    <mergeCell ref="B54:B55"/>
    <mergeCell ref="A56:A57"/>
    <mergeCell ref="B56:B57"/>
    <mergeCell ref="B65:F65"/>
    <mergeCell ref="B67:F67"/>
    <mergeCell ref="B69:F69"/>
    <mergeCell ref="A58:A59"/>
    <mergeCell ref="B58:B59"/>
    <mergeCell ref="A60:A61"/>
    <mergeCell ref="B60:B61"/>
    <mergeCell ref="A62:A63"/>
    <mergeCell ref="B62:B63"/>
    <mergeCell ref="A52:A53"/>
    <mergeCell ref="B52:B53"/>
    <mergeCell ref="A1:E1"/>
    <mergeCell ref="A3:E3"/>
    <mergeCell ref="B45:F45"/>
    <mergeCell ref="A48:A49"/>
    <mergeCell ref="B48:B49"/>
    <mergeCell ref="A50:A51"/>
    <mergeCell ref="B50:B51"/>
    <mergeCell ref="A21:A22"/>
    <mergeCell ref="D28:D29"/>
    <mergeCell ref="C26:C27"/>
    <mergeCell ref="L6:M6"/>
    <mergeCell ref="L7:M7"/>
    <mergeCell ref="M37:Q37"/>
    <mergeCell ref="A17:A18"/>
    <mergeCell ref="C17:C18"/>
    <mergeCell ref="D17:D18"/>
    <mergeCell ref="A36:A37"/>
    <mergeCell ref="C36:C37"/>
    <mergeCell ref="D36:D37"/>
    <mergeCell ref="C23:C24"/>
    <mergeCell ref="A23:A24"/>
    <mergeCell ref="A26:A27"/>
    <mergeCell ref="A28:A29"/>
    <mergeCell ref="C28:C29"/>
    <mergeCell ref="D26:D27"/>
  </mergeCells>
  <printOptions horizontalCentered="1"/>
  <pageMargins left="0.43307086614173229" right="0.43307086614173229" top="0.74803149606299213" bottom="0.35433070866141736" header="0.31496062992125984" footer="0.31496062992125984"/>
  <pageSetup paperSize="9" scale="71" orientation="portrait" r:id="rId1"/>
  <rowBreaks count="1" manualBreakCount="1">
    <brk id="44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8"/>
  <sheetViews>
    <sheetView tabSelected="1" view="pageBreakPreview" zoomScaleNormal="100" zoomScaleSheetLayoutView="100" workbookViewId="0">
      <selection activeCell="A38" sqref="A38"/>
    </sheetView>
  </sheetViews>
  <sheetFormatPr defaultRowHeight="15"/>
  <cols>
    <col min="1" max="1" width="12.42578125" customWidth="1"/>
    <col min="3" max="3" width="15.85546875" customWidth="1"/>
    <col min="4" max="4" width="14.5703125" customWidth="1"/>
    <col min="5" max="5" width="15" customWidth="1"/>
    <col min="6" max="6" width="12.7109375" customWidth="1"/>
    <col min="7" max="7" width="8.5703125" customWidth="1"/>
  </cols>
  <sheetData>
    <row r="1" spans="1:7" ht="15.75">
      <c r="A1" s="911" t="s">
        <v>328</v>
      </c>
      <c r="B1" s="911"/>
      <c r="C1" s="911"/>
      <c r="D1" s="911"/>
      <c r="E1" s="911"/>
      <c r="F1" s="911"/>
    </row>
    <row r="2" spans="1:7" ht="15.6" customHeight="1">
      <c r="A2" s="912" t="s">
        <v>514</v>
      </c>
      <c r="B2" s="912"/>
      <c r="C2" s="912"/>
      <c r="D2" s="912"/>
      <c r="E2" s="912"/>
      <c r="F2" s="912"/>
    </row>
    <row r="3" spans="1:7" ht="15.75">
      <c r="A3" s="913" t="s">
        <v>515</v>
      </c>
      <c r="B3" s="913"/>
      <c r="C3" s="913"/>
      <c r="D3" s="913"/>
      <c r="E3" s="913"/>
      <c r="F3" s="913"/>
    </row>
    <row r="4" spans="1:7" ht="25.5" customHeight="1">
      <c r="A4" s="914" t="s">
        <v>330</v>
      </c>
      <c r="B4" s="914"/>
      <c r="C4" s="914"/>
      <c r="D4" s="914"/>
      <c r="E4" s="914"/>
      <c r="F4" s="914"/>
      <c r="G4" s="914"/>
    </row>
    <row r="5" spans="1:7" ht="15.75">
      <c r="A5" s="915" t="s">
        <v>331</v>
      </c>
      <c r="B5" s="915"/>
      <c r="C5" s="915"/>
      <c r="D5" t="s">
        <v>332</v>
      </c>
    </row>
    <row r="6" spans="1:7" ht="8.25" customHeight="1"/>
    <row r="7" spans="1:7" ht="12.75" customHeight="1">
      <c r="A7" s="113" t="s">
        <v>333</v>
      </c>
      <c r="B7" s="113" t="s">
        <v>334</v>
      </c>
      <c r="C7" s="910" t="s">
        <v>335</v>
      </c>
      <c r="D7" s="910"/>
      <c r="E7" s="910"/>
      <c r="F7" s="910"/>
    </row>
    <row r="8" spans="1:7" ht="13.5" customHeight="1">
      <c r="A8" s="113" t="s">
        <v>336</v>
      </c>
      <c r="B8" s="113" t="s">
        <v>334</v>
      </c>
      <c r="C8" s="917" t="s">
        <v>337</v>
      </c>
      <c r="D8" s="917"/>
      <c r="E8" s="917"/>
      <c r="F8" s="917"/>
    </row>
    <row r="9" spans="1:7">
      <c r="A9" s="113" t="s">
        <v>338</v>
      </c>
      <c r="B9" s="113" t="s">
        <v>334</v>
      </c>
      <c r="C9" s="917" t="s">
        <v>339</v>
      </c>
      <c r="D9" s="917"/>
      <c r="E9" s="917"/>
      <c r="F9" s="917"/>
    </row>
    <row r="10" spans="1:7">
      <c r="A10" s="113" t="s">
        <v>340</v>
      </c>
      <c r="B10" s="113" t="s">
        <v>334</v>
      </c>
      <c r="C10" s="917" t="s">
        <v>341</v>
      </c>
      <c r="D10" s="917"/>
      <c r="E10" s="917"/>
      <c r="F10" s="917"/>
    </row>
    <row r="11" spans="1:7">
      <c r="A11" s="113" t="s">
        <v>342</v>
      </c>
      <c r="B11" s="113" t="s">
        <v>334</v>
      </c>
      <c r="C11" s="917" t="s">
        <v>343</v>
      </c>
      <c r="D11" s="917"/>
      <c r="E11" s="917"/>
      <c r="F11" s="917"/>
    </row>
    <row r="13" spans="1:7">
      <c r="A13" s="920" t="s">
        <v>344</v>
      </c>
      <c r="B13" s="920"/>
      <c r="C13" s="920"/>
      <c r="D13" s="920"/>
      <c r="E13" s="920"/>
      <c r="F13" s="920"/>
      <c r="G13" s="920"/>
    </row>
    <row r="14" spans="1:7">
      <c r="A14" s="918" t="s">
        <v>345</v>
      </c>
      <c r="B14" s="918"/>
      <c r="C14" s="918"/>
      <c r="D14" s="114" t="s">
        <v>332</v>
      </c>
    </row>
    <row r="15" spans="1:7">
      <c r="A15" s="115" t="s">
        <v>336</v>
      </c>
      <c r="B15" s="115" t="s">
        <v>334</v>
      </c>
      <c r="C15" s="1090" t="s">
        <v>337</v>
      </c>
      <c r="D15" s="1090"/>
      <c r="E15" s="1090"/>
      <c r="F15" s="1090"/>
    </row>
    <row r="16" spans="1:7" ht="39" customHeight="1">
      <c r="A16" s="115" t="s">
        <v>346</v>
      </c>
      <c r="B16" s="115" t="s">
        <v>334</v>
      </c>
      <c r="C16" s="919" t="s">
        <v>347</v>
      </c>
      <c r="D16" s="919"/>
      <c r="E16" s="919"/>
      <c r="F16" s="919"/>
      <c r="G16" s="919"/>
    </row>
    <row r="17" spans="1:7">
      <c r="A17" s="115" t="s">
        <v>348</v>
      </c>
      <c r="B17" s="115" t="s">
        <v>334</v>
      </c>
      <c r="C17" s="1090" t="s">
        <v>349</v>
      </c>
      <c r="D17" s="1090"/>
      <c r="E17" s="1090"/>
      <c r="F17" s="1090"/>
    </row>
    <row r="18" spans="1:7">
      <c r="A18" s="115" t="s">
        <v>350</v>
      </c>
      <c r="B18" s="115" t="s">
        <v>334</v>
      </c>
      <c r="C18" s="919" t="s">
        <v>351</v>
      </c>
      <c r="D18" s="919"/>
      <c r="E18" s="919"/>
      <c r="F18" s="919"/>
    </row>
    <row r="20" spans="1:7">
      <c r="A20" s="920" t="s">
        <v>352</v>
      </c>
      <c r="B20" s="920"/>
      <c r="C20" s="920"/>
      <c r="D20" s="920"/>
      <c r="E20" s="920"/>
      <c r="F20" s="920"/>
    </row>
    <row r="21" spans="1:7" ht="15.75">
      <c r="A21" s="916" t="s">
        <v>353</v>
      </c>
      <c r="B21" s="916"/>
      <c r="D21" s="114" t="s">
        <v>332</v>
      </c>
    </row>
    <row r="22" spans="1:7" ht="12.6" customHeight="1">
      <c r="A22" s="115" t="s">
        <v>338</v>
      </c>
      <c r="B22" s="115" t="s">
        <v>334</v>
      </c>
      <c r="C22" s="919" t="s">
        <v>339</v>
      </c>
      <c r="D22" s="919"/>
      <c r="E22" s="919"/>
      <c r="F22" s="919"/>
      <c r="G22" s="919"/>
    </row>
    <row r="23" spans="1:7" ht="25.9" customHeight="1">
      <c r="A23" s="115" t="s">
        <v>354</v>
      </c>
      <c r="B23" s="115" t="s">
        <v>334</v>
      </c>
      <c r="C23" s="919" t="s">
        <v>355</v>
      </c>
      <c r="D23" s="919"/>
      <c r="E23" s="919"/>
      <c r="F23" s="919"/>
      <c r="G23" s="919"/>
    </row>
    <row r="24" spans="1:7" ht="38.450000000000003" customHeight="1">
      <c r="A24" s="116" t="s">
        <v>356</v>
      </c>
      <c r="B24" s="116" t="s">
        <v>334</v>
      </c>
      <c r="C24" s="919" t="s">
        <v>357</v>
      </c>
      <c r="D24" s="919"/>
      <c r="E24" s="919"/>
      <c r="F24" s="919"/>
      <c r="G24" s="919"/>
    </row>
    <row r="26" spans="1:7">
      <c r="A26" s="354">
        <f>ЗВЕДЕНИЙ!W62</f>
        <v>215771.26</v>
      </c>
      <c r="B26" s="1089" t="s">
        <v>810</v>
      </c>
      <c r="C26" s="1089"/>
      <c r="D26" s="265" t="s">
        <v>1078</v>
      </c>
      <c r="E26" s="355"/>
      <c r="F26" s="120">
        <f>ROUND(A26/A27,4)</f>
        <v>9.5999999999999992E-3</v>
      </c>
    </row>
    <row r="27" spans="1:7">
      <c r="A27" s="121">
        <f>ЗВЕДЕНИЙ!V78-ЗВЕДЕНИЙ!V34+ЗВЕДЕНИЙ!V28+814000</f>
        <v>22376657.905571479</v>
      </c>
      <c r="B27" s="118" t="s">
        <v>1038</v>
      </c>
    </row>
    <row r="28" spans="1:7">
      <c r="B28" s="122"/>
      <c r="C28" s="923"/>
      <c r="D28" s="923"/>
      <c r="E28" s="123"/>
      <c r="F28" s="124"/>
    </row>
    <row r="29" spans="1:7">
      <c r="C29" s="125"/>
      <c r="F29" s="126"/>
    </row>
    <row r="30" spans="1:7">
      <c r="A30" s="121">
        <f>((ЗВЕДЕНИЙ!V34-ЗВЕДЕНИЙ!V28)*22%)+ЗВЕДЕНИЙ!V34-ЗВЕДЕНИЙ!V28</f>
        <v>5320405.4708892182</v>
      </c>
      <c r="B30" t="s">
        <v>783</v>
      </c>
      <c r="D30" t="s">
        <v>1079</v>
      </c>
      <c r="F30" s="128">
        <f>(A30*F26)/2009.7</f>
        <v>25.414685037834744</v>
      </c>
    </row>
    <row r="31" spans="1:7">
      <c r="C31" s="125"/>
    </row>
    <row r="32" spans="1:7">
      <c r="A32" s="129"/>
      <c r="B32" s="130"/>
      <c r="C32" s="131"/>
      <c r="D32" s="130"/>
    </row>
    <row r="33" spans="1:7" ht="42" customHeight="1">
      <c r="A33" s="1088" t="s">
        <v>359</v>
      </c>
      <c r="B33" s="1088"/>
      <c r="C33" s="1088"/>
      <c r="D33" s="1088"/>
      <c r="E33" s="1088"/>
      <c r="F33" s="1088"/>
      <c r="G33" s="1088"/>
    </row>
    <row r="34" spans="1:7" ht="26.45" customHeight="1">
      <c r="A34" s="1088" t="s">
        <v>360</v>
      </c>
      <c r="B34" s="1088"/>
      <c r="C34" s="1088"/>
      <c r="D34" s="1088"/>
      <c r="E34" s="1088"/>
      <c r="F34" s="1088"/>
      <c r="G34" s="1088"/>
    </row>
    <row r="38" spans="1:7" ht="15.75">
      <c r="A38" s="295" t="s">
        <v>23</v>
      </c>
      <c r="B38" s="37"/>
      <c r="C38" s="51"/>
      <c r="E38" s="51" t="s">
        <v>51</v>
      </c>
    </row>
  </sheetData>
  <mergeCells count="25">
    <mergeCell ref="A1:F1"/>
    <mergeCell ref="A2:F2"/>
    <mergeCell ref="A3:F3"/>
    <mergeCell ref="A5:C5"/>
    <mergeCell ref="C7:F7"/>
    <mergeCell ref="A4:G4"/>
    <mergeCell ref="C15:F15"/>
    <mergeCell ref="C17:F17"/>
    <mergeCell ref="C18:F18"/>
    <mergeCell ref="A20:F20"/>
    <mergeCell ref="A21:B21"/>
    <mergeCell ref="C8:F8"/>
    <mergeCell ref="C9:F9"/>
    <mergeCell ref="C10:F10"/>
    <mergeCell ref="C11:F11"/>
    <mergeCell ref="A14:C14"/>
    <mergeCell ref="A13:G13"/>
    <mergeCell ref="C22:G22"/>
    <mergeCell ref="C16:G16"/>
    <mergeCell ref="C28:D28"/>
    <mergeCell ref="A33:G33"/>
    <mergeCell ref="A34:G34"/>
    <mergeCell ref="B26:C26"/>
    <mergeCell ref="C24:G24"/>
    <mergeCell ref="C23:G23"/>
  </mergeCells>
  <pageMargins left="0.7" right="0.7" top="0.75" bottom="0.75" header="0.3" footer="0.3"/>
  <pageSetup paperSize="9"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9"/>
  <sheetViews>
    <sheetView view="pageBreakPreview" topLeftCell="A22" zoomScaleNormal="100" zoomScaleSheetLayoutView="100" workbookViewId="0">
      <selection activeCell="G30" sqref="G30"/>
    </sheetView>
  </sheetViews>
  <sheetFormatPr defaultRowHeight="15"/>
  <cols>
    <col min="1" max="1" width="13.140625" customWidth="1"/>
    <col min="2" max="2" width="8.7109375" customWidth="1"/>
    <col min="3" max="3" width="11.85546875" customWidth="1"/>
    <col min="5" max="5" width="13.7109375" customWidth="1"/>
    <col min="6" max="6" width="14.140625" customWidth="1"/>
    <col min="7" max="7" width="21.5703125" customWidth="1"/>
  </cols>
  <sheetData>
    <row r="1" spans="1:7" ht="16.149999999999999" customHeight="1">
      <c r="A1" s="911" t="s">
        <v>328</v>
      </c>
      <c r="B1" s="911"/>
      <c r="C1" s="911"/>
      <c r="D1" s="911"/>
      <c r="E1" s="911"/>
      <c r="F1" s="911"/>
      <c r="G1" s="911"/>
    </row>
    <row r="2" spans="1:7" ht="15.75" customHeight="1">
      <c r="A2" s="912" t="s">
        <v>514</v>
      </c>
      <c r="B2" s="912"/>
      <c r="C2" s="912"/>
      <c r="D2" s="912"/>
      <c r="E2" s="912"/>
      <c r="F2" s="912"/>
      <c r="G2" s="912"/>
    </row>
    <row r="3" spans="1:7" ht="15.6" customHeight="1">
      <c r="A3" s="913" t="s">
        <v>517</v>
      </c>
      <c r="B3" s="913"/>
      <c r="C3" s="913"/>
      <c r="D3" s="913"/>
      <c r="E3" s="913"/>
      <c r="F3" s="913"/>
      <c r="G3" s="913"/>
    </row>
    <row r="4" spans="1:7" ht="29.25" customHeight="1">
      <c r="A4" s="914" t="s">
        <v>330</v>
      </c>
      <c r="B4" s="914"/>
      <c r="C4" s="914"/>
      <c r="D4" s="914"/>
      <c r="E4" s="914"/>
      <c r="F4" s="914"/>
      <c r="G4" s="914"/>
    </row>
    <row r="5" spans="1:7" ht="15.75">
      <c r="A5" s="915" t="s">
        <v>331</v>
      </c>
      <c r="B5" s="915"/>
      <c r="C5" s="915"/>
      <c r="D5" t="s">
        <v>332</v>
      </c>
    </row>
    <row r="7" spans="1:7">
      <c r="A7" s="113" t="s">
        <v>333</v>
      </c>
      <c r="B7" s="113" t="s">
        <v>334</v>
      </c>
      <c r="C7" s="910" t="s">
        <v>335</v>
      </c>
      <c r="D7" s="910"/>
      <c r="E7" s="910"/>
      <c r="F7" s="910"/>
    </row>
    <row r="8" spans="1:7">
      <c r="A8" s="113" t="s">
        <v>336</v>
      </c>
      <c r="B8" s="113" t="s">
        <v>334</v>
      </c>
      <c r="C8" s="917" t="s">
        <v>337</v>
      </c>
      <c r="D8" s="917"/>
      <c r="E8" s="917"/>
      <c r="F8" s="917"/>
    </row>
    <row r="9" spans="1:7" ht="21" customHeight="1">
      <c r="A9" s="113" t="s">
        <v>338</v>
      </c>
      <c r="B9" s="113" t="s">
        <v>334</v>
      </c>
      <c r="C9" s="917" t="s">
        <v>339</v>
      </c>
      <c r="D9" s="917"/>
      <c r="E9" s="917"/>
      <c r="F9" s="917"/>
    </row>
    <row r="10" spans="1:7" ht="14.45" customHeight="1">
      <c r="A10" s="113" t="s">
        <v>340</v>
      </c>
      <c r="B10" s="113" t="s">
        <v>334</v>
      </c>
      <c r="C10" s="917" t="s">
        <v>341</v>
      </c>
      <c r="D10" s="917"/>
      <c r="E10" s="917"/>
      <c r="F10" s="917"/>
    </row>
    <row r="11" spans="1:7" ht="15" customHeight="1">
      <c r="A11" s="113" t="s">
        <v>342</v>
      </c>
      <c r="B11" s="113" t="s">
        <v>334</v>
      </c>
      <c r="C11" s="917" t="s">
        <v>343</v>
      </c>
      <c r="D11" s="917"/>
      <c r="E11" s="917"/>
      <c r="F11" s="917"/>
    </row>
    <row r="12" spans="1:7" ht="11.45" customHeight="1"/>
    <row r="13" spans="1:7" ht="29.25" customHeight="1">
      <c r="A13" s="914" t="s">
        <v>344</v>
      </c>
      <c r="B13" s="914"/>
      <c r="C13" s="914"/>
      <c r="D13" s="914"/>
      <c r="E13" s="914"/>
      <c r="F13" s="914"/>
      <c r="G13" s="914"/>
    </row>
    <row r="14" spans="1:7">
      <c r="A14" s="918" t="s">
        <v>345</v>
      </c>
      <c r="B14" s="918"/>
      <c r="C14" s="918"/>
      <c r="D14" s="114" t="s">
        <v>332</v>
      </c>
    </row>
    <row r="15" spans="1:7" ht="14.45" customHeight="1">
      <c r="A15" s="115" t="s">
        <v>336</v>
      </c>
      <c r="B15" s="115" t="s">
        <v>334</v>
      </c>
      <c r="C15" s="919" t="s">
        <v>337</v>
      </c>
      <c r="D15" s="919"/>
      <c r="E15" s="919"/>
      <c r="F15" s="919"/>
      <c r="G15" s="919"/>
    </row>
    <row r="16" spans="1:7" ht="39.6" customHeight="1">
      <c r="A16" s="115" t="s">
        <v>346</v>
      </c>
      <c r="B16" s="115" t="s">
        <v>334</v>
      </c>
      <c r="C16" s="919" t="s">
        <v>347</v>
      </c>
      <c r="D16" s="919"/>
      <c r="E16" s="919"/>
      <c r="F16" s="919"/>
      <c r="G16" s="919"/>
    </row>
    <row r="17" spans="1:7" ht="15.6" customHeight="1">
      <c r="A17" s="115" t="s">
        <v>348</v>
      </c>
      <c r="B17" s="115" t="s">
        <v>334</v>
      </c>
      <c r="C17" s="919" t="s">
        <v>349</v>
      </c>
      <c r="D17" s="919"/>
      <c r="E17" s="919"/>
      <c r="F17" s="919"/>
      <c r="G17" s="919"/>
    </row>
    <row r="18" spans="1:7">
      <c r="A18" s="115" t="s">
        <v>350</v>
      </c>
      <c r="B18" s="115" t="s">
        <v>334</v>
      </c>
      <c r="C18" s="919" t="s">
        <v>351</v>
      </c>
      <c r="D18" s="919"/>
      <c r="E18" s="919"/>
      <c r="F18" s="919"/>
    </row>
    <row r="20" spans="1:7">
      <c r="A20" s="920" t="s">
        <v>352</v>
      </c>
      <c r="B20" s="920"/>
      <c r="C20" s="920"/>
      <c r="D20" s="920"/>
      <c r="E20" s="920"/>
      <c r="F20" s="920"/>
      <c r="G20" s="920"/>
    </row>
    <row r="21" spans="1:7" ht="15.75">
      <c r="A21" s="916" t="s">
        <v>353</v>
      </c>
      <c r="B21" s="916"/>
      <c r="D21" s="114" t="s">
        <v>332</v>
      </c>
    </row>
    <row r="22" spans="1:7" ht="14.45" customHeight="1">
      <c r="A22" s="115" t="s">
        <v>338</v>
      </c>
      <c r="B22" s="115" t="s">
        <v>334</v>
      </c>
      <c r="C22" s="919" t="s">
        <v>339</v>
      </c>
      <c r="D22" s="919"/>
      <c r="E22" s="919"/>
      <c r="F22" s="919"/>
      <c r="G22" s="919"/>
    </row>
    <row r="23" spans="1:7" ht="27" customHeight="1">
      <c r="A23" s="115" t="s">
        <v>354</v>
      </c>
      <c r="B23" s="115" t="s">
        <v>334</v>
      </c>
      <c r="C23" s="919" t="s">
        <v>355</v>
      </c>
      <c r="D23" s="919"/>
      <c r="E23" s="919"/>
      <c r="F23" s="919"/>
      <c r="G23" s="919"/>
    </row>
    <row r="24" spans="1:7" ht="42.6" customHeight="1">
      <c r="A24" s="116" t="s">
        <v>356</v>
      </c>
      <c r="B24" s="116" t="s">
        <v>334</v>
      </c>
      <c r="C24" s="919" t="s">
        <v>357</v>
      </c>
      <c r="D24" s="919"/>
      <c r="E24" s="919"/>
      <c r="F24" s="919"/>
      <c r="G24" s="919"/>
    </row>
    <row r="26" spans="1:7">
      <c r="A26" s="117">
        <f>ЗВЕДЕНИЙ!V60</f>
        <v>208174.03504779999</v>
      </c>
      <c r="B26" s="922" t="s">
        <v>516</v>
      </c>
      <c r="C26" s="922"/>
      <c r="D26" t="s">
        <v>1058</v>
      </c>
      <c r="E26" s="119"/>
      <c r="F26" s="120">
        <f>ROUND(A26/A27,4)</f>
        <v>9.2999999999999992E-3</v>
      </c>
    </row>
    <row r="27" spans="1:7">
      <c r="A27" s="121">
        <f>ЗВЕДЕНИЙ!V78-ЗВЕДЕНИЙ!V34+ЗВЕДЕНИЙ!V28+814000</f>
        <v>22376657.905571479</v>
      </c>
      <c r="B27" s="118" t="s">
        <v>1038</v>
      </c>
    </row>
    <row r="28" spans="1:7">
      <c r="B28" s="122"/>
      <c r="C28" s="923"/>
      <c r="D28" s="923"/>
      <c r="E28" s="123"/>
      <c r="F28" s="124"/>
    </row>
    <row r="29" spans="1:7">
      <c r="C29" s="125"/>
      <c r="F29" s="126"/>
    </row>
    <row r="30" spans="1:7">
      <c r="A30" s="121">
        <f>((ЗВЕДЕНИЙ!V34-ЗВЕДЕНИЙ!V28)*22%)+ЗВЕДЕНИЙ!V34-ЗВЕДЕНИЙ!V28</f>
        <v>5320405.4708892182</v>
      </c>
      <c r="B30" s="118" t="s">
        <v>783</v>
      </c>
      <c r="D30" t="s">
        <v>1059</v>
      </c>
      <c r="F30" s="595">
        <f>(A30*F26)/2088</f>
        <v>23.69720827551232</v>
      </c>
    </row>
    <row r="31" spans="1:7">
      <c r="C31" s="125"/>
    </row>
    <row r="32" spans="1:7">
      <c r="A32" s="129"/>
      <c r="B32" s="130"/>
      <c r="C32" s="131"/>
      <c r="D32" s="130"/>
    </row>
    <row r="33" spans="1:7" ht="39.6" customHeight="1">
      <c r="A33" s="921" t="s">
        <v>359</v>
      </c>
      <c r="B33" s="921"/>
      <c r="C33" s="921"/>
      <c r="D33" s="921"/>
      <c r="E33" s="921"/>
      <c r="F33" s="921"/>
      <c r="G33" s="921"/>
    </row>
    <row r="34" spans="1:7" ht="14.45" customHeight="1">
      <c r="A34" s="921" t="s">
        <v>360</v>
      </c>
      <c r="B34" s="921"/>
      <c r="C34" s="921"/>
      <c r="D34" s="921"/>
      <c r="E34" s="921"/>
      <c r="F34" s="921"/>
      <c r="G34" s="921"/>
    </row>
    <row r="35" spans="1:7" ht="12.6" customHeight="1">
      <c r="A35" s="921"/>
      <c r="B35" s="921"/>
      <c r="C35" s="921"/>
      <c r="D35" s="921"/>
      <c r="E35" s="921"/>
      <c r="F35" s="921"/>
      <c r="G35" s="921"/>
    </row>
    <row r="36" spans="1:7">
      <c r="A36" s="258"/>
      <c r="B36" s="258"/>
      <c r="C36" s="258"/>
      <c r="D36" s="258"/>
      <c r="E36" s="258"/>
      <c r="F36" s="258"/>
      <c r="G36" s="258"/>
    </row>
    <row r="37" spans="1:7">
      <c r="F37" s="258"/>
      <c r="G37" s="258"/>
    </row>
    <row r="39" spans="1:7" ht="15.75">
      <c r="A39" s="295" t="s">
        <v>23</v>
      </c>
      <c r="B39" s="37"/>
      <c r="C39" s="51"/>
      <c r="E39" s="90"/>
      <c r="F39" s="51" t="s">
        <v>51</v>
      </c>
    </row>
  </sheetData>
  <mergeCells count="25">
    <mergeCell ref="A33:G33"/>
    <mergeCell ref="A34:G35"/>
    <mergeCell ref="C17:G17"/>
    <mergeCell ref="C15:G15"/>
    <mergeCell ref="C22:G22"/>
    <mergeCell ref="C23:G23"/>
    <mergeCell ref="C24:G24"/>
    <mergeCell ref="C16:G16"/>
    <mergeCell ref="B26:C26"/>
    <mergeCell ref="C28:D28"/>
    <mergeCell ref="C18:F18"/>
    <mergeCell ref="A21:B21"/>
    <mergeCell ref="A20:G20"/>
    <mergeCell ref="A2:G2"/>
    <mergeCell ref="C8:F8"/>
    <mergeCell ref="C9:F9"/>
    <mergeCell ref="A3:G3"/>
    <mergeCell ref="A1:G1"/>
    <mergeCell ref="C10:F10"/>
    <mergeCell ref="C11:F11"/>
    <mergeCell ref="A13:G13"/>
    <mergeCell ref="A14:C14"/>
    <mergeCell ref="A4:G4"/>
    <mergeCell ref="A5:C5"/>
    <mergeCell ref="C7:F7"/>
  </mergeCells>
  <pageMargins left="0.7" right="0.7" top="0.75" bottom="0.75" header="0.3" footer="0.3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9"/>
  <sheetViews>
    <sheetView view="pageBreakPreview" zoomScaleNormal="100" zoomScaleSheetLayoutView="100" workbookViewId="0">
      <selection activeCell="A3" sqref="A3:E3"/>
    </sheetView>
  </sheetViews>
  <sheetFormatPr defaultColWidth="9.140625" defaultRowHeight="15.75"/>
  <cols>
    <col min="1" max="1" width="4.7109375" style="5" customWidth="1"/>
    <col min="2" max="2" width="55.140625" style="5" customWidth="1"/>
    <col min="3" max="3" width="16.85546875" style="5" customWidth="1"/>
    <col min="4" max="4" width="29.28515625" style="5" customWidth="1"/>
    <col min="5" max="5" width="2.28515625" style="5" customWidth="1"/>
    <col min="6" max="7" width="9.140625" style="5"/>
    <col min="8" max="8" width="9.140625" style="5" customWidth="1"/>
    <col min="9" max="16384" width="9.140625" style="5"/>
  </cols>
  <sheetData>
    <row r="1" spans="1:6">
      <c r="C1" s="977" t="s">
        <v>1182</v>
      </c>
      <c r="D1" s="977"/>
      <c r="E1" s="251"/>
      <c r="F1" s="251"/>
    </row>
    <row r="2" spans="1:6" ht="39" customHeight="1">
      <c r="C2" s="977" t="s">
        <v>1183</v>
      </c>
      <c r="D2" s="977"/>
      <c r="E2" s="251"/>
      <c r="F2" s="251"/>
    </row>
    <row r="3" spans="1:6" ht="32.25" customHeight="1">
      <c r="A3" s="913" t="s">
        <v>562</v>
      </c>
      <c r="B3" s="913"/>
      <c r="C3" s="913"/>
      <c r="D3" s="913"/>
      <c r="E3" s="913"/>
    </row>
    <row r="5" spans="1:6" ht="35.450000000000003" customHeight="1">
      <c r="A5" s="1091" t="s">
        <v>563</v>
      </c>
      <c r="B5" s="1091"/>
      <c r="C5" s="1091"/>
      <c r="D5" s="1091"/>
      <c r="E5" s="1091"/>
    </row>
    <row r="6" spans="1:6" ht="9" customHeight="1"/>
    <row r="7" spans="1:6">
      <c r="B7" s="5" t="s">
        <v>565</v>
      </c>
    </row>
    <row r="8" spans="1:6">
      <c r="A8" s="1007" t="s">
        <v>566</v>
      </c>
      <c r="B8" s="1007"/>
      <c r="C8" s="1007"/>
      <c r="D8" s="1007"/>
    </row>
    <row r="9" spans="1:6" ht="29.25" customHeight="1">
      <c r="A9" s="301" t="s">
        <v>462</v>
      </c>
      <c r="B9" s="1092" t="s">
        <v>378</v>
      </c>
      <c r="C9" s="1092"/>
      <c r="D9" s="1092"/>
      <c r="E9" s="1092"/>
    </row>
    <row r="10" spans="1:6" ht="30" customHeight="1">
      <c r="A10" s="301" t="s">
        <v>246</v>
      </c>
      <c r="B10" s="1092" t="s">
        <v>377</v>
      </c>
      <c r="C10" s="1092"/>
      <c r="D10" s="1092"/>
      <c r="E10" s="1092"/>
    </row>
    <row r="11" spans="1:6">
      <c r="A11" s="301" t="s">
        <v>254</v>
      </c>
      <c r="B11" s="1092" t="s">
        <v>382</v>
      </c>
      <c r="C11" s="1092"/>
      <c r="D11" s="1092"/>
    </row>
    <row r="12" spans="1:6">
      <c r="A12" s="301" t="s">
        <v>258</v>
      </c>
      <c r="B12" s="1007" t="s">
        <v>381</v>
      </c>
      <c r="C12" s="1007"/>
      <c r="D12" s="1007"/>
    </row>
    <row r="13" spans="1:6">
      <c r="A13" s="301" t="s">
        <v>136</v>
      </c>
      <c r="B13" s="1007" t="s">
        <v>380</v>
      </c>
      <c r="C13" s="1007"/>
      <c r="D13" s="1007"/>
    </row>
    <row r="14" spans="1:6">
      <c r="A14" s="301" t="s">
        <v>487</v>
      </c>
      <c r="B14" s="1094" t="s">
        <v>379</v>
      </c>
      <c r="C14" s="1094"/>
      <c r="D14" s="1094"/>
    </row>
    <row r="15" spans="1:6">
      <c r="A15" s="301" t="s">
        <v>384</v>
      </c>
      <c r="B15" s="1094" t="s">
        <v>383</v>
      </c>
      <c r="C15" s="1094"/>
      <c r="D15" s="1094"/>
    </row>
    <row r="16" spans="1:6">
      <c r="A16" s="301" t="s">
        <v>385</v>
      </c>
      <c r="B16" s="1092" t="s">
        <v>408</v>
      </c>
      <c r="C16" s="1092"/>
      <c r="D16" s="1092"/>
    </row>
    <row r="17" spans="1:4">
      <c r="A17" s="301" t="s">
        <v>388</v>
      </c>
      <c r="B17" s="1023" t="s">
        <v>386</v>
      </c>
      <c r="C17" s="1023"/>
      <c r="D17" s="1023"/>
    </row>
    <row r="18" spans="1:4">
      <c r="A18" s="301" t="s">
        <v>389</v>
      </c>
      <c r="B18" s="1023" t="s">
        <v>387</v>
      </c>
      <c r="C18" s="1023"/>
      <c r="D18" s="1023"/>
    </row>
    <row r="19" spans="1:4">
      <c r="A19" s="301" t="s">
        <v>390</v>
      </c>
      <c r="B19" s="1023" t="s">
        <v>409</v>
      </c>
      <c r="C19" s="1023"/>
      <c r="D19" s="1023"/>
    </row>
    <row r="20" spans="1:4">
      <c r="A20" s="301" t="s">
        <v>391</v>
      </c>
      <c r="B20" s="1023" t="s">
        <v>410</v>
      </c>
      <c r="C20" s="1023"/>
      <c r="D20" s="1023"/>
    </row>
    <row r="21" spans="1:4">
      <c r="A21" s="301" t="s">
        <v>392</v>
      </c>
      <c r="B21" s="1023" t="s">
        <v>411</v>
      </c>
      <c r="C21" s="1023"/>
      <c r="D21" s="1023"/>
    </row>
    <row r="22" spans="1:4">
      <c r="A22" s="301" t="s">
        <v>393</v>
      </c>
      <c r="B22" s="1023" t="s">
        <v>412</v>
      </c>
      <c r="C22" s="1023"/>
      <c r="D22" s="1023"/>
    </row>
    <row r="23" spans="1:4">
      <c r="A23" s="301" t="s">
        <v>394</v>
      </c>
      <c r="B23" s="1023" t="s">
        <v>413</v>
      </c>
      <c r="C23" s="1023"/>
      <c r="D23" s="1023"/>
    </row>
    <row r="24" spans="1:4">
      <c r="A24" s="301" t="s">
        <v>395</v>
      </c>
      <c r="B24" s="1023" t="s">
        <v>414</v>
      </c>
      <c r="C24" s="1023"/>
      <c r="D24" s="1023"/>
    </row>
    <row r="25" spans="1:4">
      <c r="A25" s="301" t="s">
        <v>396</v>
      </c>
      <c r="B25" s="1023" t="s">
        <v>415</v>
      </c>
      <c r="C25" s="1023"/>
      <c r="D25" s="1023"/>
    </row>
    <row r="26" spans="1:4">
      <c r="A26" s="301" t="s">
        <v>397</v>
      </c>
      <c r="B26" s="1023" t="s">
        <v>416</v>
      </c>
      <c r="C26" s="1023"/>
      <c r="D26" s="1023"/>
    </row>
    <row r="27" spans="1:4">
      <c r="A27" s="301" t="s">
        <v>398</v>
      </c>
      <c r="B27" s="1023" t="s">
        <v>417</v>
      </c>
      <c r="C27" s="1023"/>
      <c r="D27" s="1023"/>
    </row>
    <row r="28" spans="1:4">
      <c r="A28" s="301" t="s">
        <v>399</v>
      </c>
      <c r="B28" s="1023" t="s">
        <v>418</v>
      </c>
      <c r="C28" s="1023"/>
      <c r="D28" s="1023"/>
    </row>
    <row r="29" spans="1:4">
      <c r="A29" s="301" t="s">
        <v>400</v>
      </c>
      <c r="B29" s="1023" t="s">
        <v>419</v>
      </c>
      <c r="C29" s="1023"/>
      <c r="D29" s="1023"/>
    </row>
    <row r="30" spans="1:4">
      <c r="A30" s="301" t="s">
        <v>401</v>
      </c>
      <c r="B30" s="1023" t="s">
        <v>420</v>
      </c>
      <c r="C30" s="1023"/>
      <c r="D30" s="1023"/>
    </row>
    <row r="31" spans="1:4">
      <c r="A31" s="301" t="s">
        <v>402</v>
      </c>
      <c r="B31" s="1023" t="s">
        <v>421</v>
      </c>
      <c r="C31" s="1023"/>
      <c r="D31" s="1023"/>
    </row>
    <row r="32" spans="1:4">
      <c r="A32" s="301" t="s">
        <v>403</v>
      </c>
      <c r="B32" s="1023" t="s">
        <v>422</v>
      </c>
      <c r="C32" s="1023"/>
      <c r="D32" s="1023"/>
    </row>
    <row r="33" spans="1:5">
      <c r="A33" s="301" t="s">
        <v>404</v>
      </c>
      <c r="B33" s="1023" t="s">
        <v>423</v>
      </c>
      <c r="C33" s="1023"/>
      <c r="D33" s="1023"/>
    </row>
    <row r="34" spans="1:5">
      <c r="A34" s="301" t="s">
        <v>405</v>
      </c>
      <c r="B34" s="1023" t="s">
        <v>424</v>
      </c>
      <c r="C34" s="1023"/>
      <c r="D34" s="1023"/>
    </row>
    <row r="35" spans="1:5">
      <c r="A35" s="301" t="s">
        <v>406</v>
      </c>
      <c r="B35" s="1007" t="s">
        <v>425</v>
      </c>
      <c r="C35" s="1007"/>
      <c r="D35" s="1007"/>
    </row>
    <row r="36" spans="1:5">
      <c r="A36" s="301" t="s">
        <v>407</v>
      </c>
      <c r="B36" s="1092" t="s">
        <v>426</v>
      </c>
      <c r="C36" s="1092"/>
      <c r="D36" s="1092"/>
    </row>
    <row r="37" spans="1:5">
      <c r="A37" s="301" t="s">
        <v>432</v>
      </c>
      <c r="B37" s="1093" t="s">
        <v>427</v>
      </c>
      <c r="C37" s="1093"/>
      <c r="D37" s="1093"/>
    </row>
    <row r="38" spans="1:5">
      <c r="A38" s="301" t="s">
        <v>433</v>
      </c>
      <c r="B38" s="1092" t="s">
        <v>428</v>
      </c>
      <c r="C38" s="1092"/>
      <c r="D38" s="1092"/>
    </row>
    <row r="39" spans="1:5" ht="29.25" customHeight="1">
      <c r="A39" s="301" t="s">
        <v>434</v>
      </c>
      <c r="B39" s="1092" t="s">
        <v>429</v>
      </c>
      <c r="C39" s="1092"/>
      <c r="D39" s="1092"/>
      <c r="E39" s="1092"/>
    </row>
    <row r="40" spans="1:5" ht="62.25" customHeight="1">
      <c r="A40" s="301" t="s">
        <v>435</v>
      </c>
      <c r="B40" s="977" t="s">
        <v>430</v>
      </c>
      <c r="C40" s="977"/>
      <c r="D40" s="977"/>
      <c r="E40" s="977"/>
    </row>
    <row r="41" spans="1:5" ht="13.9" customHeight="1">
      <c r="A41" s="301" t="s">
        <v>436</v>
      </c>
      <c r="B41" s="1007" t="s">
        <v>431</v>
      </c>
      <c r="C41" s="1007"/>
      <c r="D41" s="1007"/>
    </row>
    <row r="42" spans="1:5" ht="28.15" customHeight="1">
      <c r="A42" s="900">
        <v>34</v>
      </c>
      <c r="B42" s="1092" t="s">
        <v>437</v>
      </c>
      <c r="C42" s="1092"/>
      <c r="D42" s="1092"/>
      <c r="E42" s="1092"/>
    </row>
    <row r="43" spans="1:5" ht="30" customHeight="1">
      <c r="A43" s="301" t="s">
        <v>442</v>
      </c>
      <c r="B43" s="1092" t="s">
        <v>441</v>
      </c>
      <c r="C43" s="1092"/>
      <c r="D43" s="1092"/>
      <c r="E43" s="1092"/>
    </row>
    <row r="44" spans="1:5" ht="30.75" customHeight="1">
      <c r="A44" s="301" t="s">
        <v>443</v>
      </c>
      <c r="B44" s="1092" t="s">
        <v>440</v>
      </c>
      <c r="C44" s="1092"/>
      <c r="D44" s="1092"/>
      <c r="E44" s="1092"/>
    </row>
    <row r="45" spans="1:5" ht="13.5" customHeight="1">
      <c r="A45" s="301" t="s">
        <v>444</v>
      </c>
      <c r="B45" s="1007" t="s">
        <v>439</v>
      </c>
      <c r="C45" s="1007"/>
      <c r="D45" s="1007"/>
    </row>
    <row r="46" spans="1:5">
      <c r="A46" s="301" t="s">
        <v>730</v>
      </c>
      <c r="B46" s="1007" t="s">
        <v>438</v>
      </c>
      <c r="C46" s="1007"/>
      <c r="D46" s="1007"/>
    </row>
    <row r="47" spans="1:5" ht="30" customHeight="1">
      <c r="A47" s="899" t="s">
        <v>445</v>
      </c>
      <c r="B47" s="1092" t="s">
        <v>447</v>
      </c>
      <c r="C47" s="1092"/>
      <c r="D47" s="1092"/>
      <c r="E47" s="1092"/>
    </row>
    <row r="48" spans="1:5">
      <c r="A48" s="301" t="s">
        <v>731</v>
      </c>
      <c r="B48" s="1007" t="s">
        <v>448</v>
      </c>
      <c r="C48" s="1007"/>
      <c r="D48" s="1007"/>
    </row>
    <row r="49" spans="1:5" ht="16.149999999999999" customHeight="1">
      <c r="A49" s="301" t="s">
        <v>446</v>
      </c>
      <c r="B49" s="1007" t="s">
        <v>449</v>
      </c>
      <c r="C49" s="1007"/>
      <c r="D49" s="1007"/>
    </row>
    <row r="50" spans="1:5">
      <c r="A50" s="301" t="s">
        <v>732</v>
      </c>
      <c r="B50" s="1007" t="s">
        <v>450</v>
      </c>
      <c r="C50" s="1007"/>
      <c r="D50" s="1007"/>
    </row>
    <row r="51" spans="1:5" ht="15.6" customHeight="1">
      <c r="A51" s="301" t="s">
        <v>733</v>
      </c>
      <c r="B51" s="1007" t="s">
        <v>451</v>
      </c>
      <c r="C51" s="1007"/>
      <c r="D51" s="1007"/>
    </row>
    <row r="52" spans="1:5">
      <c r="A52" s="301"/>
      <c r="B52" s="470"/>
      <c r="C52" s="470"/>
      <c r="D52" s="470"/>
    </row>
    <row r="53" spans="1:5">
      <c r="B53" s="5" t="s">
        <v>738</v>
      </c>
    </row>
    <row r="54" spans="1:5">
      <c r="A54" s="1007" t="s">
        <v>568</v>
      </c>
      <c r="B54" s="1007"/>
      <c r="C54" s="1007"/>
      <c r="D54" s="1007"/>
    </row>
    <row r="55" spans="1:5">
      <c r="A55" s="302">
        <v>1</v>
      </c>
      <c r="B55" s="1094" t="s">
        <v>456</v>
      </c>
      <c r="C55" s="1094"/>
      <c r="D55" s="1094"/>
    </row>
    <row r="56" spans="1:5" ht="15.6" customHeight="1">
      <c r="A56" s="302">
        <v>2</v>
      </c>
      <c r="B56" s="1094" t="s">
        <v>457</v>
      </c>
      <c r="C56" s="1094"/>
      <c r="D56" s="1094"/>
    </row>
    <row r="57" spans="1:5" ht="13.15" customHeight="1">
      <c r="A57" s="302">
        <v>3</v>
      </c>
      <c r="B57" s="1094" t="s">
        <v>458</v>
      </c>
      <c r="C57" s="1094"/>
      <c r="D57" s="1094"/>
    </row>
    <row r="58" spans="1:5">
      <c r="A58" s="302">
        <v>4</v>
      </c>
      <c r="B58" s="1094" t="s">
        <v>457</v>
      </c>
      <c r="C58" s="1094"/>
      <c r="D58" s="1094"/>
    </row>
    <row r="59" spans="1:5" ht="31.9" customHeight="1">
      <c r="A59" s="302">
        <v>5</v>
      </c>
      <c r="B59" s="1094" t="s">
        <v>459</v>
      </c>
      <c r="C59" s="1094"/>
      <c r="D59" s="1094"/>
    </row>
    <row r="60" spans="1:5" ht="45" customHeight="1">
      <c r="A60" s="302">
        <v>6</v>
      </c>
      <c r="B60" s="1094" t="s">
        <v>460</v>
      </c>
      <c r="C60" s="1094"/>
      <c r="D60" s="1094"/>
      <c r="E60" s="1094"/>
    </row>
    <row r="61" spans="1:5" ht="34.15" customHeight="1">
      <c r="A61" s="302">
        <v>7</v>
      </c>
      <c r="B61" s="1094" t="s">
        <v>461</v>
      </c>
      <c r="C61" s="1094"/>
      <c r="D61" s="1094"/>
      <c r="E61" s="1094"/>
    </row>
    <row r="62" spans="1:5">
      <c r="A62" s="302">
        <v>8</v>
      </c>
      <c r="B62" s="1094" t="s">
        <v>167</v>
      </c>
      <c r="C62" s="1094"/>
      <c r="D62" s="1094"/>
    </row>
    <row r="63" spans="1:5" ht="15.6" customHeight="1">
      <c r="A63" s="302">
        <v>9</v>
      </c>
      <c r="B63" s="1094" t="s">
        <v>498</v>
      </c>
      <c r="C63" s="1094"/>
      <c r="D63" s="1094"/>
    </row>
    <row r="64" spans="1:5" ht="31.15" customHeight="1">
      <c r="A64" s="302">
        <v>10</v>
      </c>
      <c r="B64" s="1096" t="s">
        <v>1062</v>
      </c>
      <c r="C64" s="1096"/>
      <c r="D64" s="1096"/>
      <c r="E64" s="1096"/>
    </row>
    <row r="65" spans="1:4" ht="11.25" customHeight="1">
      <c r="A65" s="302"/>
      <c r="B65" s="188"/>
      <c r="C65" s="188"/>
      <c r="D65" s="188"/>
    </row>
    <row r="66" spans="1:4">
      <c r="B66" s="5" t="s">
        <v>1135</v>
      </c>
    </row>
    <row r="67" spans="1:4" ht="7.5" customHeight="1"/>
    <row r="68" spans="1:4" ht="31.5">
      <c r="A68" s="70" t="s">
        <v>65</v>
      </c>
      <c r="B68" s="70" t="s">
        <v>62</v>
      </c>
      <c r="C68" s="70" t="s">
        <v>564</v>
      </c>
      <c r="D68" s="70" t="s">
        <v>71</v>
      </c>
    </row>
    <row r="69" spans="1:4">
      <c r="A69" s="8">
        <v>1</v>
      </c>
      <c r="B69" s="6" t="s">
        <v>64</v>
      </c>
      <c r="C69" s="333" t="s">
        <v>70</v>
      </c>
      <c r="D69" s="9">
        <f>ROUND(D70+D71+D72+D73,2)</f>
        <v>110.52</v>
      </c>
    </row>
    <row r="70" spans="1:4">
      <c r="A70" s="8" t="s">
        <v>66</v>
      </c>
      <c r="B70" s="6" t="s">
        <v>59</v>
      </c>
      <c r="C70" s="333" t="s">
        <v>70</v>
      </c>
      <c r="D70" s="9">
        <f>'І відділення'!L5+'І відділення'!L7</f>
        <v>88.181095004895511</v>
      </c>
    </row>
    <row r="71" spans="1:4" ht="31.5">
      <c r="A71" s="8" t="s">
        <v>67</v>
      </c>
      <c r="B71" s="19" t="s">
        <v>1041</v>
      </c>
      <c r="C71" s="289" t="s">
        <v>70</v>
      </c>
      <c r="D71" s="203">
        <f>'І відділення'!L6+'І відділення'!L8</f>
        <v>19.397840901077011</v>
      </c>
    </row>
    <row r="72" spans="1:4">
      <c r="A72" s="8" t="s">
        <v>68</v>
      </c>
      <c r="B72" s="6" t="s">
        <v>57</v>
      </c>
      <c r="C72" s="333" t="s">
        <v>70</v>
      </c>
      <c r="D72" s="9">
        <f>'І відділення'!L14</f>
        <v>0.87</v>
      </c>
    </row>
    <row r="73" spans="1:4">
      <c r="A73" s="8" t="s">
        <v>173</v>
      </c>
      <c r="B73" s="6" t="s">
        <v>454</v>
      </c>
      <c r="C73" s="333" t="s">
        <v>70</v>
      </c>
      <c r="D73" s="9">
        <f>'І відділення'!L13</f>
        <v>2.0689655172413794</v>
      </c>
    </row>
    <row r="74" spans="1:4">
      <c r="A74" s="8">
        <v>2</v>
      </c>
      <c r="B74" s="6" t="s">
        <v>56</v>
      </c>
      <c r="C74" s="333" t="s">
        <v>70</v>
      </c>
      <c r="D74" s="9">
        <f>'І відділення'!L9</f>
        <v>14.93</v>
      </c>
    </row>
    <row r="75" spans="1:4">
      <c r="A75" s="8">
        <v>3</v>
      </c>
      <c r="B75" s="6" t="s">
        <v>60</v>
      </c>
      <c r="C75" s="333" t="s">
        <v>70</v>
      </c>
      <c r="D75" s="9">
        <f>ROUND(D69+D74,2)</f>
        <v>125.45</v>
      </c>
    </row>
    <row r="76" spans="1:4">
      <c r="A76" s="236"/>
      <c r="C76" s="257"/>
      <c r="D76" s="237"/>
    </row>
    <row r="77" spans="1:4">
      <c r="A77" s="236"/>
      <c r="B77" s="5" t="s">
        <v>734</v>
      </c>
      <c r="C77" s="257"/>
      <c r="D77" s="237"/>
    </row>
    <row r="78" spans="1:4">
      <c r="A78" s="1007" t="s">
        <v>566</v>
      </c>
      <c r="B78" s="1007"/>
      <c r="C78" s="1007"/>
      <c r="D78" s="1007"/>
    </row>
    <row r="79" spans="1:4" ht="46.15" customHeight="1">
      <c r="A79" s="472">
        <v>1</v>
      </c>
      <c r="B79" s="1098" t="s">
        <v>729</v>
      </c>
      <c r="C79" s="1098"/>
      <c r="D79" s="1098"/>
    </row>
    <row r="80" spans="1:4" ht="15.6" customHeight="1">
      <c r="A80" s="472">
        <v>2</v>
      </c>
      <c r="B80" s="1098" t="s">
        <v>479</v>
      </c>
      <c r="C80" s="1098"/>
      <c r="D80" s="1098"/>
    </row>
    <row r="81" spans="1:11" ht="13.9" customHeight="1">
      <c r="A81" s="472"/>
      <c r="B81" s="473"/>
      <c r="C81" s="473"/>
      <c r="D81" s="473"/>
    </row>
    <row r="82" spans="1:11" ht="15.6" customHeight="1">
      <c r="A82" s="472"/>
      <c r="B82" s="5" t="s">
        <v>735</v>
      </c>
      <c r="C82" s="473"/>
      <c r="D82" s="473"/>
    </row>
    <row r="83" spans="1:11" ht="28.9" customHeight="1">
      <c r="A83" s="70" t="s">
        <v>65</v>
      </c>
      <c r="B83" s="70" t="s">
        <v>62</v>
      </c>
      <c r="C83" s="70" t="s">
        <v>564</v>
      </c>
      <c r="D83" s="70" t="s">
        <v>71</v>
      </c>
    </row>
    <row r="84" spans="1:11" ht="15.6" customHeight="1">
      <c r="A84" s="8">
        <v>1</v>
      </c>
      <c r="B84" s="6" t="s">
        <v>64</v>
      </c>
      <c r="C84" s="333" t="s">
        <v>70</v>
      </c>
      <c r="D84" s="203">
        <f>ROUND(D85+D86,2)</f>
        <v>92.78</v>
      </c>
    </row>
    <row r="85" spans="1:11" ht="15.6" customHeight="1">
      <c r="A85" s="8" t="s">
        <v>66</v>
      </c>
      <c r="B85" s="6" t="s">
        <v>59</v>
      </c>
      <c r="C85" s="333" t="s">
        <v>70</v>
      </c>
      <c r="D85" s="203">
        <f>'І відділення'!L48</f>
        <v>76.05</v>
      </c>
    </row>
    <row r="86" spans="1:11" ht="30.6" customHeight="1">
      <c r="A86" s="8" t="s">
        <v>67</v>
      </c>
      <c r="B86" s="19" t="s">
        <v>1041</v>
      </c>
      <c r="C86" s="289" t="s">
        <v>70</v>
      </c>
      <c r="D86" s="203">
        <f>'І відділення'!L49</f>
        <v>16.73</v>
      </c>
    </row>
    <row r="87" spans="1:11" ht="15.6" customHeight="1">
      <c r="A87" s="8" t="s">
        <v>68</v>
      </c>
      <c r="B87" s="6" t="s">
        <v>57</v>
      </c>
      <c r="C87" s="333" t="s">
        <v>70</v>
      </c>
      <c r="D87" s="197">
        <v>0</v>
      </c>
    </row>
    <row r="88" spans="1:11" ht="15.6" customHeight="1">
      <c r="A88" s="8" t="s">
        <v>173</v>
      </c>
      <c r="B88" s="6" t="s">
        <v>454</v>
      </c>
      <c r="C88" s="333" t="s">
        <v>70</v>
      </c>
      <c r="D88" s="224">
        <v>0</v>
      </c>
    </row>
    <row r="89" spans="1:11" ht="15.6" customHeight="1">
      <c r="A89" s="8">
        <v>2</v>
      </c>
      <c r="B89" s="6" t="s">
        <v>56</v>
      </c>
      <c r="C89" s="333" t="s">
        <v>70</v>
      </c>
      <c r="D89" s="9">
        <f>'І відділення'!L51</f>
        <v>13.92</v>
      </c>
    </row>
    <row r="90" spans="1:11" ht="15.6" customHeight="1">
      <c r="A90" s="8">
        <v>3</v>
      </c>
      <c r="B90" s="6" t="s">
        <v>60</v>
      </c>
      <c r="C90" s="333" t="s">
        <v>70</v>
      </c>
      <c r="D90" s="42">
        <f>ROUND(D84+D89,2)</f>
        <v>106.7</v>
      </c>
    </row>
    <row r="91" spans="1:11" ht="12" customHeight="1"/>
    <row r="92" spans="1:11">
      <c r="B92" s="5" t="s">
        <v>739</v>
      </c>
    </row>
    <row r="93" spans="1:11">
      <c r="A93" s="169"/>
      <c r="B93" s="132"/>
      <c r="C93" s="132"/>
      <c r="D93" s="169"/>
    </row>
    <row r="94" spans="1:11" ht="29.25" customHeight="1">
      <c r="A94" s="1092" t="s">
        <v>567</v>
      </c>
      <c r="B94" s="1092"/>
      <c r="C94" s="1092"/>
      <c r="D94" s="1092"/>
    </row>
    <row r="95" spans="1:11">
      <c r="A95" s="303" t="s">
        <v>462</v>
      </c>
      <c r="B95" s="1099" t="s">
        <v>499</v>
      </c>
      <c r="C95" s="1099"/>
      <c r="D95" s="1099"/>
      <c r="E95" s="171"/>
      <c r="F95" s="172"/>
      <c r="G95" s="170"/>
      <c r="H95" s="173"/>
      <c r="I95" s="173"/>
      <c r="J95" s="174"/>
      <c r="K95" s="175"/>
    </row>
    <row r="96" spans="1:11">
      <c r="A96" s="303" t="s">
        <v>246</v>
      </c>
      <c r="B96" s="1099" t="s">
        <v>500</v>
      </c>
      <c r="C96" s="1099"/>
      <c r="D96" s="1099"/>
      <c r="E96" s="171"/>
      <c r="F96" s="172"/>
      <c r="G96" s="170"/>
      <c r="H96" s="173"/>
      <c r="I96" s="173"/>
      <c r="J96" s="174"/>
      <c r="K96" s="175"/>
    </row>
    <row r="97" spans="1:11" ht="47.25" customHeight="1">
      <c r="A97" s="304" t="s">
        <v>254</v>
      </c>
      <c r="B97" s="1096" t="s">
        <v>501</v>
      </c>
      <c r="C97" s="1096"/>
      <c r="D97" s="1096"/>
      <c r="E97" s="400"/>
      <c r="F97" s="172"/>
      <c r="G97" s="170"/>
      <c r="H97" s="173"/>
      <c r="I97" s="173"/>
      <c r="J97" s="174"/>
      <c r="K97" s="175"/>
    </row>
    <row r="98" spans="1:11" ht="29.25" customHeight="1">
      <c r="A98" s="304" t="s">
        <v>258</v>
      </c>
      <c r="B98" s="1096" t="s">
        <v>502</v>
      </c>
      <c r="C98" s="1096"/>
      <c r="D98" s="1096"/>
      <c r="E98" s="181"/>
      <c r="F98" s="179"/>
      <c r="G98" s="170"/>
      <c r="H98" s="173"/>
      <c r="I98" s="173"/>
      <c r="J98" s="182"/>
      <c r="K98" s="177"/>
    </row>
    <row r="99" spans="1:11">
      <c r="A99" s="304" t="s">
        <v>136</v>
      </c>
      <c r="B99" s="1096" t="s">
        <v>503</v>
      </c>
      <c r="C99" s="1096"/>
      <c r="D99" s="1096"/>
      <c r="E99" s="178"/>
      <c r="F99" s="179"/>
      <c r="G99" s="170"/>
      <c r="H99" s="173"/>
      <c r="I99" s="173"/>
      <c r="J99" s="182"/>
      <c r="K99" s="177"/>
    </row>
    <row r="100" spans="1:11" ht="48.6" customHeight="1">
      <c r="A100" s="304" t="s">
        <v>487</v>
      </c>
      <c r="B100" s="1097" t="s">
        <v>504</v>
      </c>
      <c r="C100" s="1097"/>
      <c r="D100" s="1097"/>
      <c r="E100" s="1097"/>
      <c r="F100" s="625"/>
      <c r="G100" s="625"/>
      <c r="H100" s="625"/>
      <c r="I100" s="625"/>
      <c r="J100" s="625"/>
      <c r="K100" s="625"/>
    </row>
    <row r="101" spans="1:11">
      <c r="A101" s="304" t="s">
        <v>384</v>
      </c>
      <c r="B101" s="1097" t="s">
        <v>505</v>
      </c>
      <c r="C101" s="1097"/>
      <c r="D101" s="1097"/>
      <c r="E101" s="176"/>
      <c r="F101" s="179"/>
      <c r="G101" s="170"/>
      <c r="H101" s="173"/>
      <c r="I101" s="173"/>
      <c r="J101" s="180"/>
      <c r="K101" s="177"/>
    </row>
    <row r="102" spans="1:11" ht="32.25" customHeight="1">
      <c r="A102" s="304" t="s">
        <v>385</v>
      </c>
      <c r="B102" s="1096" t="s">
        <v>506</v>
      </c>
      <c r="C102" s="1096"/>
      <c r="D102" s="1096"/>
      <c r="E102" s="1096"/>
      <c r="F102" s="625"/>
      <c r="G102" s="625"/>
      <c r="H102" s="625"/>
      <c r="I102" s="625"/>
      <c r="J102" s="625"/>
      <c r="K102" s="625"/>
    </row>
    <row r="103" spans="1:11" ht="30" customHeight="1">
      <c r="A103" s="304" t="s">
        <v>388</v>
      </c>
      <c r="B103" s="1096" t="s">
        <v>507</v>
      </c>
      <c r="C103" s="1096"/>
      <c r="D103" s="1096"/>
      <c r="E103" s="1096"/>
      <c r="F103" s="183"/>
      <c r="G103" s="170"/>
      <c r="H103" s="173"/>
      <c r="I103" s="173"/>
      <c r="J103" s="182"/>
      <c r="K103" s="177"/>
    </row>
    <row r="104" spans="1:11" ht="27.75" customHeight="1">
      <c r="A104" s="304" t="s">
        <v>390</v>
      </c>
      <c r="B104" s="1096" t="s">
        <v>497</v>
      </c>
      <c r="C104" s="1096"/>
      <c r="D104" s="1096"/>
      <c r="E104" s="1096"/>
      <c r="F104" s="179"/>
      <c r="G104" s="170"/>
      <c r="H104" s="173"/>
      <c r="I104" s="173"/>
      <c r="J104" s="180"/>
      <c r="K104" s="177"/>
    </row>
    <row r="105" spans="1:11" ht="14.45" customHeight="1">
      <c r="A105" s="304" t="s">
        <v>391</v>
      </c>
      <c r="B105" s="1097" t="s">
        <v>496</v>
      </c>
      <c r="C105" s="1097"/>
      <c r="D105" s="1097"/>
      <c r="E105" s="176"/>
      <c r="F105" s="179"/>
      <c r="G105" s="170"/>
      <c r="H105" s="173"/>
      <c r="I105" s="173"/>
      <c r="J105" s="180"/>
      <c r="K105" s="177"/>
    </row>
    <row r="106" spans="1:11" ht="17.45" customHeight="1">
      <c r="A106" s="304" t="s">
        <v>392</v>
      </c>
      <c r="B106" s="1096" t="s">
        <v>495</v>
      </c>
      <c r="C106" s="1096"/>
      <c r="D106" s="1096"/>
      <c r="E106" s="171"/>
      <c r="F106" s="179"/>
      <c r="G106" s="170"/>
      <c r="H106" s="173"/>
      <c r="I106" s="173"/>
      <c r="J106" s="180"/>
      <c r="K106" s="177"/>
    </row>
    <row r="107" spans="1:11" ht="46.15" customHeight="1">
      <c r="A107" s="304" t="s">
        <v>393</v>
      </c>
      <c r="B107" s="1097" t="s">
        <v>494</v>
      </c>
      <c r="C107" s="1097"/>
      <c r="D107" s="1097"/>
      <c r="E107" s="1097"/>
      <c r="F107" s="183"/>
      <c r="G107" s="170"/>
      <c r="H107" s="173"/>
      <c r="I107" s="184"/>
      <c r="J107" s="182"/>
      <c r="K107" s="177"/>
    </row>
    <row r="108" spans="1:11" ht="17.45" customHeight="1">
      <c r="A108" s="304" t="s">
        <v>394</v>
      </c>
      <c r="B108" s="1096" t="s">
        <v>493</v>
      </c>
      <c r="C108" s="1096"/>
      <c r="D108" s="1096"/>
      <c r="E108" s="176"/>
      <c r="F108" s="185"/>
      <c r="G108" s="170"/>
      <c r="H108" s="173"/>
      <c r="I108" s="184"/>
      <c r="J108" s="186"/>
      <c r="K108" s="177"/>
    </row>
    <row r="109" spans="1:11" ht="14.25" customHeight="1">
      <c r="A109" s="246"/>
      <c r="B109" s="402"/>
      <c r="C109" s="402"/>
      <c r="D109" s="402"/>
      <c r="E109" s="176"/>
      <c r="F109" s="185"/>
      <c r="G109" s="170"/>
      <c r="H109" s="173"/>
      <c r="I109" s="184"/>
      <c r="J109" s="186"/>
      <c r="K109" s="177"/>
    </row>
    <row r="110" spans="1:11">
      <c r="B110" s="5" t="s">
        <v>61</v>
      </c>
      <c r="C110" s="132"/>
      <c r="D110" s="169"/>
    </row>
    <row r="111" spans="1:11">
      <c r="A111" s="169"/>
      <c r="B111" s="132"/>
      <c r="C111" s="132"/>
      <c r="D111" s="169"/>
    </row>
    <row r="112" spans="1:11" ht="44.45" customHeight="1">
      <c r="A112" s="70" t="s">
        <v>65</v>
      </c>
      <c r="B112" s="70" t="s">
        <v>62</v>
      </c>
      <c r="C112" s="70" t="s">
        <v>564</v>
      </c>
      <c r="D112" s="70" t="s">
        <v>71</v>
      </c>
    </row>
    <row r="113" spans="1:5">
      <c r="A113" s="8">
        <v>1</v>
      </c>
      <c r="B113" s="6" t="s">
        <v>64</v>
      </c>
      <c r="C113" s="289" t="s">
        <v>70</v>
      </c>
      <c r="D113" s="203">
        <f>D114+D115+D116+D117</f>
        <v>109.64893590597251</v>
      </c>
    </row>
    <row r="114" spans="1:5">
      <c r="A114" s="8" t="s">
        <v>66</v>
      </c>
      <c r="B114" s="6" t="s">
        <v>59</v>
      </c>
      <c r="C114" s="289" t="s">
        <v>70</v>
      </c>
      <c r="D114" s="203">
        <f>'І відділення'!L80+'І відділення'!L82</f>
        <v>88.181095004895511</v>
      </c>
    </row>
    <row r="115" spans="1:5" ht="31.5">
      <c r="A115" s="8" t="s">
        <v>67</v>
      </c>
      <c r="B115" s="7" t="s">
        <v>1041</v>
      </c>
      <c r="C115" s="289" t="s">
        <v>70</v>
      </c>
      <c r="D115" s="203">
        <f>'І відділення'!L81+'І відділення'!L83</f>
        <v>19.397840901077011</v>
      </c>
    </row>
    <row r="116" spans="1:5">
      <c r="A116" s="8" t="s">
        <v>68</v>
      </c>
      <c r="B116" s="6" t="s">
        <v>57</v>
      </c>
      <c r="C116" s="289" t="s">
        <v>70</v>
      </c>
      <c r="D116" s="203"/>
    </row>
    <row r="117" spans="1:5">
      <c r="A117" s="8" t="s">
        <v>173</v>
      </c>
      <c r="B117" s="6" t="s">
        <v>454</v>
      </c>
      <c r="C117" s="289" t="s">
        <v>70</v>
      </c>
      <c r="D117" s="203">
        <f>'І відділення'!L12</f>
        <v>2.0699999999999998</v>
      </c>
    </row>
    <row r="118" spans="1:5">
      <c r="A118" s="8">
        <v>2</v>
      </c>
      <c r="B118" s="6" t="s">
        <v>56</v>
      </c>
      <c r="C118" s="289" t="s">
        <v>70</v>
      </c>
      <c r="D118" s="203">
        <f>'І відділення'!L9</f>
        <v>14.93</v>
      </c>
    </row>
    <row r="119" spans="1:5">
      <c r="A119" s="8">
        <v>3</v>
      </c>
      <c r="B119" s="6" t="s">
        <v>60</v>
      </c>
      <c r="C119" s="289" t="s">
        <v>70</v>
      </c>
      <c r="D119" s="203">
        <f>D113+D118</f>
        <v>124.57893590597251</v>
      </c>
    </row>
    <row r="120" spans="1:5" ht="12.75" customHeight="1">
      <c r="A120" s="169"/>
      <c r="B120" s="132"/>
      <c r="C120" s="132"/>
      <c r="D120" s="169"/>
    </row>
    <row r="121" spans="1:5" ht="15.75" customHeight="1">
      <c r="A121" s="1080" t="s">
        <v>72</v>
      </c>
      <c r="B121" s="1080"/>
      <c r="C121" s="1080"/>
      <c r="D121" s="1080"/>
    </row>
    <row r="122" spans="1:5" ht="9.75" customHeight="1">
      <c r="A122" s="399"/>
      <c r="B122" s="399"/>
      <c r="C122" s="399"/>
      <c r="D122" s="399"/>
    </row>
    <row r="123" spans="1:5" ht="15.75" customHeight="1">
      <c r="B123" s="1023" t="s">
        <v>73</v>
      </c>
      <c r="C123" s="1023"/>
      <c r="D123" s="1023"/>
    </row>
    <row r="124" spans="1:5" ht="15.75" customHeight="1">
      <c r="A124" s="398"/>
      <c r="B124" s="398"/>
      <c r="C124" s="398"/>
      <c r="D124" s="398"/>
    </row>
    <row r="125" spans="1:5">
      <c r="A125" s="1007" t="s">
        <v>568</v>
      </c>
      <c r="B125" s="1007"/>
      <c r="C125" s="1007"/>
      <c r="D125" s="1007"/>
    </row>
    <row r="126" spans="1:5">
      <c r="A126" s="305">
        <v>1</v>
      </c>
      <c r="B126" s="1095" t="s">
        <v>455</v>
      </c>
      <c r="C126" s="1095"/>
      <c r="D126" s="1095"/>
      <c r="E126" s="1095"/>
    </row>
    <row r="127" spans="1:5" ht="29.45" customHeight="1">
      <c r="A127" s="305">
        <v>2</v>
      </c>
      <c r="B127" s="1081" t="s">
        <v>461</v>
      </c>
      <c r="C127" s="1081"/>
      <c r="D127" s="1081"/>
      <c r="E127" s="1081"/>
    </row>
    <row r="128" spans="1:5">
      <c r="A128" s="305">
        <v>3</v>
      </c>
      <c r="B128" s="1095" t="s">
        <v>293</v>
      </c>
      <c r="C128" s="1095"/>
      <c r="D128" s="1095"/>
      <c r="E128" s="1095"/>
    </row>
    <row r="129" spans="1:5" ht="15.6" customHeight="1">
      <c r="A129" s="305">
        <v>4</v>
      </c>
      <c r="B129" s="1095" t="s">
        <v>675</v>
      </c>
      <c r="C129" s="1095"/>
      <c r="D129" s="1095"/>
      <c r="E129" s="1095"/>
    </row>
    <row r="130" spans="1:5">
      <c r="A130" s="305"/>
      <c r="B130" s="401"/>
      <c r="C130" s="401"/>
      <c r="D130" s="401"/>
    </row>
    <row r="131" spans="1:5">
      <c r="A131" s="305"/>
      <c r="B131" s="5" t="s">
        <v>61</v>
      </c>
      <c r="C131" s="401"/>
      <c r="D131" s="401"/>
    </row>
    <row r="132" spans="1:5" ht="29.45" customHeight="1">
      <c r="A132" s="571" t="s">
        <v>65</v>
      </c>
      <c r="B132" s="70" t="s">
        <v>62</v>
      </c>
      <c r="C132" s="70" t="s">
        <v>564</v>
      </c>
      <c r="D132" s="70" t="s">
        <v>71</v>
      </c>
    </row>
    <row r="133" spans="1:5">
      <c r="A133" s="8">
        <v>1</v>
      </c>
      <c r="B133" s="6" t="s">
        <v>64</v>
      </c>
      <c r="C133" s="333" t="s">
        <v>70</v>
      </c>
      <c r="D133" s="9">
        <f>D134+D135+D136+D137</f>
        <v>86.9</v>
      </c>
    </row>
    <row r="134" spans="1:5">
      <c r="A134" s="8" t="s">
        <v>66</v>
      </c>
      <c r="B134" s="6" t="s">
        <v>59</v>
      </c>
      <c r="C134" s="333" t="s">
        <v>70</v>
      </c>
      <c r="D134" s="9">
        <f>'соц. роб ІІ віддділення'!E21</f>
        <v>70.47</v>
      </c>
    </row>
    <row r="135" spans="1:5" ht="29.45" customHeight="1">
      <c r="A135" s="419" t="s">
        <v>67</v>
      </c>
      <c r="B135" s="7" t="s">
        <v>1041</v>
      </c>
      <c r="C135" s="289" t="s">
        <v>70</v>
      </c>
      <c r="D135" s="203">
        <f>'соц. роб ІІ віддділення'!E22</f>
        <v>15.5</v>
      </c>
    </row>
    <row r="136" spans="1:5">
      <c r="A136" s="8" t="s">
        <v>68</v>
      </c>
      <c r="B136" s="6" t="s">
        <v>57</v>
      </c>
      <c r="C136" s="333" t="s">
        <v>70</v>
      </c>
      <c r="D136" s="9">
        <f>'соц. роб ІІ віддділення'!F35</f>
        <v>0.92999999999999994</v>
      </c>
    </row>
    <row r="137" spans="1:5">
      <c r="A137" s="8" t="s">
        <v>173</v>
      </c>
      <c r="B137" s="6" t="s">
        <v>454</v>
      </c>
      <c r="C137" s="333" t="s">
        <v>70</v>
      </c>
      <c r="D137" s="9"/>
    </row>
    <row r="138" spans="1:5">
      <c r="A138" s="8">
        <v>2</v>
      </c>
      <c r="B138" s="6" t="s">
        <v>56</v>
      </c>
      <c r="C138" s="333" t="s">
        <v>70</v>
      </c>
      <c r="D138" s="9">
        <f>'соц. роб ІІ віддділення'!E24</f>
        <v>12.9</v>
      </c>
    </row>
    <row r="139" spans="1:5">
      <c r="A139" s="8">
        <v>3</v>
      </c>
      <c r="B139" s="6" t="s">
        <v>60</v>
      </c>
      <c r="C139" s="333" t="s">
        <v>70</v>
      </c>
      <c r="D139" s="9">
        <f>D133+D138</f>
        <v>99.800000000000011</v>
      </c>
    </row>
    <row r="141" spans="1:5">
      <c r="B141" s="1023" t="s">
        <v>209</v>
      </c>
      <c r="C141" s="1023"/>
      <c r="D141" s="1023"/>
    </row>
    <row r="142" spans="1:5">
      <c r="B142" s="398"/>
      <c r="C142" s="398"/>
      <c r="D142" s="398"/>
    </row>
    <row r="143" spans="1:5" ht="15.6" customHeight="1">
      <c r="A143" s="1007" t="s">
        <v>568</v>
      </c>
      <c r="B143" s="1007"/>
      <c r="C143" s="1007"/>
      <c r="D143" s="1007"/>
    </row>
    <row r="144" spans="1:5" ht="32.450000000000003" customHeight="1">
      <c r="A144" s="305">
        <v>1</v>
      </c>
      <c r="B144" s="1007" t="str">
        <f>'ІІ відділення'!C8</f>
        <v>Ремонтні роботи внутрішні (дрібні ремонтно-будівельні роботи в будинку (квартирі), зокрема сантехніки, електромереж (розеток, вимикачів), меблів тощо)</v>
      </c>
      <c r="C144" s="1007"/>
      <c r="D144" s="1007"/>
    </row>
    <row r="145" spans="1:4" ht="16.149999999999999" customHeight="1">
      <c r="A145" s="305">
        <v>2</v>
      </c>
      <c r="B145" s="5" t="str">
        <f>'ІІ відділення'!C15</f>
        <v>Ремонтні роботи зовнішні (дрібні ремонтно-будівельні роботи біля будинку, ремонт паркану тощо)</v>
      </c>
    </row>
    <row r="146" spans="1:4" ht="16.149999999999999" customHeight="1">
      <c r="A146" s="305"/>
    </row>
    <row r="147" spans="1:4">
      <c r="B147" s="5" t="s">
        <v>61</v>
      </c>
      <c r="C147" s="401"/>
      <c r="D147" s="401"/>
    </row>
    <row r="148" spans="1:4" ht="42.6" customHeight="1">
      <c r="A148" s="571" t="s">
        <v>65</v>
      </c>
      <c r="B148" s="70" t="s">
        <v>62</v>
      </c>
      <c r="C148" s="70" t="s">
        <v>564</v>
      </c>
      <c r="D148" s="70" t="s">
        <v>71</v>
      </c>
    </row>
    <row r="149" spans="1:4">
      <c r="A149" s="8">
        <v>1</v>
      </c>
      <c r="B149" s="6" t="s">
        <v>64</v>
      </c>
      <c r="C149" s="333" t="s">
        <v>70</v>
      </c>
      <c r="D149" s="9">
        <f>D150+D151+D152+D153</f>
        <v>104.72</v>
      </c>
    </row>
    <row r="150" spans="1:4">
      <c r="A150" s="8" t="s">
        <v>66</v>
      </c>
      <c r="B150" s="6" t="s">
        <v>59</v>
      </c>
      <c r="C150" s="333" t="s">
        <v>70</v>
      </c>
      <c r="D150" s="9">
        <f>'соц. роб ІІ віддділення'!E21</f>
        <v>70.47</v>
      </c>
    </row>
    <row r="151" spans="1:4" ht="31.5">
      <c r="A151" s="419" t="s">
        <v>67</v>
      </c>
      <c r="B151" s="7" t="s">
        <v>1041</v>
      </c>
      <c r="C151" s="289" t="s">
        <v>70</v>
      </c>
      <c r="D151" s="203">
        <f>'соц. роб ІІ віддділення'!E22</f>
        <v>15.5</v>
      </c>
    </row>
    <row r="152" spans="1:4">
      <c r="A152" s="8" t="s">
        <v>68</v>
      </c>
      <c r="B152" s="6" t="s">
        <v>57</v>
      </c>
      <c r="C152" s="333" t="s">
        <v>70</v>
      </c>
      <c r="D152" s="9">
        <f>'соц. роб ІІ віддділення'!F43</f>
        <v>18.75</v>
      </c>
    </row>
    <row r="153" spans="1:4">
      <c r="A153" s="8" t="s">
        <v>173</v>
      </c>
      <c r="B153" s="6" t="s">
        <v>454</v>
      </c>
      <c r="C153" s="333" t="s">
        <v>70</v>
      </c>
      <c r="D153" s="9"/>
    </row>
    <row r="154" spans="1:4">
      <c r="A154" s="8">
        <v>2</v>
      </c>
      <c r="B154" s="6" t="s">
        <v>56</v>
      </c>
      <c r="C154" s="333" t="s">
        <v>70</v>
      </c>
      <c r="D154" s="9">
        <f>'соц. роб ІІ віддділення'!E24</f>
        <v>12.9</v>
      </c>
    </row>
    <row r="155" spans="1:4">
      <c r="A155" s="8">
        <v>3</v>
      </c>
      <c r="B155" s="6" t="s">
        <v>60</v>
      </c>
      <c r="C155" s="333" t="s">
        <v>70</v>
      </c>
      <c r="D155" s="9">
        <f>D149+D154</f>
        <v>117.62</v>
      </c>
    </row>
    <row r="156" spans="1:4" ht="12" customHeight="1"/>
    <row r="157" spans="1:4" ht="15.75" customHeight="1">
      <c r="B157" s="1023" t="s">
        <v>569</v>
      </c>
      <c r="C157" s="1023"/>
      <c r="D157" s="1023"/>
    </row>
    <row r="158" spans="1:4" ht="13.9" customHeight="1">
      <c r="B158" s="398"/>
      <c r="C158" s="398"/>
      <c r="D158" s="398"/>
    </row>
    <row r="159" spans="1:4">
      <c r="A159" s="1007" t="s">
        <v>568</v>
      </c>
      <c r="B159" s="1007"/>
      <c r="C159" s="1007"/>
      <c r="D159" s="1007"/>
    </row>
    <row r="160" spans="1:4">
      <c r="A160" s="306">
        <v>1</v>
      </c>
      <c r="B160" s="1095" t="s">
        <v>298</v>
      </c>
      <c r="C160" s="1095"/>
      <c r="D160" s="1095"/>
    </row>
    <row r="161" spans="1:4">
      <c r="A161" s="306">
        <v>2</v>
      </c>
      <c r="B161" s="1095" t="s">
        <v>299</v>
      </c>
      <c r="C161" s="1095"/>
      <c r="D161" s="1095"/>
    </row>
    <row r="162" spans="1:4" ht="11.45" customHeight="1">
      <c r="A162" s="306"/>
      <c r="B162" s="401"/>
      <c r="C162" s="401"/>
      <c r="D162" s="401"/>
    </row>
    <row r="163" spans="1:4">
      <c r="B163" s="5" t="s">
        <v>61</v>
      </c>
    </row>
    <row r="164" spans="1:4" ht="10.15" customHeight="1"/>
    <row r="165" spans="1:4" ht="27.6" customHeight="1">
      <c r="A165" s="11" t="s">
        <v>65</v>
      </c>
      <c r="B165" s="70" t="s">
        <v>62</v>
      </c>
      <c r="C165" s="70" t="s">
        <v>564</v>
      </c>
      <c r="D165" s="11" t="s">
        <v>71</v>
      </c>
    </row>
    <row r="166" spans="1:4">
      <c r="A166" s="8">
        <v>1</v>
      </c>
      <c r="B166" s="6" t="s">
        <v>64</v>
      </c>
      <c r="C166" s="333" t="s">
        <v>70</v>
      </c>
      <c r="D166" s="9">
        <f>D167+D168+D169+D170</f>
        <v>138.79</v>
      </c>
    </row>
    <row r="167" spans="1:4">
      <c r="A167" s="8" t="s">
        <v>66</v>
      </c>
      <c r="B167" s="6" t="s">
        <v>59</v>
      </c>
      <c r="C167" s="333" t="s">
        <v>70</v>
      </c>
      <c r="D167" s="9">
        <f>'соц. роб ІІ віддділення'!E21</f>
        <v>70.47</v>
      </c>
    </row>
    <row r="168" spans="1:4" ht="31.5">
      <c r="A168" s="8" t="s">
        <v>67</v>
      </c>
      <c r="B168" s="7" t="s">
        <v>1041</v>
      </c>
      <c r="C168" s="333" t="s">
        <v>70</v>
      </c>
      <c r="D168" s="203">
        <f>'соц. роб ІІ віддділення'!E22</f>
        <v>15.5</v>
      </c>
    </row>
    <row r="169" spans="1:4">
      <c r="A169" s="8" t="s">
        <v>68</v>
      </c>
      <c r="B169" s="6" t="s">
        <v>57</v>
      </c>
      <c r="C169" s="333" t="s">
        <v>70</v>
      </c>
      <c r="D169" s="9">
        <f>'соц. роб ІІ віддділення'!F55+'соц. роб ІІ віддділення'!F60</f>
        <v>51.629999999999988</v>
      </c>
    </row>
    <row r="170" spans="1:4">
      <c r="A170" s="8" t="s">
        <v>173</v>
      </c>
      <c r="B170" s="6" t="s">
        <v>454</v>
      </c>
      <c r="C170" s="333" t="s">
        <v>70</v>
      </c>
      <c r="D170" s="9">
        <f>'соц. роб ІІ віддділення'!F45</f>
        <v>1.19</v>
      </c>
    </row>
    <row r="171" spans="1:4">
      <c r="A171" s="8">
        <v>2</v>
      </c>
      <c r="B171" s="6" t="s">
        <v>56</v>
      </c>
      <c r="C171" s="333" t="s">
        <v>70</v>
      </c>
      <c r="D171" s="9">
        <f>'соц. роб ІІ віддділення'!E24</f>
        <v>12.9</v>
      </c>
    </row>
    <row r="172" spans="1:4">
      <c r="A172" s="8">
        <v>3</v>
      </c>
      <c r="B172" s="6" t="s">
        <v>60</v>
      </c>
      <c r="C172" s="333" t="s">
        <v>70</v>
      </c>
      <c r="D172" s="9">
        <f>D166+D171</f>
        <v>151.69</v>
      </c>
    </row>
    <row r="173" spans="1:4" ht="11.45" customHeight="1"/>
    <row r="174" spans="1:4" ht="15.75" customHeight="1">
      <c r="B174" s="1023" t="s">
        <v>570</v>
      </c>
      <c r="C174" s="1023"/>
      <c r="D174" s="1023"/>
    </row>
    <row r="175" spans="1:4" ht="9.6" customHeight="1">
      <c r="B175" s="398"/>
      <c r="C175" s="398"/>
      <c r="D175" s="398"/>
    </row>
    <row r="176" spans="1:4">
      <c r="A176" s="1007" t="s">
        <v>568</v>
      </c>
      <c r="B176" s="1007"/>
      <c r="C176" s="1007"/>
      <c r="D176" s="1007"/>
    </row>
    <row r="177" spans="1:4">
      <c r="A177" s="306" t="s">
        <v>296</v>
      </c>
      <c r="B177" s="1095" t="s">
        <v>361</v>
      </c>
      <c r="C177" s="1095"/>
      <c r="D177" s="1095"/>
    </row>
    <row r="178" spans="1:4" ht="12" customHeight="1">
      <c r="B178" s="398"/>
      <c r="C178" s="398"/>
      <c r="D178" s="398"/>
    </row>
    <row r="179" spans="1:4">
      <c r="B179" s="5" t="s">
        <v>61</v>
      </c>
    </row>
    <row r="180" spans="1:4" ht="11.45" customHeight="1"/>
    <row r="181" spans="1:4" ht="28.9" customHeight="1">
      <c r="A181" s="11" t="s">
        <v>65</v>
      </c>
      <c r="B181" s="70" t="s">
        <v>62</v>
      </c>
      <c r="C181" s="70" t="s">
        <v>564</v>
      </c>
      <c r="D181" s="11" t="s">
        <v>71</v>
      </c>
    </row>
    <row r="182" spans="1:4">
      <c r="A182" s="8">
        <v>1</v>
      </c>
      <c r="B182" s="6" t="s">
        <v>64</v>
      </c>
      <c r="C182" s="333" t="s">
        <v>70</v>
      </c>
      <c r="D182" s="9">
        <f>ROUND(D183+D184+D185+D186,2)</f>
        <v>156.94999999999999</v>
      </c>
    </row>
    <row r="183" spans="1:4">
      <c r="A183" s="8" t="s">
        <v>66</v>
      </c>
      <c r="B183" s="6" t="s">
        <v>59</v>
      </c>
      <c r="C183" s="333" t="s">
        <v>70</v>
      </c>
      <c r="D183" s="9">
        <f>'соц. роб ІІ віддділення'!E21</f>
        <v>70.47</v>
      </c>
    </row>
    <row r="184" spans="1:4" ht="31.5">
      <c r="A184" s="8" t="s">
        <v>67</v>
      </c>
      <c r="B184" s="7" t="s">
        <v>1041</v>
      </c>
      <c r="C184" s="289" t="s">
        <v>70</v>
      </c>
      <c r="D184" s="203">
        <f>'соц. роб ІІ віддділення'!E22</f>
        <v>15.5</v>
      </c>
    </row>
    <row r="185" spans="1:4">
      <c r="A185" s="8" t="s">
        <v>68</v>
      </c>
      <c r="B185" s="6" t="s">
        <v>57</v>
      </c>
      <c r="C185" s="333" t="s">
        <v>70</v>
      </c>
      <c r="D185" s="9">
        <f>'соц. роб ІІ віддділення'!F74+'соц. роб ІІ віддділення'!F79</f>
        <v>70.460000000000008</v>
      </c>
    </row>
    <row r="186" spans="1:4">
      <c r="A186" s="8" t="s">
        <v>173</v>
      </c>
      <c r="B186" s="6" t="s">
        <v>454</v>
      </c>
      <c r="C186" s="333" t="s">
        <v>70</v>
      </c>
      <c r="D186" s="9">
        <f>'соц. роб ІІ віддділення'!F63</f>
        <v>0.52</v>
      </c>
    </row>
    <row r="187" spans="1:4">
      <c r="A187" s="8">
        <v>2</v>
      </c>
      <c r="B187" s="6" t="s">
        <v>56</v>
      </c>
      <c r="C187" s="333" t="s">
        <v>70</v>
      </c>
      <c r="D187" s="9">
        <f>'соц. роб ІІ віддділення'!E24</f>
        <v>12.9</v>
      </c>
    </row>
    <row r="188" spans="1:4">
      <c r="A188" s="8">
        <v>3</v>
      </c>
      <c r="B188" s="6" t="s">
        <v>60</v>
      </c>
      <c r="C188" s="333" t="s">
        <v>70</v>
      </c>
      <c r="D188" s="9">
        <f>ROUND(D182+D187,2)</f>
        <v>169.85</v>
      </c>
    </row>
    <row r="189" spans="1:4" ht="10.5" customHeight="1">
      <c r="C189" s="257"/>
    </row>
    <row r="190" spans="1:4" ht="15.75" customHeight="1">
      <c r="B190" s="1023" t="s">
        <v>571</v>
      </c>
      <c r="C190" s="1023"/>
      <c r="D190" s="1023"/>
    </row>
    <row r="191" spans="1:4" ht="12" customHeight="1">
      <c r="B191" s="398"/>
      <c r="C191" s="398"/>
      <c r="D191" s="398"/>
    </row>
    <row r="192" spans="1:4">
      <c r="A192" s="1007" t="s">
        <v>568</v>
      </c>
      <c r="B192" s="1007"/>
      <c r="C192" s="1007"/>
      <c r="D192" s="1007"/>
    </row>
    <row r="193" spans="1:4">
      <c r="A193" s="86">
        <v>1</v>
      </c>
      <c r="B193" s="1095" t="s">
        <v>362</v>
      </c>
      <c r="C193" s="1095"/>
      <c r="D193" s="1095"/>
    </row>
    <row r="194" spans="1:4" ht="9.6" customHeight="1">
      <c r="B194" s="398"/>
      <c r="C194" s="398"/>
      <c r="D194" s="398"/>
    </row>
    <row r="195" spans="1:4">
      <c r="B195" s="5" t="s">
        <v>61</v>
      </c>
    </row>
    <row r="196" spans="1:4" ht="10.15" customHeight="1"/>
    <row r="197" spans="1:4" ht="27.6" customHeight="1">
      <c r="A197" s="11" t="s">
        <v>65</v>
      </c>
      <c r="B197" s="70" t="s">
        <v>62</v>
      </c>
      <c r="C197" s="70" t="s">
        <v>564</v>
      </c>
      <c r="D197" s="11" t="s">
        <v>71</v>
      </c>
    </row>
    <row r="198" spans="1:4">
      <c r="A198" s="8">
        <v>1</v>
      </c>
      <c r="B198" s="6" t="s">
        <v>64</v>
      </c>
      <c r="C198" s="333" t="s">
        <v>70</v>
      </c>
      <c r="D198" s="9">
        <f>ROUND(D199+D200+D201+D202,2)</f>
        <v>110.01</v>
      </c>
    </row>
    <row r="199" spans="1:4">
      <c r="A199" s="8" t="s">
        <v>66</v>
      </c>
      <c r="B199" s="6" t="s">
        <v>59</v>
      </c>
      <c r="C199" s="333" t="s">
        <v>70</v>
      </c>
      <c r="D199" s="9">
        <f>'соц. роб ІІ віддділення'!E21</f>
        <v>70.47</v>
      </c>
    </row>
    <row r="200" spans="1:4" ht="31.5">
      <c r="A200" s="8" t="s">
        <v>67</v>
      </c>
      <c r="B200" s="7" t="s">
        <v>1041</v>
      </c>
      <c r="C200" s="333" t="s">
        <v>70</v>
      </c>
      <c r="D200" s="203">
        <f>'соц. роб ІІ віддділення'!E22</f>
        <v>15.5</v>
      </c>
    </row>
    <row r="201" spans="1:4">
      <c r="A201" s="8" t="s">
        <v>68</v>
      </c>
      <c r="B201" s="6" t="s">
        <v>57</v>
      </c>
      <c r="C201" s="333" t="s">
        <v>70</v>
      </c>
      <c r="D201" s="9">
        <f>'соц. роб ІІ віддділення'!F96</f>
        <v>23.03</v>
      </c>
    </row>
    <row r="202" spans="1:4">
      <c r="A202" s="8" t="s">
        <v>173</v>
      </c>
      <c r="B202" s="6" t="s">
        <v>454</v>
      </c>
      <c r="C202" s="333" t="s">
        <v>70</v>
      </c>
      <c r="D202" s="9">
        <f>'соц. роб ІІ віддділення'!F88</f>
        <v>1.01</v>
      </c>
    </row>
    <row r="203" spans="1:4">
      <c r="A203" s="8">
        <v>2</v>
      </c>
      <c r="B203" s="6" t="s">
        <v>56</v>
      </c>
      <c r="C203" s="333" t="s">
        <v>70</v>
      </c>
      <c r="D203" s="9">
        <f>'соц. роб ІІ віддділення'!E24</f>
        <v>12.9</v>
      </c>
    </row>
    <row r="204" spans="1:4">
      <c r="A204" s="8">
        <v>3</v>
      </c>
      <c r="B204" s="6" t="s">
        <v>60</v>
      </c>
      <c r="C204" s="333" t="s">
        <v>70</v>
      </c>
      <c r="D204" s="9">
        <f>ROUND(D198+D203,2)</f>
        <v>122.91</v>
      </c>
    </row>
    <row r="205" spans="1:4" ht="14.45" customHeight="1"/>
    <row r="206" spans="1:4" ht="15.75" customHeight="1">
      <c r="B206" s="1023" t="s">
        <v>572</v>
      </c>
      <c r="C206" s="1023"/>
      <c r="D206" s="1023"/>
    </row>
    <row r="207" spans="1:4" ht="9.6" customHeight="1">
      <c r="B207" s="398"/>
      <c r="C207" s="398"/>
      <c r="D207" s="398"/>
    </row>
    <row r="208" spans="1:4" ht="11.45" customHeight="1">
      <c r="B208" s="398"/>
      <c r="C208" s="398"/>
      <c r="D208" s="398"/>
    </row>
    <row r="209" spans="1:4">
      <c r="A209" s="1007" t="s">
        <v>568</v>
      </c>
      <c r="B209" s="1007"/>
      <c r="C209" s="1007"/>
      <c r="D209" s="1007"/>
    </row>
    <row r="210" spans="1:4">
      <c r="A210" s="307" t="s">
        <v>213</v>
      </c>
      <c r="B210" s="1100" t="s">
        <v>575</v>
      </c>
      <c r="C210" s="1100"/>
      <c r="D210" s="1100"/>
    </row>
    <row r="212" spans="1:4">
      <c r="B212" s="5" t="s">
        <v>74</v>
      </c>
    </row>
    <row r="214" spans="1:4" ht="31.5">
      <c r="A214" s="11" t="s">
        <v>65</v>
      </c>
      <c r="B214" s="11" t="s">
        <v>62</v>
      </c>
      <c r="C214" s="11" t="s">
        <v>564</v>
      </c>
      <c r="D214" s="11" t="s">
        <v>71</v>
      </c>
    </row>
    <row r="215" spans="1:4">
      <c r="A215" s="8">
        <v>1</v>
      </c>
      <c r="B215" s="6" t="s">
        <v>64</v>
      </c>
      <c r="C215" s="333" t="s">
        <v>70</v>
      </c>
      <c r="D215" s="9">
        <f>D216+D217+D218+D219</f>
        <v>81.31</v>
      </c>
    </row>
    <row r="216" spans="1:4">
      <c r="A216" s="8" t="s">
        <v>66</v>
      </c>
      <c r="B216" s="6" t="s">
        <v>59</v>
      </c>
      <c r="C216" s="333" t="s">
        <v>70</v>
      </c>
      <c r="D216" s="9">
        <f>'Перукар ІІ відд'!F9</f>
        <v>63.62</v>
      </c>
    </row>
    <row r="217" spans="1:4" ht="31.5">
      <c r="A217" s="8" t="s">
        <v>67</v>
      </c>
      <c r="B217" s="7" t="s">
        <v>1041</v>
      </c>
      <c r="C217" s="289" t="s">
        <v>70</v>
      </c>
      <c r="D217" s="203">
        <f>'Перукар ІІ відд'!F10</f>
        <v>14</v>
      </c>
    </row>
    <row r="218" spans="1:4">
      <c r="A218" s="8" t="s">
        <v>68</v>
      </c>
      <c r="B218" s="6" t="s">
        <v>57</v>
      </c>
      <c r="C218" s="333" t="s">
        <v>70</v>
      </c>
      <c r="D218" s="9">
        <f>'Перукар ІІ відд'!F43</f>
        <v>1.1200000000000001</v>
      </c>
    </row>
    <row r="219" spans="1:4">
      <c r="A219" s="8" t="s">
        <v>173</v>
      </c>
      <c r="B219" s="6" t="s">
        <v>454</v>
      </c>
      <c r="C219" s="333" t="s">
        <v>70</v>
      </c>
      <c r="D219" s="9">
        <f>'Перукар ІІ відд'!E50+'Перукар ІІ відд'!E51</f>
        <v>2.5700000000000003</v>
      </c>
    </row>
    <row r="220" spans="1:4">
      <c r="A220" s="8">
        <v>2</v>
      </c>
      <c r="B220" s="6" t="s">
        <v>56</v>
      </c>
      <c r="C220" s="333" t="s">
        <v>70</v>
      </c>
      <c r="D220" s="9">
        <f>'Перукар ІІ відд'!F12</f>
        <v>11.64</v>
      </c>
    </row>
    <row r="221" spans="1:4">
      <c r="A221" s="8">
        <v>3</v>
      </c>
      <c r="B221" s="6" t="s">
        <v>60</v>
      </c>
      <c r="C221" s="333" t="s">
        <v>70</v>
      </c>
      <c r="D221" s="9">
        <f>ROUND(D215+D220,2)</f>
        <v>92.95</v>
      </c>
    </row>
    <row r="223" spans="1:4" ht="15.75" customHeight="1">
      <c r="B223" s="1023" t="s">
        <v>1136</v>
      </c>
      <c r="C223" s="1023"/>
      <c r="D223" s="1023"/>
    </row>
    <row r="224" spans="1:4">
      <c r="A224" s="1007" t="s">
        <v>568</v>
      </c>
      <c r="B224" s="1007"/>
      <c r="C224" s="1007"/>
      <c r="D224" s="1007"/>
    </row>
    <row r="225" spans="1:5">
      <c r="A225" s="236" t="s">
        <v>296</v>
      </c>
      <c r="B225" s="1100" t="s">
        <v>452</v>
      </c>
      <c r="C225" s="1100"/>
      <c r="D225" s="1100"/>
    </row>
    <row r="227" spans="1:5">
      <c r="B227" s="5" t="s">
        <v>74</v>
      </c>
    </row>
    <row r="229" spans="1:5" ht="31.5">
      <c r="A229" s="11" t="s">
        <v>65</v>
      </c>
      <c r="B229" s="11" t="s">
        <v>62</v>
      </c>
      <c r="C229" s="11" t="s">
        <v>564</v>
      </c>
      <c r="D229" s="11" t="s">
        <v>71</v>
      </c>
    </row>
    <row r="230" spans="1:5">
      <c r="A230" s="8">
        <v>1</v>
      </c>
      <c r="B230" s="6" t="s">
        <v>64</v>
      </c>
      <c r="C230" s="333" t="s">
        <v>70</v>
      </c>
      <c r="D230" s="9">
        <f>ROUND(D231+D232+D233+D234,2)</f>
        <v>80.11</v>
      </c>
    </row>
    <row r="231" spans="1:5">
      <c r="A231" s="8" t="s">
        <v>66</v>
      </c>
      <c r="B231" s="6" t="s">
        <v>59</v>
      </c>
      <c r="C231" s="333" t="s">
        <v>70</v>
      </c>
      <c r="D231" s="9">
        <f>'Перукар ІІ відд'!E66</f>
        <v>63.62</v>
      </c>
    </row>
    <row r="232" spans="1:5" ht="31.5">
      <c r="A232" s="8" t="s">
        <v>67</v>
      </c>
      <c r="B232" s="7" t="s">
        <v>1041</v>
      </c>
      <c r="C232" s="333" t="s">
        <v>70</v>
      </c>
      <c r="D232" s="203">
        <f>'Перукар ІІ відд'!E67</f>
        <v>14</v>
      </c>
    </row>
    <row r="233" spans="1:5">
      <c r="A233" s="8" t="s">
        <v>68</v>
      </c>
      <c r="B233" s="6" t="s">
        <v>57</v>
      </c>
      <c r="C233" s="333" t="s">
        <v>70</v>
      </c>
      <c r="D233" s="9">
        <f>'Перукар ІІ відд'!F78+'Перукар ІІ відд'!F76</f>
        <v>0.41500000000000004</v>
      </c>
    </row>
    <row r="234" spans="1:5">
      <c r="A234" s="8" t="s">
        <v>173</v>
      </c>
      <c r="B234" s="6" t="s">
        <v>454</v>
      </c>
      <c r="C234" s="333" t="s">
        <v>70</v>
      </c>
      <c r="D234" s="9">
        <f>'Перукар ІІ відд'!F80</f>
        <v>2.0699999999999998</v>
      </c>
    </row>
    <row r="235" spans="1:5">
      <c r="A235" s="8">
        <v>2</v>
      </c>
      <c r="B235" s="6" t="s">
        <v>56</v>
      </c>
      <c r="C235" s="333" t="s">
        <v>70</v>
      </c>
      <c r="D235" s="9">
        <f>'Перукар ІІ відд'!E90</f>
        <v>11.64</v>
      </c>
    </row>
    <row r="236" spans="1:5">
      <c r="A236" s="8">
        <v>3</v>
      </c>
      <c r="B236" s="6" t="s">
        <v>60</v>
      </c>
      <c r="C236" s="333" t="s">
        <v>70</v>
      </c>
      <c r="D236" s="9">
        <f>ROUND(D230+D235,2)</f>
        <v>91.75</v>
      </c>
    </row>
    <row r="237" spans="1:5">
      <c r="A237" s="236"/>
      <c r="C237" s="257"/>
      <c r="D237" s="237"/>
    </row>
    <row r="238" spans="1:5">
      <c r="A238" s="236"/>
      <c r="B238" s="1023" t="s">
        <v>1137</v>
      </c>
      <c r="C238" s="1023"/>
      <c r="D238" s="1023"/>
    </row>
    <row r="239" spans="1:5">
      <c r="A239" s="236"/>
      <c r="B239" s="1007" t="s">
        <v>568</v>
      </c>
      <c r="C239" s="1007"/>
      <c r="D239" s="1007"/>
      <c r="E239" s="1007"/>
    </row>
    <row r="240" spans="1:5">
      <c r="A240" s="236"/>
      <c r="C240" s="257"/>
      <c r="D240" s="237"/>
    </row>
    <row r="241" spans="1:4" ht="30.6" customHeight="1">
      <c r="A241" s="236"/>
      <c r="B241" s="1105" t="s">
        <v>1092</v>
      </c>
      <c r="C241" s="1105"/>
      <c r="D241" s="1105"/>
    </row>
    <row r="242" spans="1:4">
      <c r="A242" s="236"/>
      <c r="C242" s="257"/>
      <c r="D242" s="237"/>
    </row>
    <row r="243" spans="1:4" ht="32.450000000000003" customHeight="1">
      <c r="A243" s="236"/>
      <c r="B243" s="1092" t="s">
        <v>1093</v>
      </c>
      <c r="C243" s="1092"/>
      <c r="D243" s="1092"/>
    </row>
    <row r="244" spans="1:4">
      <c r="A244" s="236"/>
      <c r="C244" s="257"/>
      <c r="D244" s="237"/>
    </row>
    <row r="245" spans="1:4" ht="31.5">
      <c r="A245" s="70" t="s">
        <v>65</v>
      </c>
      <c r="B245" s="70" t="s">
        <v>62</v>
      </c>
      <c r="C245" s="70" t="s">
        <v>564</v>
      </c>
      <c r="D245" s="833" t="s">
        <v>71</v>
      </c>
    </row>
    <row r="246" spans="1:4">
      <c r="A246" s="8">
        <v>1</v>
      </c>
      <c r="B246" s="7" t="s">
        <v>64</v>
      </c>
      <c r="C246" s="11" t="s">
        <v>70</v>
      </c>
      <c r="D246" s="832">
        <f>ROUND(D247+D248+D249+D250,2)</f>
        <v>116.75</v>
      </c>
    </row>
    <row r="247" spans="1:4">
      <c r="A247" s="8" t="s">
        <v>66</v>
      </c>
      <c r="B247" s="7" t="s">
        <v>59</v>
      </c>
      <c r="C247" s="11" t="s">
        <v>70</v>
      </c>
      <c r="D247" s="832">
        <v>90.13</v>
      </c>
    </row>
    <row r="248" spans="1:4" ht="31.5">
      <c r="A248" s="8" t="s">
        <v>67</v>
      </c>
      <c r="B248" s="7" t="s">
        <v>1094</v>
      </c>
      <c r="C248" s="11" t="s">
        <v>70</v>
      </c>
      <c r="D248" s="832">
        <v>19.829999999999998</v>
      </c>
    </row>
    <row r="249" spans="1:4">
      <c r="A249" s="8" t="s">
        <v>68</v>
      </c>
      <c r="B249" s="7" t="s">
        <v>57</v>
      </c>
      <c r="C249" s="11" t="s">
        <v>70</v>
      </c>
      <c r="D249" s="832">
        <v>2.2200000000000002</v>
      </c>
    </row>
    <row r="250" spans="1:4">
      <c r="A250" s="8" t="s">
        <v>173</v>
      </c>
      <c r="B250" s="7" t="s">
        <v>454</v>
      </c>
      <c r="C250" s="11" t="s">
        <v>70</v>
      </c>
      <c r="D250" s="832">
        <v>4.5716799999999997</v>
      </c>
    </row>
    <row r="251" spans="1:4">
      <c r="A251" s="8">
        <v>2</v>
      </c>
      <c r="B251" s="7" t="s">
        <v>56</v>
      </c>
      <c r="C251" s="11" t="s">
        <v>70</v>
      </c>
      <c r="D251" s="832">
        <v>16.489999999999998</v>
      </c>
    </row>
    <row r="252" spans="1:4">
      <c r="A252" s="8">
        <v>3</v>
      </c>
      <c r="B252" s="7" t="s">
        <v>60</v>
      </c>
      <c r="C252" s="11" t="s">
        <v>70</v>
      </c>
      <c r="D252" s="832">
        <f>ROUND(D246+D251,2)</f>
        <v>133.24</v>
      </c>
    </row>
    <row r="253" spans="1:4">
      <c r="A253" s="236"/>
      <c r="C253" s="257"/>
      <c r="D253" s="237"/>
    </row>
    <row r="254" spans="1:4">
      <c r="A254" s="972" t="s">
        <v>75</v>
      </c>
      <c r="B254" s="972"/>
      <c r="C254" s="972"/>
      <c r="D254" s="972"/>
    </row>
    <row r="256" spans="1:4">
      <c r="B256" s="5" t="s">
        <v>76</v>
      </c>
    </row>
    <row r="258" spans="1:4">
      <c r="A258" s="1007" t="s">
        <v>573</v>
      </c>
      <c r="B258" s="1007"/>
      <c r="C258" s="1007"/>
      <c r="D258" s="1007"/>
    </row>
    <row r="259" spans="1:4" ht="30.6" customHeight="1">
      <c r="A259" s="977" t="s">
        <v>556</v>
      </c>
      <c r="B259" s="977"/>
      <c r="C259" s="977"/>
      <c r="D259" s="977"/>
    </row>
    <row r="260" spans="1:4">
      <c r="A260" s="397"/>
      <c r="B260" s="397"/>
      <c r="C260" s="397"/>
      <c r="D260" s="397"/>
    </row>
    <row r="261" spans="1:4">
      <c r="B261" s="5" t="s">
        <v>77</v>
      </c>
    </row>
    <row r="263" spans="1:4" ht="31.5">
      <c r="A263" s="11" t="s">
        <v>65</v>
      </c>
      <c r="B263" s="70" t="s">
        <v>62</v>
      </c>
      <c r="C263" s="70" t="s">
        <v>564</v>
      </c>
      <c r="D263" s="11" t="s">
        <v>71</v>
      </c>
    </row>
    <row r="264" spans="1:4">
      <c r="A264" s="8">
        <v>1</v>
      </c>
      <c r="B264" s="6" t="s">
        <v>64</v>
      </c>
      <c r="C264" s="333" t="s">
        <v>70</v>
      </c>
      <c r="D264" s="9">
        <f>ROUND(D265+D266+D268+D267,2)+0.01</f>
        <v>34.369999999999997</v>
      </c>
    </row>
    <row r="265" spans="1:4">
      <c r="A265" s="8" t="s">
        <v>66</v>
      </c>
      <c r="B265" s="6" t="s">
        <v>59</v>
      </c>
      <c r="C265" s="289" t="s">
        <v>70</v>
      </c>
      <c r="D265" s="9">
        <f>'міос,ноги,короб,алімп, корон'!E11/4</f>
        <v>26.84</v>
      </c>
    </row>
    <row r="266" spans="1:4" ht="31.5">
      <c r="A266" s="8" t="s">
        <v>67</v>
      </c>
      <c r="B266" s="7" t="s">
        <v>1041</v>
      </c>
      <c r="C266" s="289" t="s">
        <v>70</v>
      </c>
      <c r="D266" s="203">
        <f>'міос,ноги,короб,алімп, корон'!E12/4</f>
        <v>5.9050000000000002</v>
      </c>
    </row>
    <row r="267" spans="1:4">
      <c r="A267" s="8" t="s">
        <v>68</v>
      </c>
      <c r="B267" s="6" t="s">
        <v>57</v>
      </c>
      <c r="C267" s="289" t="s">
        <v>70</v>
      </c>
      <c r="D267" s="9">
        <f>'міос,ноги,короб,алімп, корон'!E26</f>
        <v>0.2</v>
      </c>
    </row>
    <row r="268" spans="1:4">
      <c r="A268" s="8" t="s">
        <v>173</v>
      </c>
      <c r="B268" s="6" t="s">
        <v>454</v>
      </c>
      <c r="C268" s="289" t="s">
        <v>70</v>
      </c>
      <c r="D268" s="9">
        <f>'міос,ноги,короб,алімп, корон'!E13/4</f>
        <v>1.415</v>
      </c>
    </row>
    <row r="269" spans="1:4">
      <c r="A269" s="8">
        <v>2</v>
      </c>
      <c r="B269" s="6" t="s">
        <v>56</v>
      </c>
      <c r="C269" s="289" t="s">
        <v>70</v>
      </c>
      <c r="D269" s="9">
        <f>'міос,ноги,короб,алімп, корон'!E16/4</f>
        <v>4.9124999999999996</v>
      </c>
    </row>
    <row r="270" spans="1:4">
      <c r="A270" s="8">
        <v>3</v>
      </c>
      <c r="B270" s="6" t="s">
        <v>60</v>
      </c>
      <c r="C270" s="289" t="s">
        <v>70</v>
      </c>
      <c r="D270" s="9">
        <f>D264+D269</f>
        <v>39.282499999999999</v>
      </c>
    </row>
    <row r="271" spans="1:4">
      <c r="A271" s="236"/>
      <c r="C271" s="195"/>
      <c r="D271" s="237"/>
    </row>
    <row r="272" spans="1:4">
      <c r="B272" s="5" t="s">
        <v>574</v>
      </c>
    </row>
    <row r="274" spans="1:5">
      <c r="A274" s="1007" t="s">
        <v>573</v>
      </c>
      <c r="B274" s="1007"/>
      <c r="C274" s="1007"/>
      <c r="D274" s="1007"/>
    </row>
    <row r="275" spans="1:5" ht="32.450000000000003" customHeight="1">
      <c r="A275" s="977" t="s">
        <v>676</v>
      </c>
      <c r="B275" s="977"/>
      <c r="C275" s="977"/>
      <c r="D275" s="977"/>
      <c r="E275" s="251"/>
    </row>
    <row r="276" spans="1:5">
      <c r="A276" s="397"/>
      <c r="B276" s="397"/>
      <c r="C276" s="397"/>
      <c r="D276" s="397"/>
    </row>
    <row r="277" spans="1:5">
      <c r="B277" s="5" t="s">
        <v>77</v>
      </c>
    </row>
    <row r="278" spans="1:5">
      <c r="B278" s="273"/>
    </row>
    <row r="279" spans="1:5" ht="31.5">
      <c r="A279" s="11" t="s">
        <v>65</v>
      </c>
      <c r="B279" s="70" t="s">
        <v>62</v>
      </c>
      <c r="C279" s="70" t="s">
        <v>564</v>
      </c>
      <c r="D279" s="11" t="s">
        <v>71</v>
      </c>
    </row>
    <row r="280" spans="1:5">
      <c r="A280" s="8">
        <v>1</v>
      </c>
      <c r="B280" s="6" t="s">
        <v>64</v>
      </c>
      <c r="C280" s="333" t="s">
        <v>70</v>
      </c>
      <c r="D280" s="9">
        <f>ROUND(D281+D282+D284+D283,2)+0.01</f>
        <v>35.14</v>
      </c>
    </row>
    <row r="281" spans="1:5">
      <c r="A281" s="8" t="s">
        <v>66</v>
      </c>
      <c r="B281" s="6" t="s">
        <v>59</v>
      </c>
      <c r="C281" s="333" t="s">
        <v>70</v>
      </c>
      <c r="D281" s="9">
        <f>'міос,ноги,короб,алімп, корон'!E11/4</f>
        <v>26.84</v>
      </c>
    </row>
    <row r="282" spans="1:5" ht="31.5">
      <c r="A282" s="8" t="s">
        <v>67</v>
      </c>
      <c r="B282" s="7" t="s">
        <v>1041</v>
      </c>
      <c r="C282" s="289" t="s">
        <v>70</v>
      </c>
      <c r="D282" s="203">
        <f>'міос,ноги,короб,алімп, корон'!E12/4</f>
        <v>5.9050000000000002</v>
      </c>
    </row>
    <row r="283" spans="1:5">
      <c r="A283" s="8" t="s">
        <v>68</v>
      </c>
      <c r="B283" s="6" t="s">
        <v>57</v>
      </c>
      <c r="C283" s="289" t="s">
        <v>70</v>
      </c>
      <c r="D283" s="203">
        <f>'міос,ноги,короб,алімп, корон'!E41</f>
        <v>0.97</v>
      </c>
    </row>
    <row r="284" spans="1:5">
      <c r="A284" s="8" t="s">
        <v>173</v>
      </c>
      <c r="B284" s="6" t="s">
        <v>454</v>
      </c>
      <c r="C284" s="289" t="s">
        <v>70</v>
      </c>
      <c r="D284" s="203">
        <f>'міос,ноги,короб,алімп, корон'!E13/4</f>
        <v>1.415</v>
      </c>
    </row>
    <row r="285" spans="1:5">
      <c r="A285" s="8">
        <v>2</v>
      </c>
      <c r="B285" s="6" t="s">
        <v>56</v>
      </c>
      <c r="C285" s="289" t="s">
        <v>70</v>
      </c>
      <c r="D285" s="203">
        <f>'міос,ноги,короб,алімп, корон'!E16/4</f>
        <v>4.9124999999999996</v>
      </c>
    </row>
    <row r="286" spans="1:5">
      <c r="A286" s="8">
        <v>3</v>
      </c>
      <c r="B286" s="6" t="s">
        <v>60</v>
      </c>
      <c r="C286" s="333" t="s">
        <v>70</v>
      </c>
      <c r="D286" s="9">
        <f>ROUND(D280+D285,2)</f>
        <v>40.049999999999997</v>
      </c>
    </row>
    <row r="287" spans="1:5">
      <c r="A287" s="236"/>
      <c r="C287" s="257"/>
      <c r="D287" s="237"/>
    </row>
    <row r="288" spans="1:5">
      <c r="A288" s="273"/>
      <c r="B288" s="5" t="s">
        <v>578</v>
      </c>
      <c r="C288" s="195"/>
      <c r="D288" s="204"/>
    </row>
    <row r="289" spans="1:4">
      <c r="A289" s="273"/>
      <c r="C289" s="195"/>
      <c r="D289" s="204"/>
    </row>
    <row r="290" spans="1:4">
      <c r="A290" s="1007" t="s">
        <v>573</v>
      </c>
      <c r="B290" s="1007"/>
      <c r="C290" s="1007"/>
      <c r="D290" s="1007"/>
    </row>
    <row r="291" spans="1:4" ht="31.15" customHeight="1">
      <c r="A291" s="977" t="s">
        <v>557</v>
      </c>
      <c r="B291" s="977"/>
      <c r="C291" s="977"/>
      <c r="D291" s="977"/>
    </row>
    <row r="292" spans="1:4" ht="10.9" customHeight="1">
      <c r="A292" s="397"/>
      <c r="B292" s="397"/>
      <c r="C292" s="397"/>
      <c r="D292" s="397"/>
    </row>
    <row r="293" spans="1:4">
      <c r="B293" s="5" t="s">
        <v>77</v>
      </c>
    </row>
    <row r="294" spans="1:4" ht="13.9" customHeight="1"/>
    <row r="295" spans="1:4" ht="28.15" customHeight="1">
      <c r="A295" s="11" t="s">
        <v>65</v>
      </c>
      <c r="B295" s="70" t="s">
        <v>62</v>
      </c>
      <c r="C295" s="70" t="s">
        <v>58</v>
      </c>
      <c r="D295" s="11" t="s">
        <v>71</v>
      </c>
    </row>
    <row r="296" spans="1:4">
      <c r="A296" s="8">
        <v>1</v>
      </c>
      <c r="B296" s="6" t="s">
        <v>64</v>
      </c>
      <c r="C296" s="333" t="s">
        <v>70</v>
      </c>
      <c r="D296" s="9">
        <f>ROUND(D297+D298+D300+D299,2)+0.01</f>
        <v>38.629999999999995</v>
      </c>
    </row>
    <row r="297" spans="1:4">
      <c r="A297" s="8" t="s">
        <v>66</v>
      </c>
      <c r="B297" s="6" t="s">
        <v>59</v>
      </c>
      <c r="C297" s="333" t="s">
        <v>70</v>
      </c>
      <c r="D297" s="9">
        <f>'міос,ноги,короб,алімп, корон'!E11/4</f>
        <v>26.84</v>
      </c>
    </row>
    <row r="298" spans="1:4" ht="31.5">
      <c r="A298" s="8" t="s">
        <v>67</v>
      </c>
      <c r="B298" s="7" t="s">
        <v>1041</v>
      </c>
      <c r="C298" s="289" t="s">
        <v>70</v>
      </c>
      <c r="D298" s="203">
        <f>'міос,ноги,короб,алімп, корон'!E12/4</f>
        <v>5.9050000000000002</v>
      </c>
    </row>
    <row r="299" spans="1:4">
      <c r="A299" s="8" t="s">
        <v>68</v>
      </c>
      <c r="B299" s="6" t="s">
        <v>57</v>
      </c>
      <c r="C299" s="289" t="s">
        <v>70</v>
      </c>
      <c r="D299" s="203">
        <f>'міос,ноги,короб,алімп, корон'!E45</f>
        <v>4.46</v>
      </c>
    </row>
    <row r="300" spans="1:4">
      <c r="A300" s="8" t="s">
        <v>173</v>
      </c>
      <c r="B300" s="6" t="s">
        <v>454</v>
      </c>
      <c r="C300" s="289" t="s">
        <v>70</v>
      </c>
      <c r="D300" s="203">
        <f>'міос,ноги,короб,алімп, корон'!E13/4</f>
        <v>1.415</v>
      </c>
    </row>
    <row r="301" spans="1:4">
      <c r="A301" s="8">
        <v>2</v>
      </c>
      <c r="B301" s="6" t="s">
        <v>56</v>
      </c>
      <c r="C301" s="289" t="s">
        <v>70</v>
      </c>
      <c r="D301" s="203">
        <f>'міос,ноги,короб,алімп, корон'!E16/4</f>
        <v>4.9124999999999996</v>
      </c>
    </row>
    <row r="302" spans="1:4">
      <c r="A302" s="8">
        <v>3</v>
      </c>
      <c r="B302" s="6" t="s">
        <v>60</v>
      </c>
      <c r="C302" s="333" t="s">
        <v>70</v>
      </c>
      <c r="D302" s="9">
        <f>D296+D301</f>
        <v>43.542499999999997</v>
      </c>
    </row>
    <row r="303" spans="1:4">
      <c r="A303" s="273"/>
      <c r="B303" s="290"/>
      <c r="C303" s="195"/>
      <c r="D303" s="204"/>
    </row>
    <row r="304" spans="1:4">
      <c r="B304" s="5" t="s">
        <v>579</v>
      </c>
      <c r="C304" s="195"/>
      <c r="D304" s="204"/>
    </row>
    <row r="305" spans="1:4" ht="10.15" customHeight="1">
      <c r="A305" s="273"/>
      <c r="B305" s="290"/>
      <c r="C305" s="195"/>
      <c r="D305" s="204"/>
    </row>
    <row r="306" spans="1:4">
      <c r="A306" s="1007" t="s">
        <v>573</v>
      </c>
      <c r="B306" s="1007"/>
      <c r="C306" s="1007"/>
      <c r="D306" s="1007"/>
    </row>
    <row r="307" spans="1:4" ht="31.15" customHeight="1">
      <c r="A307" s="977" t="s">
        <v>677</v>
      </c>
      <c r="B307" s="977"/>
      <c r="C307" s="977"/>
      <c r="D307" s="977"/>
    </row>
    <row r="308" spans="1:4" ht="13.15" customHeight="1">
      <c r="A308" s="273"/>
      <c r="B308" s="290"/>
      <c r="C308" s="195"/>
      <c r="D308" s="204"/>
    </row>
    <row r="309" spans="1:4">
      <c r="B309" s="5" t="s">
        <v>77</v>
      </c>
      <c r="C309" s="195"/>
      <c r="D309" s="204"/>
    </row>
    <row r="310" spans="1:4">
      <c r="A310" s="273"/>
      <c r="B310" s="290"/>
      <c r="C310" s="195"/>
      <c r="D310" s="204"/>
    </row>
    <row r="311" spans="1:4" ht="29.45" customHeight="1">
      <c r="A311" s="11" t="s">
        <v>65</v>
      </c>
      <c r="B311" s="70" t="s">
        <v>62</v>
      </c>
      <c r="C311" s="70" t="s">
        <v>58</v>
      </c>
      <c r="D311" s="11" t="s">
        <v>71</v>
      </c>
    </row>
    <row r="312" spans="1:4">
      <c r="A312" s="8">
        <v>1</v>
      </c>
      <c r="B312" s="6" t="s">
        <v>64</v>
      </c>
      <c r="C312" s="333" t="s">
        <v>70</v>
      </c>
      <c r="D312" s="9">
        <f>ROUND(D313+D314+D316+D315,2)+0.01</f>
        <v>36.729999999999997</v>
      </c>
    </row>
    <row r="313" spans="1:4">
      <c r="A313" s="8" t="s">
        <v>66</v>
      </c>
      <c r="B313" s="6" t="s">
        <v>59</v>
      </c>
      <c r="C313" s="333" t="s">
        <v>70</v>
      </c>
      <c r="D313" s="9">
        <f>'міос,ноги,короб,алімп, корон'!E11/4</f>
        <v>26.84</v>
      </c>
    </row>
    <row r="314" spans="1:4" ht="31.5">
      <c r="A314" s="8" t="s">
        <v>67</v>
      </c>
      <c r="B314" s="7" t="s">
        <v>1041</v>
      </c>
      <c r="C314" s="289" t="s">
        <v>70</v>
      </c>
      <c r="D314" s="203">
        <f>'міос,ноги,короб,алімп, корон'!E12/4</f>
        <v>5.9050000000000002</v>
      </c>
    </row>
    <row r="315" spans="1:4">
      <c r="A315" s="8" t="s">
        <v>68</v>
      </c>
      <c r="B315" s="6" t="s">
        <v>57</v>
      </c>
      <c r="C315" s="289" t="s">
        <v>70</v>
      </c>
      <c r="D315" s="203">
        <f>'міос,ноги,короб,алімп, корон'!E48</f>
        <v>2.56</v>
      </c>
    </row>
    <row r="316" spans="1:4">
      <c r="A316" s="8" t="s">
        <v>173</v>
      </c>
      <c r="B316" s="6" t="s">
        <v>454</v>
      </c>
      <c r="C316" s="289" t="s">
        <v>70</v>
      </c>
      <c r="D316" s="203">
        <f>'міос,ноги,короб,алімп, корон'!E13/4</f>
        <v>1.415</v>
      </c>
    </row>
    <row r="317" spans="1:4">
      <c r="A317" s="8">
        <v>2</v>
      </c>
      <c r="B317" s="6" t="s">
        <v>56</v>
      </c>
      <c r="C317" s="289" t="s">
        <v>70</v>
      </c>
      <c r="D317" s="203">
        <f>'міос,ноги,короб,алімп, корон'!E16/4</f>
        <v>4.9124999999999996</v>
      </c>
    </row>
    <row r="318" spans="1:4">
      <c r="A318" s="8">
        <v>3</v>
      </c>
      <c r="B318" s="6" t="s">
        <v>60</v>
      </c>
      <c r="C318" s="333" t="s">
        <v>70</v>
      </c>
      <c r="D318" s="9">
        <f>D312+D317</f>
        <v>41.642499999999998</v>
      </c>
    </row>
    <row r="319" spans="1:4">
      <c r="A319" s="273"/>
      <c r="B319" s="290"/>
      <c r="C319" s="195"/>
      <c r="D319" s="204"/>
    </row>
    <row r="320" spans="1:4">
      <c r="B320" s="5" t="s">
        <v>580</v>
      </c>
      <c r="C320" s="195"/>
      <c r="D320" s="204"/>
    </row>
    <row r="321" spans="1:4" ht="12" customHeight="1">
      <c r="C321" s="195"/>
      <c r="D321" s="204"/>
    </row>
    <row r="322" spans="1:4">
      <c r="A322" s="1007" t="s">
        <v>573</v>
      </c>
      <c r="B322" s="1007"/>
      <c r="C322" s="1007"/>
      <c r="D322" s="1007"/>
    </row>
    <row r="323" spans="1:4">
      <c r="A323" s="977" t="s">
        <v>684</v>
      </c>
      <c r="B323" s="977"/>
      <c r="C323" s="977"/>
      <c r="D323" s="977"/>
    </row>
    <row r="325" spans="1:4">
      <c r="B325" s="5" t="s">
        <v>814</v>
      </c>
    </row>
    <row r="326" spans="1:4">
      <c r="A326" s="1007"/>
      <c r="B326" s="1007"/>
      <c r="C326" s="1007"/>
      <c r="D326" s="1007"/>
    </row>
    <row r="327" spans="1:4" ht="28.15" customHeight="1">
      <c r="A327" s="11" t="s">
        <v>65</v>
      </c>
      <c r="B327" s="70" t="s">
        <v>62</v>
      </c>
      <c r="C327" s="70" t="s">
        <v>582</v>
      </c>
      <c r="D327" s="11" t="s">
        <v>71</v>
      </c>
    </row>
    <row r="328" spans="1:4">
      <c r="A328" s="8">
        <v>1</v>
      </c>
      <c r="B328" s="6" t="s">
        <v>64</v>
      </c>
      <c r="C328" s="333" t="s">
        <v>70</v>
      </c>
      <c r="D328" s="9">
        <f>ROUND(D329+D330+D331+D332,2)</f>
        <v>130.6</v>
      </c>
    </row>
    <row r="329" spans="1:4">
      <c r="A329" s="8" t="s">
        <v>66</v>
      </c>
      <c r="B329" s="6" t="s">
        <v>59</v>
      </c>
      <c r="C329" s="333" t="s">
        <v>70</v>
      </c>
      <c r="D329" s="9">
        <f>'вимір. тиску'!D31</f>
        <v>103.53</v>
      </c>
    </row>
    <row r="330" spans="1:4" ht="31.5">
      <c r="A330" s="419" t="s">
        <v>67</v>
      </c>
      <c r="B330" s="7" t="s">
        <v>1041</v>
      </c>
      <c r="C330" s="289" t="s">
        <v>70</v>
      </c>
      <c r="D330" s="203">
        <f>'вимір. тиску'!D32</f>
        <v>22.78</v>
      </c>
    </row>
    <row r="331" spans="1:4">
      <c r="A331" s="419" t="s">
        <v>68</v>
      </c>
      <c r="B331" s="6" t="s">
        <v>57</v>
      </c>
      <c r="C331" s="289" t="s">
        <v>70</v>
      </c>
      <c r="D331" s="203">
        <f>'вимір. тиску'!D33</f>
        <v>0.19999999999999998</v>
      </c>
    </row>
    <row r="332" spans="1:4">
      <c r="A332" s="419" t="s">
        <v>173</v>
      </c>
      <c r="B332" s="6" t="s">
        <v>454</v>
      </c>
      <c r="C332" s="289" t="s">
        <v>70</v>
      </c>
      <c r="D332" s="203">
        <f>'вимір. тиску'!D34</f>
        <v>4.09</v>
      </c>
    </row>
    <row r="333" spans="1:4">
      <c r="A333" s="419">
        <v>2</v>
      </c>
      <c r="B333" s="6" t="s">
        <v>56</v>
      </c>
      <c r="C333" s="289" t="s">
        <v>70</v>
      </c>
      <c r="D333" s="203">
        <f>'вимір. тиску'!D35</f>
        <v>18.95</v>
      </c>
    </row>
    <row r="334" spans="1:4">
      <c r="A334" s="419">
        <v>3</v>
      </c>
      <c r="B334" s="6" t="s">
        <v>60</v>
      </c>
      <c r="C334" s="333" t="s">
        <v>70</v>
      </c>
      <c r="D334" s="9">
        <f>ROUND(D328+D333,2)</f>
        <v>149.55000000000001</v>
      </c>
    </row>
    <row r="336" spans="1:4">
      <c r="A336" s="219"/>
      <c r="B336" s="1093" t="s">
        <v>581</v>
      </c>
      <c r="C336" s="1093"/>
      <c r="D336" s="1093"/>
    </row>
    <row r="337" spans="1:4">
      <c r="A337" s="1081" t="s">
        <v>573</v>
      </c>
      <c r="B337" s="1081"/>
      <c r="C337" s="1081"/>
      <c r="D337" s="1081"/>
    </row>
    <row r="338" spans="1:4">
      <c r="A338" s="1081" t="s">
        <v>145</v>
      </c>
      <c r="B338" s="1081"/>
      <c r="C338" s="1081"/>
      <c r="D338" s="556"/>
    </row>
    <row r="339" spans="1:4">
      <c r="A339" s="977" t="s">
        <v>736</v>
      </c>
      <c r="B339" s="977"/>
      <c r="C339" s="977"/>
      <c r="D339" s="977"/>
    </row>
    <row r="340" spans="1:4" ht="47.45" customHeight="1">
      <c r="A340" s="977" t="s">
        <v>737</v>
      </c>
      <c r="B340" s="977"/>
      <c r="C340" s="977"/>
      <c r="D340" s="977"/>
    </row>
    <row r="341" spans="1:4" ht="28.9" customHeight="1">
      <c r="A341" s="1093" t="s">
        <v>815</v>
      </c>
      <c r="B341" s="1093"/>
      <c r="C341" s="1093"/>
      <c r="D341" s="1093"/>
    </row>
    <row r="342" spans="1:4">
      <c r="A342" s="219"/>
      <c r="B342" s="397"/>
      <c r="C342" s="397"/>
      <c r="D342" s="397"/>
    </row>
    <row r="343" spans="1:4">
      <c r="A343" s="219"/>
      <c r="B343" s="5" t="s">
        <v>735</v>
      </c>
      <c r="C343" s="195"/>
      <c r="D343" s="204"/>
    </row>
    <row r="344" spans="1:4">
      <c r="A344" s="219"/>
      <c r="C344" s="195"/>
      <c r="D344" s="204"/>
    </row>
    <row r="345" spans="1:4" ht="31.5">
      <c r="A345" s="70" t="s">
        <v>65</v>
      </c>
      <c r="B345" s="70" t="s">
        <v>62</v>
      </c>
      <c r="C345" s="70" t="s">
        <v>564</v>
      </c>
      <c r="D345" s="70" t="s">
        <v>71</v>
      </c>
    </row>
    <row r="346" spans="1:4">
      <c r="A346" s="8">
        <v>1</v>
      </c>
      <c r="B346" s="6" t="s">
        <v>64</v>
      </c>
      <c r="C346" s="333" t="s">
        <v>70</v>
      </c>
      <c r="D346" s="9">
        <f>D347+D348+D349+D350</f>
        <v>95.56</v>
      </c>
    </row>
    <row r="347" spans="1:4">
      <c r="A347" s="8" t="s">
        <v>66</v>
      </c>
      <c r="B347" s="6" t="s">
        <v>59</v>
      </c>
      <c r="C347" s="333" t="s">
        <v>70</v>
      </c>
      <c r="D347" s="9">
        <f>Психолог!E8</f>
        <v>76.05</v>
      </c>
    </row>
    <row r="348" spans="1:4" ht="31.5">
      <c r="A348" s="8" t="s">
        <v>67</v>
      </c>
      <c r="B348" s="7" t="s">
        <v>1041</v>
      </c>
      <c r="C348" s="289" t="s">
        <v>70</v>
      </c>
      <c r="D348" s="203">
        <f>Психолог!E9</f>
        <v>16.73</v>
      </c>
    </row>
    <row r="349" spans="1:4">
      <c r="A349" s="8" t="s">
        <v>68</v>
      </c>
      <c r="B349" s="6" t="s">
        <v>57</v>
      </c>
      <c r="C349" s="333" t="s">
        <v>70</v>
      </c>
      <c r="D349" s="203">
        <f>Психолог!E23</f>
        <v>0.94</v>
      </c>
    </row>
    <row r="350" spans="1:4">
      <c r="A350" s="8" t="s">
        <v>173</v>
      </c>
      <c r="B350" s="6" t="s">
        <v>454</v>
      </c>
      <c r="C350" s="333" t="s">
        <v>70</v>
      </c>
      <c r="D350" s="203">
        <f>Психолог!E10</f>
        <v>1.84</v>
      </c>
    </row>
    <row r="351" spans="1:4">
      <c r="A351" s="8">
        <v>2</v>
      </c>
      <c r="B351" s="6" t="s">
        <v>56</v>
      </c>
      <c r="C351" s="333" t="s">
        <v>70</v>
      </c>
      <c r="D351" s="203">
        <f>Психолог!E13</f>
        <v>13.92</v>
      </c>
    </row>
    <row r="352" spans="1:4">
      <c r="A352" s="8">
        <v>3</v>
      </c>
      <c r="B352" s="6" t="s">
        <v>60</v>
      </c>
      <c r="C352" s="333" t="s">
        <v>70</v>
      </c>
      <c r="D352" s="203">
        <f>ROUND(D346+D351,2)</f>
        <v>109.48</v>
      </c>
    </row>
    <row r="353" spans="1:4">
      <c r="A353" s="236"/>
      <c r="C353" s="257"/>
      <c r="D353" s="204"/>
    </row>
    <row r="354" spans="1:4">
      <c r="A354" s="219"/>
      <c r="B354" s="1093" t="s">
        <v>583</v>
      </c>
      <c r="C354" s="1093"/>
      <c r="D354" s="1093"/>
    </row>
    <row r="355" spans="1:4">
      <c r="A355" s="1081" t="s">
        <v>573</v>
      </c>
      <c r="B355" s="1081"/>
      <c r="C355" s="1081"/>
      <c r="D355" s="1081"/>
    </row>
    <row r="356" spans="1:4">
      <c r="A356" s="1081" t="s">
        <v>145</v>
      </c>
      <c r="B356" s="1081"/>
      <c r="C356" s="1081"/>
      <c r="D356" s="556"/>
    </row>
    <row r="357" spans="1:4">
      <c r="A357" s="977" t="s">
        <v>686</v>
      </c>
      <c r="B357" s="977"/>
      <c r="C357" s="977"/>
      <c r="D357" s="977"/>
    </row>
    <row r="358" spans="1:4">
      <c r="A358" s="219"/>
      <c r="B358" s="397"/>
      <c r="C358" s="397"/>
      <c r="D358" s="397"/>
    </row>
    <row r="359" spans="1:4">
      <c r="A359" s="219"/>
      <c r="B359" s="5" t="s">
        <v>522</v>
      </c>
      <c r="C359" s="195"/>
      <c r="D359" s="204"/>
    </row>
    <row r="360" spans="1:4">
      <c r="A360" s="219"/>
      <c r="C360" s="195"/>
      <c r="D360" s="204"/>
    </row>
    <row r="361" spans="1:4" ht="31.5">
      <c r="A361" s="70" t="s">
        <v>65</v>
      </c>
      <c r="B361" s="70" t="s">
        <v>62</v>
      </c>
      <c r="C361" s="70" t="s">
        <v>564</v>
      </c>
      <c r="D361" s="70" t="s">
        <v>71</v>
      </c>
    </row>
    <row r="362" spans="1:4">
      <c r="A362" s="8">
        <v>1</v>
      </c>
      <c r="B362" s="6" t="s">
        <v>64</v>
      </c>
      <c r="C362" s="333" t="s">
        <v>70</v>
      </c>
      <c r="D362" s="9">
        <f>D363+D364+D365+D366</f>
        <v>126.6211</v>
      </c>
    </row>
    <row r="363" spans="1:4">
      <c r="A363" s="8" t="s">
        <v>66</v>
      </c>
      <c r="B363" s="6" t="s">
        <v>59</v>
      </c>
      <c r="C363" s="333" t="s">
        <v>70</v>
      </c>
      <c r="D363" s="9">
        <f>'фітотер, оксиген, аромотер'!E11</f>
        <v>99.7</v>
      </c>
    </row>
    <row r="364" spans="1:4" ht="30" customHeight="1">
      <c r="A364" s="419" t="s">
        <v>67</v>
      </c>
      <c r="B364" s="7" t="s">
        <v>1041</v>
      </c>
      <c r="C364" s="289" t="s">
        <v>70</v>
      </c>
      <c r="D364" s="203">
        <f>'фітотер, оксиген, аромотер'!E12</f>
        <v>21.93</v>
      </c>
    </row>
    <row r="365" spans="1:4">
      <c r="A365" s="419" t="s">
        <v>68</v>
      </c>
      <c r="B365" s="6" t="s">
        <v>57</v>
      </c>
      <c r="C365" s="333" t="s">
        <v>70</v>
      </c>
      <c r="D365" s="203">
        <f>'фітотер, оксиген, аромотер'!E45</f>
        <v>2.2210999999999999</v>
      </c>
    </row>
    <row r="366" spans="1:4">
      <c r="A366" s="419" t="s">
        <v>173</v>
      </c>
      <c r="B366" s="6" t="s">
        <v>454</v>
      </c>
      <c r="C366" s="333" t="s">
        <v>70</v>
      </c>
      <c r="D366" s="203">
        <f>'фітотер, оксиген, аромотер'!E13</f>
        <v>2.77</v>
      </c>
    </row>
    <row r="367" spans="1:4">
      <c r="A367" s="419">
        <v>2</v>
      </c>
      <c r="B367" s="6" t="s">
        <v>56</v>
      </c>
      <c r="C367" s="333" t="s">
        <v>70</v>
      </c>
      <c r="D367" s="203">
        <f>'фітотер, оксиген, аромотер'!E16</f>
        <v>18.239999999999998</v>
      </c>
    </row>
    <row r="368" spans="1:4">
      <c r="A368" s="419">
        <v>3</v>
      </c>
      <c r="B368" s="6" t="s">
        <v>60</v>
      </c>
      <c r="C368" s="333" t="s">
        <v>70</v>
      </c>
      <c r="D368" s="203">
        <f>ROUND(D362+D367,2)</f>
        <v>144.86000000000001</v>
      </c>
    </row>
    <row r="369" spans="1:4" ht="31.5">
      <c r="A369" s="419">
        <v>4</v>
      </c>
      <c r="B369" s="19" t="s">
        <v>576</v>
      </c>
      <c r="C369" s="289" t="s">
        <v>577</v>
      </c>
      <c r="D369" s="308">
        <v>10</v>
      </c>
    </row>
    <row r="370" spans="1:4">
      <c r="A370" s="419">
        <v>5</v>
      </c>
      <c r="B370" s="7" t="s">
        <v>558</v>
      </c>
      <c r="C370" s="289" t="s">
        <v>70</v>
      </c>
      <c r="D370" s="203">
        <f>ROUND(D368/10,2)</f>
        <v>14.49</v>
      </c>
    </row>
    <row r="371" spans="1:4">
      <c r="A371" s="219"/>
      <c r="B371" s="290"/>
      <c r="C371" s="195"/>
      <c r="D371" s="204"/>
    </row>
    <row r="372" spans="1:4">
      <c r="A372" s="236"/>
      <c r="B372" s="1093" t="s">
        <v>584</v>
      </c>
      <c r="C372" s="1093"/>
      <c r="D372" s="1093"/>
    </row>
    <row r="373" spans="1:4">
      <c r="A373" s="1007" t="s">
        <v>573</v>
      </c>
      <c r="B373" s="1007"/>
      <c r="C373" s="1007"/>
      <c r="D373" s="1007"/>
    </row>
    <row r="374" spans="1:4">
      <c r="A374" s="5" t="s">
        <v>480</v>
      </c>
      <c r="B374" s="470"/>
      <c r="C374" s="470"/>
      <c r="D374" s="470"/>
    </row>
    <row r="375" spans="1:4" ht="32.450000000000003" customHeight="1">
      <c r="A375" s="1081" t="s">
        <v>1042</v>
      </c>
      <c r="B375" s="1081"/>
      <c r="C375" s="1081"/>
      <c r="D375" s="1081"/>
    </row>
    <row r="376" spans="1:4">
      <c r="A376" s="1092" t="s">
        <v>818</v>
      </c>
      <c r="B376" s="1092"/>
      <c r="C376" s="1092"/>
      <c r="D376" s="1092"/>
    </row>
    <row r="377" spans="1:4" ht="15.6" customHeight="1"/>
    <row r="378" spans="1:4">
      <c r="A378" s="273"/>
      <c r="B378" s="5" t="s">
        <v>522</v>
      </c>
      <c r="C378" s="195"/>
      <c r="D378" s="204"/>
    </row>
    <row r="379" spans="1:4">
      <c r="A379" s="273"/>
      <c r="B379" s="290"/>
      <c r="C379" s="195"/>
      <c r="D379" s="204"/>
    </row>
    <row r="380" spans="1:4" ht="31.5">
      <c r="A380" s="11" t="s">
        <v>65</v>
      </c>
      <c r="B380" s="70" t="s">
        <v>62</v>
      </c>
      <c r="C380" s="70" t="s">
        <v>564</v>
      </c>
      <c r="D380" s="11" t="s">
        <v>71</v>
      </c>
    </row>
    <row r="381" spans="1:4">
      <c r="A381" s="8">
        <v>1</v>
      </c>
      <c r="B381" s="6" t="s">
        <v>64</v>
      </c>
      <c r="C381" s="333" t="s">
        <v>70</v>
      </c>
      <c r="D381" s="9">
        <f>ROUND(D382+D383+D385,2)</f>
        <v>127.04</v>
      </c>
    </row>
    <row r="382" spans="1:4">
      <c r="A382" s="8" t="s">
        <v>66</v>
      </c>
      <c r="B382" s="6" t="s">
        <v>59</v>
      </c>
      <c r="C382" s="333" t="s">
        <v>70</v>
      </c>
      <c r="D382" s="9">
        <f>'фіз.реаб театр., зан.в залі'!E11</f>
        <v>99.7</v>
      </c>
    </row>
    <row r="383" spans="1:4" ht="31.5">
      <c r="A383" s="8" t="s">
        <v>67</v>
      </c>
      <c r="B383" s="7" t="s">
        <v>1041</v>
      </c>
      <c r="C383" s="289" t="s">
        <v>70</v>
      </c>
      <c r="D383" s="203">
        <f>'фіз.реаб театр., зан.в залі'!E12</f>
        <v>21.93</v>
      </c>
    </row>
    <row r="384" spans="1:4">
      <c r="A384" s="8" t="s">
        <v>68</v>
      </c>
      <c r="B384" s="6" t="s">
        <v>57</v>
      </c>
      <c r="C384" s="289" t="s">
        <v>70</v>
      </c>
      <c r="D384" s="6"/>
    </row>
    <row r="385" spans="1:4">
      <c r="A385" s="8" t="s">
        <v>173</v>
      </c>
      <c r="B385" s="6" t="s">
        <v>454</v>
      </c>
      <c r="C385" s="289" t="s">
        <v>70</v>
      </c>
      <c r="D385" s="203">
        <f>'фіз.реаб театр., зан.в залі'!E13</f>
        <v>5.41</v>
      </c>
    </row>
    <row r="386" spans="1:4">
      <c r="A386" s="8">
        <v>2</v>
      </c>
      <c r="B386" s="6" t="s">
        <v>56</v>
      </c>
      <c r="C386" s="289" t="s">
        <v>70</v>
      </c>
      <c r="D386" s="203">
        <f>'фіз.реаб театр., зан.в залі'!E17</f>
        <v>18.239999999999998</v>
      </c>
    </row>
    <row r="387" spans="1:4">
      <c r="A387" s="8">
        <v>3</v>
      </c>
      <c r="B387" s="6" t="s">
        <v>60</v>
      </c>
      <c r="C387" s="333" t="s">
        <v>70</v>
      </c>
      <c r="D387" s="9">
        <f>D381+D386</f>
        <v>145.28</v>
      </c>
    </row>
    <row r="388" spans="1:4" ht="31.5">
      <c r="A388" s="419">
        <v>4</v>
      </c>
      <c r="B388" s="19" t="s">
        <v>576</v>
      </c>
      <c r="C388" s="289" t="s">
        <v>577</v>
      </c>
      <c r="D388" s="308">
        <v>10</v>
      </c>
    </row>
    <row r="389" spans="1:4">
      <c r="A389" s="18">
        <v>5</v>
      </c>
      <c r="B389" s="19" t="s">
        <v>558</v>
      </c>
      <c r="C389" s="289" t="s">
        <v>70</v>
      </c>
      <c r="D389" s="203">
        <f>ROUND(D387/D388,2)</f>
        <v>14.53</v>
      </c>
    </row>
    <row r="390" spans="1:4">
      <c r="A390" s="273"/>
      <c r="B390" s="290"/>
      <c r="C390" s="195"/>
      <c r="D390" s="204"/>
    </row>
    <row r="391" spans="1:4">
      <c r="B391" s="5" t="s">
        <v>1177</v>
      </c>
    </row>
    <row r="392" spans="1:4">
      <c r="A392" s="1007" t="s">
        <v>573</v>
      </c>
      <c r="B392" s="1007"/>
      <c r="C392" s="1007"/>
      <c r="D392" s="1007"/>
    </row>
    <row r="393" spans="1:4" ht="32.450000000000003" customHeight="1">
      <c r="A393" s="1081" t="s">
        <v>1042</v>
      </c>
      <c r="B393" s="1081"/>
      <c r="C393" s="1081"/>
      <c r="D393" s="1081"/>
    </row>
    <row r="394" spans="1:4">
      <c r="A394" s="1092" t="s">
        <v>844</v>
      </c>
      <c r="B394" s="1092"/>
      <c r="C394" s="1092"/>
      <c r="D394" s="1092"/>
    </row>
    <row r="396" spans="1:4">
      <c r="B396" s="5" t="s">
        <v>522</v>
      </c>
    </row>
    <row r="397" spans="1:4">
      <c r="A397" s="470"/>
      <c r="B397" s="470"/>
      <c r="C397" s="470"/>
      <c r="D397" s="470"/>
    </row>
    <row r="398" spans="1:4" ht="31.5">
      <c r="A398" s="11" t="s">
        <v>65</v>
      </c>
      <c r="B398" s="70" t="s">
        <v>62</v>
      </c>
      <c r="C398" s="70" t="s">
        <v>564</v>
      </c>
      <c r="D398" s="11" t="s">
        <v>71</v>
      </c>
    </row>
    <row r="399" spans="1:4">
      <c r="A399" s="8">
        <v>1</v>
      </c>
      <c r="B399" s="6" t="s">
        <v>64</v>
      </c>
      <c r="C399" s="333" t="s">
        <v>70</v>
      </c>
      <c r="D399" s="9">
        <f>D400+D401+D402+D403</f>
        <v>140.33482999999998</v>
      </c>
    </row>
    <row r="400" spans="1:4">
      <c r="A400" s="8" t="s">
        <v>66</v>
      </c>
      <c r="B400" s="6" t="s">
        <v>59</v>
      </c>
      <c r="C400" s="333" t="s">
        <v>70</v>
      </c>
      <c r="D400" s="9">
        <f>'фіз.реаб театр., зан.в залі'!E11</f>
        <v>99.7</v>
      </c>
    </row>
    <row r="401" spans="1:4" ht="31.5">
      <c r="A401" s="8" t="s">
        <v>67</v>
      </c>
      <c r="B401" s="7" t="s">
        <v>1041</v>
      </c>
      <c r="C401" s="333" t="s">
        <v>70</v>
      </c>
      <c r="D401" s="9">
        <f>'фіз.реаб театр., зан.в залі'!E12</f>
        <v>21.93</v>
      </c>
    </row>
    <row r="402" spans="1:4">
      <c r="A402" s="8" t="s">
        <v>68</v>
      </c>
      <c r="B402" s="6" t="s">
        <v>57</v>
      </c>
      <c r="C402" s="333" t="s">
        <v>70</v>
      </c>
      <c r="D402" s="9">
        <f>'фіз.реаб театр., зан.в залі'!E37+'фіз.реаб театр., зан.в залі'!E15</f>
        <v>13.294830000000001</v>
      </c>
    </row>
    <row r="403" spans="1:4">
      <c r="A403" s="8" t="s">
        <v>173</v>
      </c>
      <c r="B403" s="6" t="s">
        <v>454</v>
      </c>
      <c r="C403" s="333" t="s">
        <v>70</v>
      </c>
      <c r="D403" s="9">
        <f>'фіз.реаб театр., зан.в залі'!E13</f>
        <v>5.41</v>
      </c>
    </row>
    <row r="404" spans="1:4">
      <c r="A404" s="419">
        <v>2</v>
      </c>
      <c r="B404" s="6" t="s">
        <v>56</v>
      </c>
      <c r="C404" s="333" t="s">
        <v>70</v>
      </c>
      <c r="D404" s="9">
        <f>'фіз.реаб театр., зан.в залі'!E17</f>
        <v>18.239999999999998</v>
      </c>
    </row>
    <row r="405" spans="1:4">
      <c r="A405" s="419">
        <v>3</v>
      </c>
      <c r="B405" s="6" t="s">
        <v>60</v>
      </c>
      <c r="C405" s="333" t="s">
        <v>70</v>
      </c>
      <c r="D405" s="9">
        <f>D399+D404</f>
        <v>158.57482999999999</v>
      </c>
    </row>
    <row r="406" spans="1:4">
      <c r="A406" s="419">
        <v>4</v>
      </c>
      <c r="B406" s="19" t="s">
        <v>821</v>
      </c>
      <c r="C406" s="289" t="s">
        <v>577</v>
      </c>
      <c r="D406" s="308">
        <v>4</v>
      </c>
    </row>
    <row r="407" spans="1:4">
      <c r="A407" s="18">
        <v>5</v>
      </c>
      <c r="B407" s="19" t="s">
        <v>558</v>
      </c>
      <c r="C407" s="289" t="s">
        <v>70</v>
      </c>
      <c r="D407" s="203">
        <f>ROUND(D405/4,2)</f>
        <v>39.64</v>
      </c>
    </row>
    <row r="409" spans="1:4" ht="19.899999999999999" customHeight="1">
      <c r="B409" s="5" t="s">
        <v>819</v>
      </c>
    </row>
    <row r="410" spans="1:4" ht="16.149999999999999" customHeight="1">
      <c r="A410" s="1007" t="s">
        <v>573</v>
      </c>
      <c r="B410" s="1007"/>
      <c r="C410" s="1007"/>
      <c r="D410" s="1007"/>
    </row>
    <row r="411" spans="1:4">
      <c r="A411" s="1081" t="s">
        <v>1042</v>
      </c>
      <c r="B411" s="1081"/>
      <c r="C411" s="1081"/>
      <c r="D411" s="1081"/>
    </row>
    <row r="412" spans="1:4" ht="13.9" customHeight="1">
      <c r="A412" s="1092" t="s">
        <v>845</v>
      </c>
      <c r="B412" s="1092"/>
      <c r="C412" s="1092"/>
      <c r="D412" s="1092"/>
    </row>
    <row r="414" spans="1:4">
      <c r="B414" s="5" t="s">
        <v>522</v>
      </c>
    </row>
    <row r="416" spans="1:4" ht="31.5">
      <c r="A416" s="11" t="s">
        <v>65</v>
      </c>
      <c r="B416" s="70" t="s">
        <v>62</v>
      </c>
      <c r="C416" s="70" t="s">
        <v>564</v>
      </c>
      <c r="D416" s="11" t="s">
        <v>71</v>
      </c>
    </row>
    <row r="417" spans="1:4">
      <c r="A417" s="8">
        <v>1</v>
      </c>
      <c r="B417" s="6" t="s">
        <v>64</v>
      </c>
      <c r="C417" s="333" t="s">
        <v>70</v>
      </c>
      <c r="D417" s="9">
        <f>D418+D419+D420+D421</f>
        <v>130.93</v>
      </c>
    </row>
    <row r="418" spans="1:4">
      <c r="A418" s="8" t="s">
        <v>66</v>
      </c>
      <c r="B418" s="6" t="s">
        <v>59</v>
      </c>
      <c r="C418" s="333" t="s">
        <v>70</v>
      </c>
      <c r="D418" s="9">
        <f>'фіз.реаб театр., зан.в залі'!E11</f>
        <v>99.7</v>
      </c>
    </row>
    <row r="419" spans="1:4" ht="31.5">
      <c r="A419" s="8" t="s">
        <v>67</v>
      </c>
      <c r="B419" s="7" t="s">
        <v>1041</v>
      </c>
      <c r="C419" s="333" t="s">
        <v>70</v>
      </c>
      <c r="D419" s="203">
        <f>'фіз.реаб театр., зан.в залі'!E12</f>
        <v>21.93</v>
      </c>
    </row>
    <row r="420" spans="1:4">
      <c r="A420" s="8" t="s">
        <v>68</v>
      </c>
      <c r="B420" s="6" t="s">
        <v>57</v>
      </c>
      <c r="C420" s="333" t="s">
        <v>70</v>
      </c>
      <c r="D420" s="9">
        <f>'фіз.реаб театр., зан.в залі'!E37+'фіз.реаб театр., зан.в залі'!E19</f>
        <v>3.8899999999999997</v>
      </c>
    </row>
    <row r="421" spans="1:4">
      <c r="A421" s="8" t="s">
        <v>173</v>
      </c>
      <c r="B421" s="6" t="s">
        <v>454</v>
      </c>
      <c r="C421" s="333" t="s">
        <v>70</v>
      </c>
      <c r="D421" s="9">
        <f>'фіз.реаб театр., зан.в залі'!E13</f>
        <v>5.41</v>
      </c>
    </row>
    <row r="422" spans="1:4">
      <c r="A422" s="419">
        <v>2</v>
      </c>
      <c r="B422" s="6" t="s">
        <v>56</v>
      </c>
      <c r="C422" s="333" t="s">
        <v>70</v>
      </c>
      <c r="D422" s="9">
        <f>'фіз.реаб театр., зан.в залі'!E17</f>
        <v>18.239999999999998</v>
      </c>
    </row>
    <row r="423" spans="1:4">
      <c r="A423" s="419">
        <v>3</v>
      </c>
      <c r="B423" s="6" t="s">
        <v>60</v>
      </c>
      <c r="C423" s="333" t="s">
        <v>70</v>
      </c>
      <c r="D423" s="9">
        <f>D417+D422</f>
        <v>149.17000000000002</v>
      </c>
    </row>
    <row r="425" spans="1:4">
      <c r="B425" s="5" t="s">
        <v>1178</v>
      </c>
    </row>
    <row r="426" spans="1:4">
      <c r="A426" s="1007" t="s">
        <v>573</v>
      </c>
      <c r="B426" s="1007"/>
      <c r="C426" s="1007"/>
      <c r="D426" s="1007"/>
    </row>
    <row r="427" spans="1:4" ht="31.15" customHeight="1">
      <c r="A427" s="1081" t="s">
        <v>1042</v>
      </c>
      <c r="B427" s="1081"/>
      <c r="C427" s="1081"/>
      <c r="D427" s="1081"/>
    </row>
    <row r="428" spans="1:4">
      <c r="A428" s="977" t="s">
        <v>820</v>
      </c>
      <c r="B428" s="977"/>
      <c r="C428" s="977"/>
      <c r="D428" s="977"/>
    </row>
    <row r="429" spans="1:4">
      <c r="A429" s="470"/>
      <c r="B429" s="470"/>
      <c r="C429" s="470"/>
      <c r="D429" s="470"/>
    </row>
    <row r="430" spans="1:4">
      <c r="A430" s="470"/>
      <c r="B430" s="5" t="s">
        <v>522</v>
      </c>
      <c r="C430" s="470"/>
      <c r="D430" s="470"/>
    </row>
    <row r="431" spans="1:4">
      <c r="A431" s="470"/>
      <c r="B431" s="470"/>
      <c r="C431" s="470"/>
      <c r="D431" s="470"/>
    </row>
    <row r="432" spans="1:4" ht="31.5">
      <c r="A432" s="11" t="s">
        <v>65</v>
      </c>
      <c r="B432" s="70" t="s">
        <v>62</v>
      </c>
      <c r="C432" s="70" t="s">
        <v>564</v>
      </c>
      <c r="D432" s="11" t="s">
        <v>71</v>
      </c>
    </row>
    <row r="433" spans="1:4">
      <c r="A433" s="8">
        <v>1</v>
      </c>
      <c r="B433" s="6" t="s">
        <v>64</v>
      </c>
      <c r="C433" s="333" t="s">
        <v>70</v>
      </c>
      <c r="D433" s="9">
        <f>D434+D435+D436+D437</f>
        <v>164.74</v>
      </c>
    </row>
    <row r="434" spans="1:4">
      <c r="A434" s="8" t="s">
        <v>66</v>
      </c>
      <c r="B434" s="6" t="s">
        <v>59</v>
      </c>
      <c r="C434" s="333" t="s">
        <v>70</v>
      </c>
      <c r="D434" s="9">
        <f>'фітотер, оксиген, аромотер'!E11</f>
        <v>99.7</v>
      </c>
    </row>
    <row r="435" spans="1:4" ht="31.5">
      <c r="A435" s="8" t="s">
        <v>67</v>
      </c>
      <c r="B435" s="7" t="s">
        <v>1041</v>
      </c>
      <c r="C435" s="289" t="s">
        <v>70</v>
      </c>
      <c r="D435" s="203">
        <f>'фітотер, оксиген, аромотер'!E12</f>
        <v>21.93</v>
      </c>
    </row>
    <row r="436" spans="1:4">
      <c r="A436" s="8" t="s">
        <v>68</v>
      </c>
      <c r="B436" s="6" t="s">
        <v>57</v>
      </c>
      <c r="C436" s="333" t="s">
        <v>70</v>
      </c>
      <c r="D436" s="9">
        <f>'фітотер, оксиген, аромотер'!E30</f>
        <v>40.339999999999996</v>
      </c>
    </row>
    <row r="437" spans="1:4">
      <c r="A437" s="8" t="s">
        <v>173</v>
      </c>
      <c r="B437" s="6" t="s">
        <v>454</v>
      </c>
      <c r="C437" s="333" t="s">
        <v>70</v>
      </c>
      <c r="D437" s="9">
        <f>'фітотер, оксиген, аромотер'!E13</f>
        <v>2.77</v>
      </c>
    </row>
    <row r="438" spans="1:4">
      <c r="A438" s="8">
        <v>2</v>
      </c>
      <c r="B438" s="6" t="s">
        <v>56</v>
      </c>
      <c r="C438" s="333" t="s">
        <v>70</v>
      </c>
      <c r="D438" s="9">
        <f>'фітотер, оксиген, аромотер'!E16</f>
        <v>18.239999999999998</v>
      </c>
    </row>
    <row r="439" spans="1:4">
      <c r="A439" s="8">
        <v>3</v>
      </c>
      <c r="B439" s="6" t="s">
        <v>60</v>
      </c>
      <c r="C439" s="333" t="s">
        <v>70</v>
      </c>
      <c r="D439" s="9">
        <f>ROUND(D433+D438,2)</f>
        <v>182.98</v>
      </c>
    </row>
    <row r="440" spans="1:4" ht="16.149999999999999" customHeight="1">
      <c r="A440" s="419">
        <v>4</v>
      </c>
      <c r="B440" s="19" t="s">
        <v>822</v>
      </c>
      <c r="C440" s="289" t="s">
        <v>577</v>
      </c>
      <c r="D440" s="308">
        <v>10</v>
      </c>
    </row>
    <row r="441" spans="1:4">
      <c r="A441" s="419">
        <v>5</v>
      </c>
      <c r="B441" s="7" t="s">
        <v>558</v>
      </c>
      <c r="C441" s="289" t="s">
        <v>70</v>
      </c>
      <c r="D441" s="203">
        <f>ROUND(D439/10,2)</f>
        <v>18.3</v>
      </c>
    </row>
    <row r="442" spans="1:4">
      <c r="A442" s="219"/>
      <c r="B442" s="290"/>
      <c r="C442" s="195"/>
      <c r="D442" s="204"/>
    </row>
    <row r="443" spans="1:4">
      <c r="B443" s="5" t="s">
        <v>678</v>
      </c>
    </row>
    <row r="444" spans="1:4">
      <c r="A444" s="1007" t="s">
        <v>573</v>
      </c>
      <c r="B444" s="1007"/>
      <c r="C444" s="1007"/>
      <c r="D444" s="1007"/>
    </row>
    <row r="445" spans="1:4" ht="34.9" customHeight="1">
      <c r="A445" s="1081" t="s">
        <v>1042</v>
      </c>
      <c r="B445" s="1081"/>
      <c r="C445" s="1081"/>
      <c r="D445" s="1081"/>
    </row>
    <row r="446" spans="1:4">
      <c r="A446" s="1092" t="s">
        <v>823</v>
      </c>
      <c r="B446" s="1092"/>
      <c r="C446" s="1092"/>
      <c r="D446" s="1092"/>
    </row>
    <row r="447" spans="1:4">
      <c r="A447" s="555"/>
      <c r="B447" s="555"/>
      <c r="C447" s="555"/>
      <c r="D447" s="555"/>
    </row>
    <row r="448" spans="1:4">
      <c r="B448" s="5" t="s">
        <v>522</v>
      </c>
    </row>
    <row r="450" spans="1:5" ht="28.9" customHeight="1">
      <c r="A450" s="11" t="s">
        <v>65</v>
      </c>
      <c r="B450" s="70" t="s">
        <v>62</v>
      </c>
      <c r="C450" s="70" t="s">
        <v>564</v>
      </c>
      <c r="D450" s="11" t="s">
        <v>71</v>
      </c>
    </row>
    <row r="451" spans="1:5">
      <c r="A451" s="8">
        <v>1</v>
      </c>
      <c r="B451" s="6" t="s">
        <v>64</v>
      </c>
      <c r="C451" s="333" t="s">
        <v>70</v>
      </c>
      <c r="D451" s="9">
        <f>D452+D453+D454+D455</f>
        <v>148.93</v>
      </c>
    </row>
    <row r="452" spans="1:5">
      <c r="A452" s="8" t="s">
        <v>66</v>
      </c>
      <c r="B452" s="6" t="s">
        <v>59</v>
      </c>
      <c r="C452" s="333" t="s">
        <v>70</v>
      </c>
      <c r="D452" s="9">
        <f>'фітотер, оксиген, аромотер'!E11</f>
        <v>99.7</v>
      </c>
    </row>
    <row r="453" spans="1:5" ht="31.5">
      <c r="A453" s="8" t="s">
        <v>67</v>
      </c>
      <c r="B453" s="7" t="s">
        <v>1041</v>
      </c>
      <c r="C453" s="289" t="s">
        <v>70</v>
      </c>
      <c r="D453" s="203">
        <f>'фітотер, оксиген, аромотер'!E12</f>
        <v>21.93</v>
      </c>
    </row>
    <row r="454" spans="1:5">
      <c r="A454" s="8" t="s">
        <v>68</v>
      </c>
      <c r="B454" s="6" t="s">
        <v>57</v>
      </c>
      <c r="C454" s="333" t="s">
        <v>70</v>
      </c>
      <c r="D454" s="9">
        <f>'фітотер, оксиген, аромотер'!E38</f>
        <v>24.53</v>
      </c>
    </row>
    <row r="455" spans="1:5">
      <c r="A455" s="8" t="s">
        <v>173</v>
      </c>
      <c r="B455" s="6" t="s">
        <v>454</v>
      </c>
      <c r="C455" s="333" t="s">
        <v>70</v>
      </c>
      <c r="D455" s="9">
        <f>'фітотер, оксиген, аромотер'!E13</f>
        <v>2.77</v>
      </c>
    </row>
    <row r="456" spans="1:5">
      <c r="A456" s="8">
        <v>2</v>
      </c>
      <c r="B456" s="6" t="s">
        <v>56</v>
      </c>
      <c r="C456" s="333" t="s">
        <v>70</v>
      </c>
      <c r="D456" s="9">
        <f>'фітотер, оксиген, аромотер'!E16</f>
        <v>18.239999999999998</v>
      </c>
    </row>
    <row r="457" spans="1:5">
      <c r="A457" s="8">
        <v>3</v>
      </c>
      <c r="B457" s="6" t="s">
        <v>60</v>
      </c>
      <c r="C457" s="333" t="s">
        <v>70</v>
      </c>
      <c r="D457" s="9">
        <f>ROUND(D451+D456,2)</f>
        <v>167.17</v>
      </c>
    </row>
    <row r="458" spans="1:5">
      <c r="A458" s="419">
        <v>4</v>
      </c>
      <c r="B458" s="19" t="s">
        <v>824</v>
      </c>
      <c r="C458" s="289" t="s">
        <v>577</v>
      </c>
      <c r="D458" s="308">
        <v>10</v>
      </c>
    </row>
    <row r="459" spans="1:5">
      <c r="A459" s="419">
        <v>5</v>
      </c>
      <c r="B459" s="291" t="s">
        <v>558</v>
      </c>
      <c r="C459" s="289" t="s">
        <v>70</v>
      </c>
      <c r="D459" s="203">
        <f>ROUND(D457/10,2)</f>
        <v>16.72</v>
      </c>
    </row>
    <row r="460" spans="1:5">
      <c r="A460" s="219"/>
      <c r="B460" s="251"/>
      <c r="C460" s="195"/>
      <c r="D460" s="204"/>
    </row>
    <row r="461" spans="1:5">
      <c r="B461" s="5" t="s">
        <v>680</v>
      </c>
    </row>
    <row r="462" spans="1:5" ht="15.6" customHeight="1">
      <c r="A462" s="1007" t="s">
        <v>573</v>
      </c>
      <c r="B462" s="1007"/>
      <c r="C462" s="1007"/>
      <c r="D462" s="1007"/>
    </row>
    <row r="463" spans="1:5" ht="34.9" customHeight="1">
      <c r="A463" s="1081" t="s">
        <v>1042</v>
      </c>
      <c r="B463" s="1081"/>
      <c r="C463" s="1081"/>
      <c r="D463" s="1081"/>
    </row>
    <row r="464" spans="1:5">
      <c r="A464" s="219"/>
      <c r="B464" s="1092" t="s">
        <v>825</v>
      </c>
      <c r="C464" s="1092"/>
      <c r="D464" s="1092"/>
      <c r="E464" s="1092"/>
    </row>
    <row r="465" spans="1:5">
      <c r="A465" s="219"/>
      <c r="B465" s="555"/>
      <c r="C465" s="555"/>
      <c r="D465" s="555"/>
      <c r="E465" s="555"/>
    </row>
    <row r="466" spans="1:5">
      <c r="A466" s="219"/>
      <c r="B466" s="5" t="s">
        <v>77</v>
      </c>
      <c r="C466" s="195"/>
      <c r="D466" s="204"/>
    </row>
    <row r="467" spans="1:5">
      <c r="A467" s="219"/>
      <c r="C467" s="195"/>
      <c r="D467" s="204"/>
    </row>
    <row r="468" spans="1:5" ht="31.5">
      <c r="A468" s="70" t="s">
        <v>65</v>
      </c>
      <c r="B468" s="70" t="s">
        <v>62</v>
      </c>
      <c r="C468" s="70" t="s">
        <v>564</v>
      </c>
      <c r="D468" s="70" t="s">
        <v>71</v>
      </c>
    </row>
    <row r="469" spans="1:5">
      <c r="A469" s="8">
        <v>1</v>
      </c>
      <c r="B469" s="6" t="s">
        <v>64</v>
      </c>
      <c r="C469" s="333" t="s">
        <v>70</v>
      </c>
      <c r="D469" s="9">
        <f>ROUND(D470+D471+D473,2)</f>
        <v>133.75</v>
      </c>
    </row>
    <row r="470" spans="1:5">
      <c r="A470" s="8" t="s">
        <v>66</v>
      </c>
      <c r="B470" s="6" t="s">
        <v>59</v>
      </c>
      <c r="C470" s="333" t="s">
        <v>70</v>
      </c>
      <c r="D470" s="9">
        <f>'масаж, сераг,нуга, релакс'!E22</f>
        <v>107.36</v>
      </c>
    </row>
    <row r="471" spans="1:5" ht="31.5">
      <c r="A471" s="8" t="s">
        <v>67</v>
      </c>
      <c r="B471" s="7" t="s">
        <v>1041</v>
      </c>
      <c r="C471" s="289" t="s">
        <v>70</v>
      </c>
      <c r="D471" s="203">
        <f>'масаж, сераг,нуга, релакс'!E23</f>
        <v>23.62</v>
      </c>
    </row>
    <row r="472" spans="1:5">
      <c r="A472" s="8" t="s">
        <v>68</v>
      </c>
      <c r="B472" s="6" t="s">
        <v>57</v>
      </c>
      <c r="C472" s="289" t="s">
        <v>70</v>
      </c>
      <c r="D472" s="6"/>
    </row>
    <row r="473" spans="1:5">
      <c r="A473" s="8" t="s">
        <v>173</v>
      </c>
      <c r="B473" s="6" t="s">
        <v>454</v>
      </c>
      <c r="C473" s="289" t="s">
        <v>70</v>
      </c>
      <c r="D473" s="203">
        <f>'масаж, сераг,нуга, релакс'!E13</f>
        <v>2.77</v>
      </c>
    </row>
    <row r="474" spans="1:5">
      <c r="A474" s="8">
        <v>2</v>
      </c>
      <c r="B474" s="6" t="s">
        <v>56</v>
      </c>
      <c r="C474" s="289" t="s">
        <v>70</v>
      </c>
      <c r="D474" s="203">
        <f>'масаж, сераг,нуга, релакс'!E16</f>
        <v>19.649999999999999</v>
      </c>
    </row>
    <row r="475" spans="1:5">
      <c r="A475" s="8">
        <v>3</v>
      </c>
      <c r="B475" s="6" t="s">
        <v>60</v>
      </c>
      <c r="C475" s="333" t="s">
        <v>70</v>
      </c>
      <c r="D475" s="9">
        <f>ROUND(D469+D474,2)</f>
        <v>153.4</v>
      </c>
    </row>
    <row r="476" spans="1:5">
      <c r="A476" s="219"/>
      <c r="B476" s="251"/>
      <c r="C476" s="195"/>
      <c r="D476" s="204"/>
    </row>
    <row r="477" spans="1:5">
      <c r="B477" s="5" t="s">
        <v>681</v>
      </c>
    </row>
    <row r="478" spans="1:5">
      <c r="A478" s="1007" t="s">
        <v>573</v>
      </c>
      <c r="B478" s="1007"/>
      <c r="C478" s="1007"/>
      <c r="D478" s="1007"/>
    </row>
    <row r="479" spans="1:5" ht="32.450000000000003" customHeight="1">
      <c r="A479" s="1081" t="s">
        <v>1042</v>
      </c>
      <c r="B479" s="1081"/>
      <c r="C479" s="1081"/>
      <c r="D479" s="1081"/>
    </row>
    <row r="480" spans="1:5" ht="15.6" customHeight="1">
      <c r="B480" s="575" t="s">
        <v>826</v>
      </c>
      <c r="C480" s="575"/>
      <c r="D480" s="575"/>
    </row>
    <row r="481" spans="1:5">
      <c r="A481" s="397"/>
      <c r="B481" s="397"/>
      <c r="C481" s="397"/>
      <c r="D481" s="397"/>
    </row>
    <row r="482" spans="1:5">
      <c r="A482" s="605"/>
      <c r="B482" s="605" t="s">
        <v>77</v>
      </c>
      <c r="C482" s="605"/>
      <c r="D482" s="605"/>
      <c r="E482" s="605"/>
    </row>
    <row r="483" spans="1:5" ht="16.149999999999999" customHeight="1">
      <c r="A483" s="605"/>
      <c r="B483" s="605"/>
      <c r="C483" s="605"/>
      <c r="D483" s="605"/>
      <c r="E483" s="605"/>
    </row>
    <row r="484" spans="1:5" ht="31.5">
      <c r="A484" s="606" t="s">
        <v>65</v>
      </c>
      <c r="B484" s="606" t="s">
        <v>62</v>
      </c>
      <c r="C484" s="606" t="s">
        <v>564</v>
      </c>
      <c r="D484" s="606" t="s">
        <v>71</v>
      </c>
      <c r="E484" s="605"/>
    </row>
    <row r="485" spans="1:5">
      <c r="A485" s="607">
        <v>1</v>
      </c>
      <c r="B485" s="608" t="s">
        <v>64</v>
      </c>
      <c r="C485" s="609" t="s">
        <v>70</v>
      </c>
      <c r="D485" s="610">
        <f>ROUND(D486+D487+D489+D488,2)+0.01</f>
        <v>37.239999999999995</v>
      </c>
      <c r="E485" s="605"/>
    </row>
    <row r="486" spans="1:5">
      <c r="A486" s="607" t="s">
        <v>66</v>
      </c>
      <c r="B486" s="608" t="s">
        <v>59</v>
      </c>
      <c r="C486" s="609" t="s">
        <v>70</v>
      </c>
      <c r="D486" s="610">
        <f>'масаж, сераг,нуга, релакс'!E22/4</f>
        <v>26.84</v>
      </c>
      <c r="E486" s="605"/>
    </row>
    <row r="487" spans="1:5" ht="31.5">
      <c r="A487" s="607" t="s">
        <v>67</v>
      </c>
      <c r="B487" s="611" t="s">
        <v>1041</v>
      </c>
      <c r="C487" s="612" t="s">
        <v>70</v>
      </c>
      <c r="D487" s="613">
        <f>'масаж, сераг,нуга, релакс'!E23/4</f>
        <v>5.9050000000000002</v>
      </c>
      <c r="E487" s="605"/>
    </row>
    <row r="488" spans="1:5">
      <c r="A488" s="607" t="s">
        <v>68</v>
      </c>
      <c r="B488" s="608" t="s">
        <v>57</v>
      </c>
      <c r="C488" s="612" t="s">
        <v>70</v>
      </c>
      <c r="D488" s="613">
        <f>'масаж, сераг,нуга, релакс'!E37</f>
        <v>3.07</v>
      </c>
      <c r="E488" s="605"/>
    </row>
    <row r="489" spans="1:5">
      <c r="A489" s="607" t="s">
        <v>173</v>
      </c>
      <c r="B489" s="608" t="s">
        <v>454</v>
      </c>
      <c r="C489" s="612" t="s">
        <v>70</v>
      </c>
      <c r="D489" s="613">
        <f>'масаж, сераг,нуга, релакс'!E24/4</f>
        <v>1.415</v>
      </c>
      <c r="E489" s="605"/>
    </row>
    <row r="490" spans="1:5">
      <c r="A490" s="607">
        <v>2</v>
      </c>
      <c r="B490" s="608" t="s">
        <v>56</v>
      </c>
      <c r="C490" s="612" t="s">
        <v>70</v>
      </c>
      <c r="D490" s="613">
        <f>'масаж, сераг,нуга, релакс'!E27/4</f>
        <v>4.9124999999999996</v>
      </c>
      <c r="E490" s="605"/>
    </row>
    <row r="491" spans="1:5">
      <c r="A491" s="607">
        <v>3</v>
      </c>
      <c r="B491" s="608" t="s">
        <v>60</v>
      </c>
      <c r="C491" s="609" t="s">
        <v>70</v>
      </c>
      <c r="D491" s="610">
        <f>ROUND(D485+D490,2)</f>
        <v>42.15</v>
      </c>
      <c r="E491" s="605"/>
    </row>
    <row r="492" spans="1:5">
      <c r="A492" s="605"/>
      <c r="B492" s="605"/>
      <c r="C492" s="605"/>
      <c r="D492" s="605"/>
      <c r="E492" s="605"/>
    </row>
    <row r="493" spans="1:5">
      <c r="A493" s="605"/>
      <c r="B493" s="605" t="s">
        <v>682</v>
      </c>
      <c r="C493" s="605"/>
      <c r="D493" s="605"/>
      <c r="E493" s="605"/>
    </row>
    <row r="494" spans="1:5">
      <c r="A494" s="1106" t="s">
        <v>573</v>
      </c>
      <c r="B494" s="1106"/>
      <c r="C494" s="1106"/>
      <c r="D494" s="1106"/>
      <c r="E494" s="605"/>
    </row>
    <row r="495" spans="1:5" ht="31.15" customHeight="1">
      <c r="A495" s="1104" t="s">
        <v>1042</v>
      </c>
      <c r="B495" s="1104"/>
      <c r="C495" s="1104"/>
      <c r="D495" s="1104"/>
      <c r="E495" s="605"/>
    </row>
    <row r="496" spans="1:5">
      <c r="A496" s="473"/>
      <c r="B496" s="575" t="s">
        <v>827</v>
      </c>
      <c r="C496" s="473"/>
      <c r="D496" s="473"/>
      <c r="E496" s="605"/>
    </row>
    <row r="497" spans="1:5">
      <c r="A497" s="473"/>
      <c r="B497" s="575"/>
      <c r="C497" s="473"/>
      <c r="D497" s="473"/>
      <c r="E497" s="605"/>
    </row>
    <row r="498" spans="1:5">
      <c r="A498" s="605"/>
      <c r="B498" s="605" t="s">
        <v>77</v>
      </c>
      <c r="C498" s="605"/>
      <c r="D498" s="605"/>
      <c r="E498" s="605"/>
    </row>
    <row r="499" spans="1:5" ht="15.6" customHeight="1">
      <c r="A499" s="605"/>
      <c r="B499" s="605"/>
      <c r="C499" s="605"/>
      <c r="D499" s="605"/>
      <c r="E499" s="605"/>
    </row>
    <row r="500" spans="1:5" ht="31.5">
      <c r="A500" s="616" t="s">
        <v>65</v>
      </c>
      <c r="B500" s="616" t="s">
        <v>62</v>
      </c>
      <c r="C500" s="616" t="s">
        <v>564</v>
      </c>
      <c r="D500" s="616" t="s">
        <v>71</v>
      </c>
      <c r="E500" s="605"/>
    </row>
    <row r="501" spans="1:5">
      <c r="A501" s="607">
        <v>1</v>
      </c>
      <c r="B501" s="608" t="s">
        <v>64</v>
      </c>
      <c r="C501" s="609" t="s">
        <v>70</v>
      </c>
      <c r="D501" s="610">
        <f>ROUND(D502+D503+D505+D504,2)+0.01</f>
        <v>36.83</v>
      </c>
      <c r="E501" s="605"/>
    </row>
    <row r="502" spans="1:5">
      <c r="A502" s="607" t="s">
        <v>66</v>
      </c>
      <c r="B502" s="608" t="s">
        <v>59</v>
      </c>
      <c r="C502" s="609" t="s">
        <v>70</v>
      </c>
      <c r="D502" s="610">
        <f>'масаж, сераг,нуга, релакс'!E22/4</f>
        <v>26.84</v>
      </c>
      <c r="E502" s="605"/>
    </row>
    <row r="503" spans="1:5" ht="31.5">
      <c r="A503" s="607" t="s">
        <v>67</v>
      </c>
      <c r="B503" s="611" t="s">
        <v>1041</v>
      </c>
      <c r="C503" s="612" t="s">
        <v>70</v>
      </c>
      <c r="D503" s="613">
        <f>'масаж, сераг,нуга, релакс'!E23/4</f>
        <v>5.9050000000000002</v>
      </c>
      <c r="E503" s="605"/>
    </row>
    <row r="504" spans="1:5">
      <c r="A504" s="607" t="s">
        <v>68</v>
      </c>
      <c r="B504" s="608" t="s">
        <v>57</v>
      </c>
      <c r="C504" s="612" t="s">
        <v>70</v>
      </c>
      <c r="D504" s="613">
        <f>'масаж, сераг,нуга, релакс'!E42</f>
        <v>2.66</v>
      </c>
      <c r="E504" s="605"/>
    </row>
    <row r="505" spans="1:5">
      <c r="A505" s="607" t="s">
        <v>173</v>
      </c>
      <c r="B505" s="608" t="s">
        <v>454</v>
      </c>
      <c r="C505" s="612" t="s">
        <v>70</v>
      </c>
      <c r="D505" s="613">
        <f>'масаж, сераг,нуга, релакс'!E24/4</f>
        <v>1.415</v>
      </c>
      <c r="E505" s="605"/>
    </row>
    <row r="506" spans="1:5">
      <c r="A506" s="607">
        <v>2</v>
      </c>
      <c r="B506" s="608" t="s">
        <v>56</v>
      </c>
      <c r="C506" s="612" t="s">
        <v>70</v>
      </c>
      <c r="D506" s="613">
        <f>'масаж, сераг,нуга, релакс'!E27/4</f>
        <v>4.9124999999999996</v>
      </c>
      <c r="E506" s="605"/>
    </row>
    <row r="507" spans="1:5">
      <c r="A507" s="607">
        <v>3</v>
      </c>
      <c r="B507" s="608" t="s">
        <v>60</v>
      </c>
      <c r="C507" s="609" t="s">
        <v>70</v>
      </c>
      <c r="D507" s="610">
        <f>ROUND(D501+D506,2)</f>
        <v>41.74</v>
      </c>
      <c r="E507" s="605"/>
    </row>
    <row r="508" spans="1:5">
      <c r="A508" s="605"/>
      <c r="B508" s="605"/>
      <c r="C508" s="605"/>
      <c r="D508" s="605"/>
      <c r="E508" s="605"/>
    </row>
    <row r="509" spans="1:5">
      <c r="A509" s="605"/>
      <c r="B509" s="1103" t="s">
        <v>683</v>
      </c>
      <c r="C509" s="1103"/>
      <c r="D509" s="1103"/>
      <c r="E509" s="605"/>
    </row>
    <row r="510" spans="1:5" ht="15.6" customHeight="1">
      <c r="A510" s="1104" t="s">
        <v>573</v>
      </c>
      <c r="B510" s="1104"/>
      <c r="C510" s="1104"/>
      <c r="D510" s="1104"/>
      <c r="E510" s="1104"/>
    </row>
    <row r="511" spans="1:5" ht="32.450000000000003" customHeight="1">
      <c r="A511" s="1104" t="s">
        <v>1042</v>
      </c>
      <c r="B511" s="1104"/>
      <c r="C511" s="1104"/>
      <c r="D511" s="1104"/>
      <c r="E511" s="605"/>
    </row>
    <row r="512" spans="1:5">
      <c r="A512" s="605"/>
      <c r="B512" s="618" t="s">
        <v>828</v>
      </c>
      <c r="C512" s="605"/>
      <c r="D512" s="605"/>
      <c r="E512" s="605"/>
    </row>
    <row r="513" spans="1:6">
      <c r="A513" s="605"/>
      <c r="B513" s="605"/>
      <c r="C513" s="605"/>
      <c r="D513" s="605"/>
      <c r="E513" s="605"/>
    </row>
    <row r="514" spans="1:6">
      <c r="A514" s="605"/>
      <c r="B514" s="605" t="s">
        <v>77</v>
      </c>
      <c r="C514" s="605"/>
      <c r="D514" s="605"/>
      <c r="E514" s="605"/>
    </row>
    <row r="515" spans="1:6">
      <c r="A515" s="605"/>
      <c r="B515" s="605"/>
      <c r="C515" s="605"/>
      <c r="D515" s="605"/>
      <c r="E515" s="605"/>
    </row>
    <row r="516" spans="1:6" ht="29.45" customHeight="1">
      <c r="A516" s="606" t="s">
        <v>65</v>
      </c>
      <c r="B516" s="616" t="s">
        <v>62</v>
      </c>
      <c r="C516" s="616" t="s">
        <v>564</v>
      </c>
      <c r="D516" s="606" t="s">
        <v>71</v>
      </c>
      <c r="E516" s="605"/>
    </row>
    <row r="517" spans="1:6">
      <c r="A517" s="607">
        <v>1</v>
      </c>
      <c r="B517" s="608" t="s">
        <v>64</v>
      </c>
      <c r="C517" s="609" t="s">
        <v>70</v>
      </c>
      <c r="D517" s="610">
        <f>ROUND(D518+D519+D521+D520,2)+0.01</f>
        <v>42.35</v>
      </c>
      <c r="E517" s="605"/>
    </row>
    <row r="518" spans="1:6">
      <c r="A518" s="607" t="s">
        <v>66</v>
      </c>
      <c r="B518" s="608" t="s">
        <v>59</v>
      </c>
      <c r="C518" s="609" t="s">
        <v>70</v>
      </c>
      <c r="D518" s="610">
        <f>'масаж, сераг,нуга, релакс'!E22/4</f>
        <v>26.84</v>
      </c>
      <c r="E518" s="605"/>
    </row>
    <row r="519" spans="1:6" ht="31.5">
      <c r="A519" s="607" t="s">
        <v>67</v>
      </c>
      <c r="B519" s="611" t="s">
        <v>1041</v>
      </c>
      <c r="C519" s="612" t="s">
        <v>70</v>
      </c>
      <c r="D519" s="613">
        <f>'масаж, сераг,нуга, релакс'!E23/4</f>
        <v>5.9050000000000002</v>
      </c>
      <c r="E519" s="605"/>
    </row>
    <row r="520" spans="1:6">
      <c r="A520" s="607" t="s">
        <v>68</v>
      </c>
      <c r="B520" s="608" t="s">
        <v>57</v>
      </c>
      <c r="C520" s="609" t="s">
        <v>70</v>
      </c>
      <c r="D520" s="613">
        <f>'масаж, сераг,нуга, релакс'!E48</f>
        <v>8.18</v>
      </c>
      <c r="E520" s="605"/>
    </row>
    <row r="521" spans="1:6">
      <c r="A521" s="607" t="s">
        <v>173</v>
      </c>
      <c r="B521" s="608" t="s">
        <v>454</v>
      </c>
      <c r="C521" s="609" t="s">
        <v>70</v>
      </c>
      <c r="D521" s="613">
        <f>'масаж, сераг,нуга, релакс'!E24/4</f>
        <v>1.415</v>
      </c>
      <c r="E521" s="605"/>
    </row>
    <row r="522" spans="1:6">
      <c r="A522" s="607">
        <v>2</v>
      </c>
      <c r="B522" s="608" t="s">
        <v>56</v>
      </c>
      <c r="C522" s="609" t="s">
        <v>70</v>
      </c>
      <c r="D522" s="613">
        <f>'масаж, сераг,нуга, релакс'!E27/4</f>
        <v>4.9124999999999996</v>
      </c>
      <c r="E522" s="605"/>
    </row>
    <row r="523" spans="1:6">
      <c r="A523" s="607">
        <v>3</v>
      </c>
      <c r="B523" s="608" t="s">
        <v>60</v>
      </c>
      <c r="C523" s="609" t="s">
        <v>70</v>
      </c>
      <c r="D523" s="613">
        <f>ROUND(D517+D522,2)</f>
        <v>47.26</v>
      </c>
      <c r="E523" s="605"/>
    </row>
    <row r="524" spans="1:6">
      <c r="A524" s="619"/>
      <c r="B524" s="605"/>
      <c r="C524" s="909"/>
      <c r="D524" s="836"/>
      <c r="E524" s="605"/>
    </row>
    <row r="525" spans="1:6" ht="15.6" customHeight="1">
      <c r="A525" s="619"/>
      <c r="B525" s="1103" t="s">
        <v>685</v>
      </c>
      <c r="C525" s="1103"/>
      <c r="D525" s="1103"/>
      <c r="E525" s="605"/>
    </row>
    <row r="526" spans="1:6" ht="16.899999999999999" customHeight="1">
      <c r="A526" s="1104" t="s">
        <v>573</v>
      </c>
      <c r="B526" s="1104"/>
      <c r="C526" s="1104"/>
      <c r="D526" s="1104"/>
      <c r="E526" s="624"/>
      <c r="F526" s="624"/>
    </row>
    <row r="527" spans="1:6" ht="32.450000000000003" customHeight="1">
      <c r="A527" s="1104" t="s">
        <v>1042</v>
      </c>
      <c r="B527" s="1104"/>
      <c r="C527" s="1104"/>
      <c r="D527" s="1104"/>
      <c r="E527" s="624"/>
      <c r="F527" s="905"/>
    </row>
    <row r="528" spans="1:6" ht="15.6" customHeight="1">
      <c r="B528" s="251" t="s">
        <v>1176</v>
      </c>
      <c r="C528" s="251"/>
      <c r="D528" s="251"/>
      <c r="E528" s="605"/>
    </row>
    <row r="529" spans="1:5">
      <c r="A529" s="397"/>
      <c r="B529" s="397"/>
      <c r="C529" s="397"/>
      <c r="D529" s="397"/>
      <c r="E529" s="605"/>
    </row>
    <row r="530" spans="1:5">
      <c r="B530" s="5" t="s">
        <v>77</v>
      </c>
      <c r="E530" s="605"/>
    </row>
    <row r="531" spans="1:5">
      <c r="E531" s="605"/>
    </row>
    <row r="532" spans="1:5" ht="31.5">
      <c r="A532" s="11" t="s">
        <v>65</v>
      </c>
      <c r="B532" s="70" t="s">
        <v>62</v>
      </c>
      <c r="C532" s="70" t="s">
        <v>564</v>
      </c>
      <c r="D532" s="11" t="s">
        <v>71</v>
      </c>
      <c r="E532" s="605"/>
    </row>
    <row r="533" spans="1:5">
      <c r="A533" s="8">
        <v>1</v>
      </c>
      <c r="B533" s="6" t="s">
        <v>64</v>
      </c>
      <c r="C533" s="333" t="s">
        <v>70</v>
      </c>
      <c r="D533" s="9">
        <f>ROUND(D534+D535+D537+D536,2)+0.01</f>
        <v>34.669999999999995</v>
      </c>
      <c r="E533" s="605"/>
    </row>
    <row r="534" spans="1:5">
      <c r="A534" s="8" t="s">
        <v>66</v>
      </c>
      <c r="B534" s="6" t="s">
        <v>59</v>
      </c>
      <c r="C534" s="333" t="s">
        <v>70</v>
      </c>
      <c r="D534" s="9">
        <f>'міос,ноги,короб,алімп, корон'!E11/4</f>
        <v>26.84</v>
      </c>
      <c r="E534" s="605"/>
    </row>
    <row r="535" spans="1:5" ht="31.5">
      <c r="A535" s="8" t="s">
        <v>67</v>
      </c>
      <c r="B535" s="7" t="s">
        <v>1041</v>
      </c>
      <c r="C535" s="289" t="s">
        <v>70</v>
      </c>
      <c r="D535" s="203">
        <f>'міос,ноги,короб,алімп, корон'!E12/4</f>
        <v>5.9050000000000002</v>
      </c>
      <c r="E535" s="605"/>
    </row>
    <row r="536" spans="1:5">
      <c r="A536" s="8" t="s">
        <v>68</v>
      </c>
      <c r="B536" s="6" t="s">
        <v>57</v>
      </c>
      <c r="C536" s="289" t="s">
        <v>70</v>
      </c>
      <c r="D536" s="203">
        <f>'міос,ноги,короб,алімп, корон'!E53</f>
        <v>0.5</v>
      </c>
      <c r="E536" s="605"/>
    </row>
    <row r="537" spans="1:5">
      <c r="A537" s="8" t="s">
        <v>173</v>
      </c>
      <c r="B537" s="6" t="s">
        <v>454</v>
      </c>
      <c r="C537" s="289" t="s">
        <v>70</v>
      </c>
      <c r="D537" s="203">
        <f>'масаж, сераг,нуга, релакс'!E24/4</f>
        <v>1.415</v>
      </c>
      <c r="E537" s="605"/>
    </row>
    <row r="538" spans="1:5">
      <c r="A538" s="8">
        <v>2</v>
      </c>
      <c r="B538" s="6" t="s">
        <v>56</v>
      </c>
      <c r="C538" s="289" t="s">
        <v>70</v>
      </c>
      <c r="D538" s="203">
        <f>'міос,ноги,короб,алімп, корон'!E16/4</f>
        <v>4.9124999999999996</v>
      </c>
      <c r="E538" s="605"/>
    </row>
    <row r="539" spans="1:5">
      <c r="A539" s="8">
        <v>3</v>
      </c>
      <c r="B539" s="6" t="s">
        <v>60</v>
      </c>
      <c r="C539" s="333" t="s">
        <v>70</v>
      </c>
      <c r="D539" s="9">
        <f>ROUND(D533+D538,2)</f>
        <v>39.58</v>
      </c>
      <c r="E539" s="605"/>
    </row>
    <row r="540" spans="1:5">
      <c r="A540" s="619"/>
      <c r="B540" s="605"/>
      <c r="C540" s="909"/>
      <c r="D540" s="836"/>
      <c r="E540" s="605"/>
    </row>
    <row r="541" spans="1:5" ht="15.6" customHeight="1">
      <c r="A541" s="619"/>
      <c r="B541" s="620" t="s">
        <v>847</v>
      </c>
      <c r="C541" s="620"/>
      <c r="D541" s="620"/>
      <c r="E541" s="605"/>
    </row>
    <row r="542" spans="1:5" ht="15" customHeight="1">
      <c r="A542" s="1104" t="s">
        <v>573</v>
      </c>
      <c r="B542" s="1104"/>
      <c r="C542" s="1104"/>
      <c r="D542" s="1104"/>
      <c r="E542" s="623"/>
    </row>
    <row r="543" spans="1:5" ht="16.149999999999999" customHeight="1">
      <c r="A543" s="1101" t="s">
        <v>829</v>
      </c>
      <c r="B543" s="1102"/>
      <c r="C543" s="1102"/>
      <c r="D543" s="1102"/>
      <c r="E543" s="624"/>
    </row>
    <row r="544" spans="1:5" ht="12.6" customHeight="1">
      <c r="A544" s="605"/>
      <c r="B544" s="400"/>
      <c r="C544" s="400"/>
      <c r="D544" s="400"/>
      <c r="E544" s="605"/>
    </row>
    <row r="545" spans="1:5">
      <c r="A545" s="605"/>
      <c r="B545" s="605" t="s">
        <v>522</v>
      </c>
      <c r="C545" s="605"/>
      <c r="D545" s="605"/>
      <c r="E545" s="605"/>
    </row>
    <row r="546" spans="1:5">
      <c r="A546" s="605"/>
      <c r="B546" s="605"/>
      <c r="C546" s="605"/>
      <c r="D546" s="605"/>
      <c r="E546" s="605"/>
    </row>
    <row r="547" spans="1:5" ht="31.5">
      <c r="A547" s="606" t="s">
        <v>65</v>
      </c>
      <c r="B547" s="606" t="s">
        <v>62</v>
      </c>
      <c r="C547" s="606" t="s">
        <v>564</v>
      </c>
      <c r="D547" s="606" t="s">
        <v>71</v>
      </c>
      <c r="E547" s="605"/>
    </row>
    <row r="548" spans="1:5">
      <c r="A548" s="607">
        <v>1</v>
      </c>
      <c r="B548" s="608" t="s">
        <v>64</v>
      </c>
      <c r="C548" s="609" t="s">
        <v>70</v>
      </c>
      <c r="D548" s="610">
        <f>D549+D550+D552+D551</f>
        <v>141.97999999999999</v>
      </c>
      <c r="E548" s="605"/>
    </row>
    <row r="549" spans="1:5">
      <c r="A549" s="607" t="s">
        <v>66</v>
      </c>
      <c r="B549" s="608" t="s">
        <v>59</v>
      </c>
      <c r="C549" s="609" t="s">
        <v>70</v>
      </c>
      <c r="D549" s="610">
        <f>теніс!E8</f>
        <v>99.7</v>
      </c>
      <c r="E549" s="605"/>
    </row>
    <row r="550" spans="1:5" ht="31.5">
      <c r="A550" s="607" t="s">
        <v>67</v>
      </c>
      <c r="B550" s="611" t="s">
        <v>1041</v>
      </c>
      <c r="C550" s="612" t="s">
        <v>70</v>
      </c>
      <c r="D550" s="613">
        <f>теніс!E9</f>
        <v>21.93</v>
      </c>
      <c r="E550" s="605"/>
    </row>
    <row r="551" spans="1:5" ht="15.6" customHeight="1">
      <c r="A551" s="607" t="s">
        <v>68</v>
      </c>
      <c r="B551" s="608" t="s">
        <v>57</v>
      </c>
      <c r="C551" s="609" t="s">
        <v>70</v>
      </c>
      <c r="D551" s="613">
        <f>теніс!E19</f>
        <v>0</v>
      </c>
      <c r="E551" s="605"/>
    </row>
    <row r="552" spans="1:5">
      <c r="A552" s="607" t="s">
        <v>173</v>
      </c>
      <c r="B552" s="608" t="s">
        <v>454</v>
      </c>
      <c r="C552" s="609" t="s">
        <v>70</v>
      </c>
      <c r="D552" s="613">
        <f>теніс!E10</f>
        <v>20.350000000000001</v>
      </c>
      <c r="E552" s="605"/>
    </row>
    <row r="553" spans="1:5" ht="15.6" customHeight="1">
      <c r="A553" s="607">
        <v>2</v>
      </c>
      <c r="B553" s="608" t="s">
        <v>56</v>
      </c>
      <c r="C553" s="609" t="s">
        <v>70</v>
      </c>
      <c r="D553" s="613">
        <f>теніс!E12</f>
        <v>18.239999999999998</v>
      </c>
      <c r="E553" s="605"/>
    </row>
    <row r="554" spans="1:5" ht="15.6" customHeight="1">
      <c r="A554" s="607">
        <v>3</v>
      </c>
      <c r="B554" s="608" t="s">
        <v>60</v>
      </c>
      <c r="C554" s="609" t="s">
        <v>70</v>
      </c>
      <c r="D554" s="613">
        <f>ROUND(D548+D553,2)</f>
        <v>160.22</v>
      </c>
      <c r="E554" s="605"/>
    </row>
    <row r="555" spans="1:5" ht="31.5">
      <c r="A555" s="617">
        <v>4</v>
      </c>
      <c r="B555" s="614" t="s">
        <v>576</v>
      </c>
      <c r="C555" s="612" t="s">
        <v>577</v>
      </c>
      <c r="D555" s="615">
        <v>4</v>
      </c>
      <c r="E555" s="605"/>
    </row>
    <row r="556" spans="1:5">
      <c r="A556" s="617">
        <v>5</v>
      </c>
      <c r="B556" s="611" t="s">
        <v>558</v>
      </c>
      <c r="C556" s="612" t="s">
        <v>70</v>
      </c>
      <c r="D556" s="854">
        <f>ROUND(D554/D555,2)</f>
        <v>40.06</v>
      </c>
      <c r="E556" s="605"/>
    </row>
    <row r="557" spans="1:5">
      <c r="A557" s="605"/>
      <c r="B557" s="605"/>
      <c r="C557" s="605"/>
      <c r="D557" s="605"/>
      <c r="E557" s="605"/>
    </row>
    <row r="558" spans="1:5">
      <c r="A558" s="605"/>
      <c r="B558" s="605" t="s">
        <v>1161</v>
      </c>
      <c r="C558" s="605"/>
      <c r="D558" s="605"/>
      <c r="E558" s="605"/>
    </row>
    <row r="559" spans="1:5">
      <c r="A559" s="605"/>
      <c r="B559" s="605"/>
      <c r="C559" s="605"/>
      <c r="D559" s="605"/>
      <c r="E559" s="605"/>
    </row>
    <row r="560" spans="1:5">
      <c r="A560" s="1106" t="s">
        <v>540</v>
      </c>
      <c r="B560" s="1106"/>
      <c r="C560" s="1106"/>
      <c r="D560" s="1106"/>
      <c r="E560" s="605"/>
    </row>
    <row r="561" spans="1:5">
      <c r="A561" s="621" t="s">
        <v>296</v>
      </c>
      <c r="B561" s="605" t="s">
        <v>553</v>
      </c>
      <c r="C561" s="622"/>
      <c r="D561" s="622"/>
      <c r="E561" s="605"/>
    </row>
    <row r="562" spans="1:5">
      <c r="A562" s="605"/>
      <c r="B562" s="605"/>
      <c r="C562" s="605"/>
      <c r="D562" s="605"/>
      <c r="E562" s="605"/>
    </row>
    <row r="563" spans="1:5">
      <c r="A563" s="605"/>
      <c r="B563" s="605" t="s">
        <v>585</v>
      </c>
      <c r="C563" s="605"/>
      <c r="D563" s="605"/>
      <c r="E563" s="605"/>
    </row>
    <row r="564" spans="1:5">
      <c r="A564" s="605"/>
      <c r="B564" s="605"/>
      <c r="C564" s="605"/>
      <c r="D564" s="605"/>
      <c r="E564" s="605"/>
    </row>
    <row r="565" spans="1:5" ht="31.5">
      <c r="A565" s="606" t="s">
        <v>65</v>
      </c>
      <c r="B565" s="616" t="s">
        <v>62</v>
      </c>
      <c r="C565" s="616" t="s">
        <v>564</v>
      </c>
      <c r="D565" s="606" t="s">
        <v>71</v>
      </c>
      <c r="E565" s="605"/>
    </row>
    <row r="566" spans="1:5">
      <c r="A566" s="607">
        <v>1</v>
      </c>
      <c r="B566" s="608" t="s">
        <v>64</v>
      </c>
      <c r="C566" s="609" t="s">
        <v>70</v>
      </c>
      <c r="D566" s="610">
        <f>ROUND(D567+D568+D569+D570,2)</f>
        <v>176.82</v>
      </c>
      <c r="E566" s="605"/>
    </row>
    <row r="567" spans="1:5">
      <c r="A567" s="607" t="s">
        <v>66</v>
      </c>
      <c r="B567" s="608" t="s">
        <v>59</v>
      </c>
      <c r="C567" s="609" t="s">
        <v>70</v>
      </c>
      <c r="D567" s="610">
        <f>'адм.сес.мед і соц.роб. цілодоб.'!M15</f>
        <v>99.23</v>
      </c>
      <c r="E567" s="605"/>
    </row>
    <row r="568" spans="1:5" ht="31.5">
      <c r="A568" s="607" t="s">
        <v>67</v>
      </c>
      <c r="B568" s="611" t="s">
        <v>1041</v>
      </c>
      <c r="C568" s="612" t="s">
        <v>70</v>
      </c>
      <c r="D568" s="613">
        <f>'адм.сес.мед і соц.роб. цілодоб.'!M20</f>
        <v>21.83</v>
      </c>
      <c r="E568" s="605"/>
    </row>
    <row r="569" spans="1:5">
      <c r="A569" s="607" t="s">
        <v>68</v>
      </c>
      <c r="B569" s="608" t="s">
        <v>57</v>
      </c>
      <c r="C569" s="609" t="s">
        <v>70</v>
      </c>
      <c r="D569" s="610">
        <f>'адм.сес.мед і соц.роб. цілодоб.'!M14</f>
        <v>28.91</v>
      </c>
      <c r="E569" s="605"/>
    </row>
    <row r="570" spans="1:5">
      <c r="A570" s="607" t="s">
        <v>173</v>
      </c>
      <c r="B570" s="608" t="s">
        <v>454</v>
      </c>
      <c r="C570" s="609" t="s">
        <v>70</v>
      </c>
      <c r="D570" s="610">
        <f>'адм.сес.мед і соц.роб. цілодоб.'!M16</f>
        <v>26.85</v>
      </c>
      <c r="E570" s="605"/>
    </row>
    <row r="571" spans="1:5">
      <c r="A571" s="607">
        <v>2</v>
      </c>
      <c r="B571" s="608" t="s">
        <v>56</v>
      </c>
      <c r="C571" s="609" t="s">
        <v>70</v>
      </c>
      <c r="D571" s="610">
        <f>'адм.сес.мед і соц.роб. цілодоб.'!M21</f>
        <v>18.16</v>
      </c>
      <c r="E571" s="605"/>
    </row>
    <row r="572" spans="1:5" ht="31.5">
      <c r="A572" s="607">
        <v>3</v>
      </c>
      <c r="B572" s="611" t="s">
        <v>586</v>
      </c>
      <c r="C572" s="612" t="s">
        <v>70</v>
      </c>
      <c r="D572" s="613">
        <f>ROUND(D566+D571,2)</f>
        <v>194.98</v>
      </c>
      <c r="E572" s="605"/>
    </row>
    <row r="573" spans="1:5" ht="31.5">
      <c r="A573" s="607">
        <v>4</v>
      </c>
      <c r="B573" s="611" t="s">
        <v>587</v>
      </c>
      <c r="C573" s="612" t="s">
        <v>70</v>
      </c>
      <c r="D573" s="613">
        <f>ROUND(D572/14,2)</f>
        <v>13.93</v>
      </c>
      <c r="E573" s="605"/>
    </row>
    <row r="574" spans="1:5" ht="31.5">
      <c r="A574" s="608">
        <v>5</v>
      </c>
      <c r="B574" s="611" t="s">
        <v>588</v>
      </c>
      <c r="C574" s="612" t="s">
        <v>555</v>
      </c>
      <c r="D574" s="613">
        <f>ROUND(D573*24,2)-0.069</f>
        <v>334.25099999999998</v>
      </c>
      <c r="E574" s="605"/>
    </row>
    <row r="575" spans="1:5" ht="31.5">
      <c r="A575" s="608">
        <v>6</v>
      </c>
      <c r="B575" s="611" t="s">
        <v>589</v>
      </c>
      <c r="C575" s="612" t="s">
        <v>555</v>
      </c>
      <c r="D575" s="613">
        <f>'адм.сес.мед і соц.роб. цілодоб.'!M26</f>
        <v>534.25</v>
      </c>
      <c r="E575" s="605"/>
    </row>
    <row r="576" spans="1:5">
      <c r="A576" s="605"/>
      <c r="B576" s="834"/>
      <c r="C576" s="835"/>
      <c r="D576" s="836"/>
      <c r="E576" s="605"/>
    </row>
    <row r="577" spans="1:5">
      <c r="B577" s="5" t="s">
        <v>1160</v>
      </c>
      <c r="E577" s="605"/>
    </row>
    <row r="578" spans="1:5">
      <c r="E578" s="605"/>
    </row>
    <row r="579" spans="1:5">
      <c r="A579" s="1007" t="s">
        <v>1096</v>
      </c>
      <c r="B579" s="1007"/>
      <c r="C579" s="1007"/>
      <c r="D579" s="1007"/>
      <c r="E579" s="605"/>
    </row>
    <row r="580" spans="1:5">
      <c r="A580" s="838" t="s">
        <v>213</v>
      </c>
      <c r="B580" s="1081" t="s">
        <v>1098</v>
      </c>
      <c r="C580" s="1081"/>
      <c r="D580" s="1081"/>
      <c r="E580" s="1081"/>
    </row>
    <row r="581" spans="1:5" ht="31.15" customHeight="1">
      <c r="A581" s="839" t="s">
        <v>219</v>
      </c>
      <c r="B581" s="1081" t="s">
        <v>1100</v>
      </c>
      <c r="C581" s="1081"/>
      <c r="D581" s="1081"/>
      <c r="E581" s="1081"/>
    </row>
    <row r="582" spans="1:5" ht="46.15" customHeight="1">
      <c r="A582" s="839" t="s">
        <v>223</v>
      </c>
      <c r="B582" s="1081" t="s">
        <v>1102</v>
      </c>
      <c r="C582" s="1081"/>
      <c r="D582" s="1081"/>
      <c r="E582" s="1081"/>
    </row>
    <row r="583" spans="1:5" ht="15.6" customHeight="1">
      <c r="A583" s="838" t="s">
        <v>235</v>
      </c>
      <c r="B583" s="1081" t="s">
        <v>1103</v>
      </c>
      <c r="C583" s="1081"/>
      <c r="D583" s="1081"/>
      <c r="E583" s="1081"/>
    </row>
    <row r="584" spans="1:5">
      <c r="B584" s="837"/>
      <c r="C584" s="837"/>
      <c r="D584" s="837"/>
      <c r="E584" s="605"/>
    </row>
    <row r="585" spans="1:5">
      <c r="B585" s="5" t="s">
        <v>735</v>
      </c>
      <c r="E585" s="605"/>
    </row>
    <row r="586" spans="1:5" ht="31.5">
      <c r="A586" s="11" t="s">
        <v>65</v>
      </c>
      <c r="B586" s="70" t="s">
        <v>62</v>
      </c>
      <c r="C586" s="70" t="s">
        <v>564</v>
      </c>
      <c r="D586" s="11" t="s">
        <v>71</v>
      </c>
      <c r="E586" s="605"/>
    </row>
    <row r="587" spans="1:5">
      <c r="A587" s="8">
        <v>1</v>
      </c>
      <c r="B587" s="6" t="s">
        <v>64</v>
      </c>
      <c r="C587" s="333" t="s">
        <v>70</v>
      </c>
      <c r="D587" s="9">
        <f>ROUND(D588+D589+D590+D591,2)</f>
        <v>95.56</v>
      </c>
      <c r="E587" s="605"/>
    </row>
    <row r="588" spans="1:5">
      <c r="A588" s="8" t="s">
        <v>66</v>
      </c>
      <c r="B588" s="6" t="s">
        <v>59</v>
      </c>
      <c r="C588" s="289" t="s">
        <v>70</v>
      </c>
      <c r="D588" s="9">
        <f>Психолог!E8</f>
        <v>76.05</v>
      </c>
      <c r="E588" s="605"/>
    </row>
    <row r="589" spans="1:5" ht="31.5">
      <c r="A589" s="8" t="s">
        <v>67</v>
      </c>
      <c r="B589" s="7" t="s">
        <v>1041</v>
      </c>
      <c r="C589" s="289" t="s">
        <v>70</v>
      </c>
      <c r="D589" s="203">
        <f>Психолог!E9</f>
        <v>16.73</v>
      </c>
      <c r="E589" s="605"/>
    </row>
    <row r="590" spans="1:5">
      <c r="A590" s="8" t="s">
        <v>68</v>
      </c>
      <c r="B590" s="6" t="s">
        <v>57</v>
      </c>
      <c r="C590" s="289" t="s">
        <v>70</v>
      </c>
      <c r="D590" s="9">
        <f>Психолог!E23</f>
        <v>0.94</v>
      </c>
      <c r="E590" s="605"/>
    </row>
    <row r="591" spans="1:5">
      <c r="A591" s="8" t="s">
        <v>173</v>
      </c>
      <c r="B591" s="6" t="s">
        <v>454</v>
      </c>
      <c r="C591" s="289" t="s">
        <v>70</v>
      </c>
      <c r="D591" s="9">
        <f>Психолог!E10</f>
        <v>1.84</v>
      </c>
      <c r="E591" s="605"/>
    </row>
    <row r="592" spans="1:5">
      <c r="A592" s="8">
        <v>2</v>
      </c>
      <c r="B592" s="6" t="s">
        <v>56</v>
      </c>
      <c r="C592" s="289" t="s">
        <v>70</v>
      </c>
      <c r="D592" s="9">
        <f>Психолог!E13</f>
        <v>13.92</v>
      </c>
      <c r="E592" s="605"/>
    </row>
    <row r="593" spans="1:5">
      <c r="A593" s="8">
        <v>3</v>
      </c>
      <c r="B593" s="6" t="s">
        <v>60</v>
      </c>
      <c r="C593" s="289" t="s">
        <v>70</v>
      </c>
      <c r="D593" s="9">
        <f>ROUND(D587+D592,2)</f>
        <v>109.48</v>
      </c>
      <c r="E593" s="605"/>
    </row>
    <row r="594" spans="1:5">
      <c r="A594" s="605"/>
      <c r="B594" s="834"/>
      <c r="C594" s="835"/>
      <c r="D594" s="836"/>
      <c r="E594" s="605"/>
    </row>
    <row r="595" spans="1:5">
      <c r="A595" s="605"/>
      <c r="B595" s="1000" t="s">
        <v>1162</v>
      </c>
      <c r="C595" s="1000"/>
      <c r="D595" s="1000"/>
      <c r="E595" s="605"/>
    </row>
    <row r="596" spans="1:5" ht="15.6" customHeight="1">
      <c r="A596" s="1007" t="s">
        <v>1104</v>
      </c>
      <c r="B596" s="1007"/>
      <c r="C596" s="1007"/>
      <c r="D596" s="1007"/>
      <c r="E596" s="1007"/>
    </row>
    <row r="597" spans="1:5" ht="15.6" customHeight="1">
      <c r="A597" s="619" t="s">
        <v>296</v>
      </c>
      <c r="B597" s="1102" t="s">
        <v>1158</v>
      </c>
      <c r="C597" s="1102"/>
      <c r="D597" s="1102"/>
      <c r="E597" s="903"/>
    </row>
    <row r="598" spans="1:5">
      <c r="A598" s="605"/>
      <c r="B598" s="903"/>
      <c r="C598" s="903"/>
      <c r="D598" s="903"/>
      <c r="E598" s="903"/>
    </row>
    <row r="599" spans="1:5">
      <c r="A599" s="605"/>
      <c r="B599" s="5" t="s">
        <v>1105</v>
      </c>
      <c r="C599" s="835"/>
      <c r="D599" s="836"/>
      <c r="E599" s="605"/>
    </row>
    <row r="600" spans="1:5" ht="31.5">
      <c r="A600" s="11" t="s">
        <v>65</v>
      </c>
      <c r="B600" s="70" t="s">
        <v>62</v>
      </c>
      <c r="C600" s="70" t="s">
        <v>564</v>
      </c>
      <c r="D600" s="11" t="s">
        <v>71</v>
      </c>
      <c r="E600" s="605"/>
    </row>
    <row r="601" spans="1:5">
      <c r="A601" s="8">
        <v>1</v>
      </c>
      <c r="B601" s="6" t="s">
        <v>64</v>
      </c>
      <c r="C601" s="333" t="s">
        <v>70</v>
      </c>
      <c r="D601" s="9">
        <f>D602+D603+D604+D605</f>
        <v>373.12825432950194</v>
      </c>
      <c r="E601" s="605"/>
    </row>
    <row r="602" spans="1:5">
      <c r="A602" s="8" t="s">
        <v>66</v>
      </c>
      <c r="B602" s="6" t="s">
        <v>1106</v>
      </c>
      <c r="C602" s="333" t="s">
        <v>70</v>
      </c>
      <c r="D602" s="9">
        <v>300</v>
      </c>
      <c r="E602" s="605"/>
    </row>
    <row r="603" spans="1:5" ht="31.5">
      <c r="A603" s="8" t="s">
        <v>67</v>
      </c>
      <c r="B603" s="7" t="s">
        <v>1041</v>
      </c>
      <c r="C603" s="289" t="s">
        <v>70</v>
      </c>
      <c r="D603" s="203">
        <v>66</v>
      </c>
      <c r="E603" s="605"/>
    </row>
    <row r="604" spans="1:5">
      <c r="A604" s="8" t="s">
        <v>68</v>
      </c>
      <c r="B604" s="6" t="s">
        <v>57</v>
      </c>
      <c r="C604" s="289" t="s">
        <v>70</v>
      </c>
      <c r="D604" s="203">
        <v>1.3610632183908047</v>
      </c>
      <c r="E604" s="605"/>
    </row>
    <row r="605" spans="1:5">
      <c r="A605" s="8" t="s">
        <v>173</v>
      </c>
      <c r="B605" s="6" t="s">
        <v>454</v>
      </c>
      <c r="C605" s="289" t="s">
        <v>70</v>
      </c>
      <c r="D605" s="203">
        <v>5.7671911111111118</v>
      </c>
      <c r="E605" s="605"/>
    </row>
    <row r="606" spans="1:5">
      <c r="A606" s="8">
        <v>2</v>
      </c>
      <c r="B606" s="6" t="s">
        <v>56</v>
      </c>
      <c r="C606" s="289" t="s">
        <v>70</v>
      </c>
      <c r="D606" s="203">
        <v>54.9</v>
      </c>
      <c r="E606" s="605"/>
    </row>
    <row r="607" spans="1:5">
      <c r="A607" s="8">
        <v>3</v>
      </c>
      <c r="B607" s="6" t="s">
        <v>60</v>
      </c>
      <c r="C607" s="333" t="s">
        <v>70</v>
      </c>
      <c r="D607" s="9">
        <f>D601+D606</f>
        <v>428.02825432950192</v>
      </c>
    </row>
    <row r="608" spans="1:5" ht="31.5">
      <c r="A608" s="419">
        <v>4</v>
      </c>
      <c r="B608" s="19" t="s">
        <v>576</v>
      </c>
      <c r="C608" s="289" t="s">
        <v>577</v>
      </c>
      <c r="D608" s="308">
        <v>15</v>
      </c>
    </row>
    <row r="609" spans="1:5">
      <c r="A609" s="18">
        <v>5</v>
      </c>
      <c r="B609" s="7" t="s">
        <v>558</v>
      </c>
      <c r="C609" s="289" t="s">
        <v>70</v>
      </c>
      <c r="D609" s="203">
        <f>D607/D608</f>
        <v>28.535216955300129</v>
      </c>
    </row>
    <row r="610" spans="1:5">
      <c r="B610" s="290"/>
      <c r="C610" s="257"/>
      <c r="D610" s="237"/>
    </row>
    <row r="611" spans="1:5">
      <c r="A611" s="576"/>
      <c r="B611" s="1000" t="s">
        <v>1163</v>
      </c>
      <c r="C611" s="1000"/>
      <c r="D611" s="1000"/>
      <c r="E611" s="1000"/>
    </row>
    <row r="612" spans="1:5" ht="15.6" hidden="1" customHeight="1">
      <c r="A612" s="5" t="s">
        <v>541</v>
      </c>
    </row>
    <row r="613" spans="1:5" ht="15.6" customHeight="1">
      <c r="A613" s="1007" t="s">
        <v>1104</v>
      </c>
      <c r="B613" s="1007"/>
      <c r="C613" s="1007"/>
      <c r="D613" s="1007"/>
      <c r="E613" s="1007"/>
    </row>
    <row r="614" spans="1:5" ht="37.15" customHeight="1">
      <c r="A614" s="219" t="s">
        <v>296</v>
      </c>
      <c r="B614" s="1098" t="s">
        <v>1159</v>
      </c>
      <c r="C614" s="1098"/>
      <c r="D614" s="1098"/>
      <c r="E614" s="840"/>
    </row>
    <row r="615" spans="1:5" ht="15.6" customHeight="1">
      <c r="B615" s="397"/>
      <c r="C615" s="544"/>
      <c r="D615" s="397"/>
      <c r="E615" s="397"/>
    </row>
    <row r="616" spans="1:5">
      <c r="A616" s="236"/>
      <c r="B616" s="5" t="s">
        <v>1105</v>
      </c>
    </row>
    <row r="617" spans="1:5" ht="31.5">
      <c r="A617" s="11" t="s">
        <v>65</v>
      </c>
      <c r="B617" s="70" t="s">
        <v>62</v>
      </c>
      <c r="C617" s="70" t="s">
        <v>58</v>
      </c>
      <c r="D617" s="11" t="s">
        <v>71</v>
      </c>
    </row>
    <row r="618" spans="1:5">
      <c r="A618" s="8">
        <v>1</v>
      </c>
      <c r="B618" s="6" t="s">
        <v>64</v>
      </c>
      <c r="C618" s="333" t="s">
        <v>70</v>
      </c>
      <c r="D618" s="9">
        <v>372.37</v>
      </c>
    </row>
    <row r="619" spans="1:5">
      <c r="A619" s="8" t="s">
        <v>66</v>
      </c>
      <c r="B619" s="6" t="s">
        <v>59</v>
      </c>
      <c r="C619" s="333" t="s">
        <v>70</v>
      </c>
      <c r="D619" s="9">
        <v>300</v>
      </c>
    </row>
    <row r="620" spans="1:5" ht="31.5">
      <c r="A620" s="8" t="s">
        <v>67</v>
      </c>
      <c r="B620" s="7" t="s">
        <v>1041</v>
      </c>
      <c r="C620" s="289" t="s">
        <v>70</v>
      </c>
      <c r="D620" s="203">
        <v>66</v>
      </c>
    </row>
    <row r="621" spans="1:5">
      <c r="A621" s="8" t="s">
        <v>68</v>
      </c>
      <c r="B621" s="6" t="s">
        <v>57</v>
      </c>
      <c r="C621" s="289" t="s">
        <v>70</v>
      </c>
      <c r="D621" s="203">
        <v>1.5334482758620689</v>
      </c>
    </row>
    <row r="622" spans="1:5">
      <c r="A622" s="8" t="s">
        <v>173</v>
      </c>
      <c r="B622" s="6" t="s">
        <v>454</v>
      </c>
      <c r="C622" s="289" t="s">
        <v>70</v>
      </c>
      <c r="D622" s="203">
        <v>4.8407146666666669</v>
      </c>
    </row>
    <row r="623" spans="1:5">
      <c r="A623" s="8">
        <v>2</v>
      </c>
      <c r="B623" s="6" t="s">
        <v>56</v>
      </c>
      <c r="C623" s="289" t="s">
        <v>70</v>
      </c>
      <c r="D623" s="203">
        <v>54.9</v>
      </c>
    </row>
    <row r="624" spans="1:5">
      <c r="A624" s="8">
        <v>3</v>
      </c>
      <c r="B624" s="6" t="s">
        <v>60</v>
      </c>
      <c r="C624" s="333" t="s">
        <v>70</v>
      </c>
      <c r="D624" s="9">
        <v>427.27</v>
      </c>
    </row>
    <row r="625" spans="1:4" ht="31.5">
      <c r="A625" s="419">
        <v>4</v>
      </c>
      <c r="B625" s="19" t="s">
        <v>576</v>
      </c>
      <c r="C625" s="289" t="s">
        <v>577</v>
      </c>
      <c r="D625" s="308">
        <v>15</v>
      </c>
    </row>
    <row r="626" spans="1:4">
      <c r="A626" s="18">
        <v>5</v>
      </c>
      <c r="B626" s="7" t="s">
        <v>558</v>
      </c>
      <c r="C626" s="289" t="s">
        <v>70</v>
      </c>
      <c r="D626" s="203">
        <v>28.48</v>
      </c>
    </row>
    <row r="627" spans="1:4">
      <c r="A627" s="236"/>
    </row>
    <row r="628" spans="1:4">
      <c r="B628" s="5" t="s">
        <v>1164</v>
      </c>
    </row>
    <row r="630" spans="1:4">
      <c r="A630" s="1007" t="s">
        <v>1104</v>
      </c>
      <c r="B630" s="1007"/>
      <c r="C630" s="1007"/>
      <c r="D630" s="1007"/>
    </row>
    <row r="631" spans="1:4">
      <c r="A631" s="904" t="s">
        <v>296</v>
      </c>
      <c r="B631" s="903" t="s">
        <v>1165</v>
      </c>
      <c r="C631" s="544"/>
      <c r="D631" s="544"/>
    </row>
    <row r="632" spans="1:4">
      <c r="C632" s="544"/>
      <c r="D632" s="544"/>
    </row>
    <row r="633" spans="1:4">
      <c r="B633" s="5" t="s">
        <v>1105</v>
      </c>
    </row>
    <row r="634" spans="1:4" ht="31.5">
      <c r="A634" s="11" t="s">
        <v>65</v>
      </c>
      <c r="B634" s="70" t="s">
        <v>62</v>
      </c>
      <c r="C634" s="70" t="s">
        <v>58</v>
      </c>
      <c r="D634" s="11" t="s">
        <v>71</v>
      </c>
    </row>
    <row r="635" spans="1:4">
      <c r="A635" s="8">
        <v>1</v>
      </c>
      <c r="B635" s="6" t="s">
        <v>64</v>
      </c>
      <c r="C635" s="333" t="s">
        <v>70</v>
      </c>
      <c r="D635" s="9">
        <v>370.43</v>
      </c>
    </row>
    <row r="636" spans="1:4">
      <c r="A636" s="8" t="s">
        <v>66</v>
      </c>
      <c r="B636" s="6" t="s">
        <v>59</v>
      </c>
      <c r="C636" s="333" t="s">
        <v>70</v>
      </c>
      <c r="D636" s="9">
        <v>300</v>
      </c>
    </row>
    <row r="637" spans="1:4" ht="31.5">
      <c r="A637" s="8" t="s">
        <v>67</v>
      </c>
      <c r="B637" s="7" t="s">
        <v>1041</v>
      </c>
      <c r="C637" s="289" t="s">
        <v>70</v>
      </c>
      <c r="D637" s="203">
        <v>66</v>
      </c>
    </row>
    <row r="638" spans="1:4">
      <c r="A638" s="8" t="s">
        <v>68</v>
      </c>
      <c r="B638" s="6" t="s">
        <v>57</v>
      </c>
      <c r="C638" s="289" t="s">
        <v>70</v>
      </c>
      <c r="D638" s="203">
        <v>1.6557662835249043</v>
      </c>
    </row>
    <row r="639" spans="1:4">
      <c r="A639" s="8" t="s">
        <v>173</v>
      </c>
      <c r="B639" s="6" t="s">
        <v>454</v>
      </c>
      <c r="C639" s="289" t="s">
        <v>70</v>
      </c>
      <c r="D639" s="203">
        <v>2.7705813333333333</v>
      </c>
    </row>
    <row r="640" spans="1:4">
      <c r="A640" s="8">
        <v>2</v>
      </c>
      <c r="B640" s="6" t="s">
        <v>56</v>
      </c>
      <c r="C640" s="289" t="s">
        <v>70</v>
      </c>
      <c r="D640" s="203">
        <v>54.9</v>
      </c>
    </row>
    <row r="641" spans="1:4">
      <c r="A641" s="8">
        <v>3</v>
      </c>
      <c r="B641" s="6" t="s">
        <v>60</v>
      </c>
      <c r="C641" s="333" t="s">
        <v>70</v>
      </c>
      <c r="D641" s="9">
        <v>425.32576628352484</v>
      </c>
    </row>
    <row r="642" spans="1:4" ht="31.5">
      <c r="A642" s="419">
        <v>4</v>
      </c>
      <c r="B642" s="19" t="s">
        <v>576</v>
      </c>
      <c r="C642" s="289" t="s">
        <v>577</v>
      </c>
      <c r="D642" s="308">
        <v>15</v>
      </c>
    </row>
    <row r="643" spans="1:4">
      <c r="A643" s="18">
        <v>5</v>
      </c>
      <c r="B643" s="7" t="s">
        <v>558</v>
      </c>
      <c r="C643" s="289" t="s">
        <v>70</v>
      </c>
      <c r="D643" s="203">
        <v>28.36</v>
      </c>
    </row>
    <row r="644" spans="1:4">
      <c r="A644" s="273"/>
      <c r="B644" s="290"/>
      <c r="C644" s="195"/>
      <c r="D644" s="204"/>
    </row>
    <row r="645" spans="1:4">
      <c r="B645" s="5" t="s">
        <v>1166</v>
      </c>
    </row>
    <row r="647" spans="1:4">
      <c r="A647" s="1007" t="s">
        <v>1104</v>
      </c>
      <c r="B647" s="1007"/>
      <c r="C647" s="1007"/>
      <c r="D647" s="1007"/>
    </row>
    <row r="648" spans="1:4">
      <c r="A648" s="904" t="s">
        <v>296</v>
      </c>
      <c r="B648" s="903" t="s">
        <v>1167</v>
      </c>
      <c r="C648" s="544"/>
      <c r="D648" s="544"/>
    </row>
    <row r="649" spans="1:4">
      <c r="A649" s="397"/>
      <c r="B649" s="903"/>
      <c r="C649" s="544"/>
      <c r="D649" s="544"/>
    </row>
    <row r="650" spans="1:4">
      <c r="B650" s="5" t="s">
        <v>1105</v>
      </c>
    </row>
    <row r="651" spans="1:4" ht="31.5">
      <c r="A651" s="11" t="s">
        <v>65</v>
      </c>
      <c r="B651" s="70" t="s">
        <v>62</v>
      </c>
      <c r="C651" s="70" t="s">
        <v>564</v>
      </c>
      <c r="D651" s="11" t="s">
        <v>71</v>
      </c>
    </row>
    <row r="652" spans="1:4">
      <c r="A652" s="8">
        <v>1</v>
      </c>
      <c r="B652" s="6" t="s">
        <v>64</v>
      </c>
      <c r="C652" s="333" t="s">
        <v>70</v>
      </c>
      <c r="D652" s="9">
        <v>369.01</v>
      </c>
    </row>
    <row r="653" spans="1:4">
      <c r="A653" s="8" t="s">
        <v>66</v>
      </c>
      <c r="B653" s="6" t="s">
        <v>59</v>
      </c>
      <c r="C653" s="333" t="s">
        <v>70</v>
      </c>
      <c r="D653" s="9">
        <v>300</v>
      </c>
    </row>
    <row r="654" spans="1:4" ht="31.5">
      <c r="A654" s="8" t="s">
        <v>67</v>
      </c>
      <c r="B654" s="7" t="s">
        <v>1041</v>
      </c>
      <c r="C654" s="289" t="s">
        <v>70</v>
      </c>
      <c r="D654" s="203">
        <v>66</v>
      </c>
    </row>
    <row r="655" spans="1:4">
      <c r="A655" s="8" t="s">
        <v>68</v>
      </c>
      <c r="B655" s="6" t="s">
        <v>57</v>
      </c>
      <c r="C655" s="289" t="s">
        <v>70</v>
      </c>
      <c r="D655" s="203">
        <v>0.24000000000000002</v>
      </c>
    </row>
    <row r="656" spans="1:4">
      <c r="A656" s="8" t="s">
        <v>173</v>
      </c>
      <c r="B656" s="6" t="s">
        <v>454</v>
      </c>
      <c r="C656" s="289" t="s">
        <v>70</v>
      </c>
      <c r="D656" s="203">
        <v>2.7705813333333333</v>
      </c>
    </row>
    <row r="657" spans="1:4">
      <c r="A657" s="8">
        <v>2</v>
      </c>
      <c r="B657" s="6" t="s">
        <v>56</v>
      </c>
      <c r="C657" s="289" t="s">
        <v>70</v>
      </c>
      <c r="D657" s="203">
        <v>54.9</v>
      </c>
    </row>
    <row r="658" spans="1:4">
      <c r="A658" s="8">
        <v>3</v>
      </c>
      <c r="B658" s="6" t="s">
        <v>60</v>
      </c>
      <c r="C658" s="333" t="s">
        <v>70</v>
      </c>
      <c r="D658" s="9">
        <v>423.91</v>
      </c>
    </row>
    <row r="659" spans="1:4" ht="31.5">
      <c r="A659" s="419">
        <v>4</v>
      </c>
      <c r="B659" s="19" t="s">
        <v>576</v>
      </c>
      <c r="C659" s="289" t="s">
        <v>577</v>
      </c>
      <c r="D659" s="308">
        <v>15</v>
      </c>
    </row>
    <row r="660" spans="1:4">
      <c r="A660" s="419">
        <v>5</v>
      </c>
      <c r="B660" s="7" t="s">
        <v>558</v>
      </c>
      <c r="C660" s="289" t="s">
        <v>70</v>
      </c>
      <c r="D660" s="203">
        <v>28.26</v>
      </c>
    </row>
    <row r="661" spans="1:4">
      <c r="A661" s="273"/>
      <c r="B661" s="290"/>
      <c r="C661" s="195"/>
      <c r="D661" s="204"/>
    </row>
    <row r="662" spans="1:4">
      <c r="B662" s="5" t="s">
        <v>1168</v>
      </c>
    </row>
    <row r="664" spans="1:4">
      <c r="A664" s="1007" t="s">
        <v>1104</v>
      </c>
      <c r="B664" s="1007"/>
      <c r="C664" s="1007"/>
      <c r="D664" s="1007"/>
    </row>
    <row r="665" spans="1:4">
      <c r="A665" s="904" t="s">
        <v>296</v>
      </c>
      <c r="B665" s="840" t="s">
        <v>1169</v>
      </c>
      <c r="C665" s="544"/>
      <c r="D665" s="544"/>
    </row>
    <row r="666" spans="1:4">
      <c r="A666" s="397"/>
      <c r="B666" s="544"/>
      <c r="C666" s="544"/>
      <c r="D666" s="544"/>
    </row>
    <row r="667" spans="1:4">
      <c r="B667" s="5" t="s">
        <v>1105</v>
      </c>
    </row>
    <row r="668" spans="1:4" ht="31.5">
      <c r="A668" s="11" t="s">
        <v>65</v>
      </c>
      <c r="B668" s="70" t="s">
        <v>62</v>
      </c>
      <c r="C668" s="70" t="s">
        <v>582</v>
      </c>
      <c r="D668" s="11" t="s">
        <v>71</v>
      </c>
    </row>
    <row r="669" spans="1:4">
      <c r="A669" s="8">
        <v>1</v>
      </c>
      <c r="B669" s="6" t="s">
        <v>64</v>
      </c>
      <c r="C669" s="333" t="s">
        <v>70</v>
      </c>
      <c r="D669" s="9">
        <v>368.77</v>
      </c>
    </row>
    <row r="670" spans="1:4">
      <c r="A670" s="8" t="s">
        <v>66</v>
      </c>
      <c r="B670" s="6" t="s">
        <v>59</v>
      </c>
      <c r="C670" s="333" t="s">
        <v>70</v>
      </c>
      <c r="D670" s="9">
        <v>300</v>
      </c>
    </row>
    <row r="671" spans="1:4" ht="31.5">
      <c r="A671" s="419" t="s">
        <v>67</v>
      </c>
      <c r="B671" s="7" t="s">
        <v>1094</v>
      </c>
      <c r="C671" s="289" t="s">
        <v>70</v>
      </c>
      <c r="D671" s="203">
        <v>66</v>
      </c>
    </row>
    <row r="672" spans="1:4">
      <c r="A672" s="419" t="s">
        <v>68</v>
      </c>
      <c r="B672" s="6" t="s">
        <v>57</v>
      </c>
      <c r="C672" s="289" t="s">
        <v>70</v>
      </c>
      <c r="D672" s="203">
        <v>0</v>
      </c>
    </row>
    <row r="673" spans="1:4">
      <c r="A673" s="419" t="s">
        <v>173</v>
      </c>
      <c r="B673" s="6" t="s">
        <v>454</v>
      </c>
      <c r="C673" s="289" t="s">
        <v>70</v>
      </c>
      <c r="D673" s="203">
        <v>2.7705813333333333</v>
      </c>
    </row>
    <row r="674" spans="1:4">
      <c r="A674" s="419">
        <v>2</v>
      </c>
      <c r="B674" s="6" t="s">
        <v>56</v>
      </c>
      <c r="C674" s="289" t="s">
        <v>70</v>
      </c>
      <c r="D674" s="203">
        <v>54.9</v>
      </c>
    </row>
    <row r="675" spans="1:4">
      <c r="A675" s="419">
        <v>3</v>
      </c>
      <c r="B675" s="6" t="s">
        <v>60</v>
      </c>
      <c r="C675" s="333" t="s">
        <v>70</v>
      </c>
      <c r="D675" s="9">
        <v>423.67</v>
      </c>
    </row>
    <row r="676" spans="1:4" ht="31.5">
      <c r="A676" s="419">
        <v>4</v>
      </c>
      <c r="B676" s="19" t="s">
        <v>576</v>
      </c>
      <c r="C676" s="289" t="s">
        <v>577</v>
      </c>
      <c r="D676" s="308">
        <v>15</v>
      </c>
    </row>
    <row r="677" spans="1:4">
      <c r="A677" s="419">
        <v>5</v>
      </c>
      <c r="B677" s="7" t="s">
        <v>558</v>
      </c>
      <c r="C677" s="289" t="s">
        <v>70</v>
      </c>
      <c r="D677" s="203">
        <v>28.24</v>
      </c>
    </row>
    <row r="678" spans="1:4">
      <c r="A678" s="219"/>
      <c r="B678" s="290"/>
      <c r="C678" s="195"/>
      <c r="D678" s="204"/>
    </row>
    <row r="679" spans="1:4">
      <c r="B679" s="5" t="s">
        <v>1170</v>
      </c>
    </row>
    <row r="681" spans="1:4">
      <c r="A681" s="1007" t="s">
        <v>1104</v>
      </c>
      <c r="B681" s="1007"/>
      <c r="C681" s="1007"/>
      <c r="D681" s="1007"/>
    </row>
    <row r="682" spans="1:4" ht="35.450000000000003" customHeight="1">
      <c r="A682" s="838" t="s">
        <v>296</v>
      </c>
      <c r="B682" s="1098" t="s">
        <v>1171</v>
      </c>
      <c r="C682" s="1098"/>
      <c r="D682" s="1098"/>
    </row>
    <row r="683" spans="1:4">
      <c r="A683" s="219"/>
      <c r="B683" s="397"/>
      <c r="C683" s="397"/>
      <c r="D683" s="397"/>
    </row>
    <row r="684" spans="1:4">
      <c r="A684" s="219"/>
      <c r="B684" s="5" t="s">
        <v>1105</v>
      </c>
      <c r="C684" s="195"/>
      <c r="D684" s="204"/>
    </row>
    <row r="685" spans="1:4" ht="31.5">
      <c r="A685" s="11" t="s">
        <v>65</v>
      </c>
      <c r="B685" s="70" t="s">
        <v>62</v>
      </c>
      <c r="C685" s="70" t="s">
        <v>582</v>
      </c>
      <c r="D685" s="11" t="s">
        <v>71</v>
      </c>
    </row>
    <row r="686" spans="1:4">
      <c r="A686" s="8">
        <v>1</v>
      </c>
      <c r="B686" s="6" t="s">
        <v>64</v>
      </c>
      <c r="C686" s="333" t="s">
        <v>70</v>
      </c>
      <c r="D686" s="9">
        <v>389.15</v>
      </c>
    </row>
    <row r="687" spans="1:4">
      <c r="A687" s="8" t="s">
        <v>66</v>
      </c>
      <c r="B687" s="6" t="s">
        <v>59</v>
      </c>
      <c r="C687" s="333" t="s">
        <v>70</v>
      </c>
      <c r="D687" s="9">
        <v>300</v>
      </c>
    </row>
    <row r="688" spans="1:4" ht="31.5">
      <c r="A688" s="419" t="s">
        <v>67</v>
      </c>
      <c r="B688" s="7" t="s">
        <v>1041</v>
      </c>
      <c r="C688" s="289" t="s">
        <v>70</v>
      </c>
      <c r="D688" s="203">
        <v>66</v>
      </c>
    </row>
    <row r="689" spans="1:4">
      <c r="A689" s="419" t="s">
        <v>68</v>
      </c>
      <c r="B689" s="6" t="s">
        <v>57</v>
      </c>
      <c r="C689" s="289" t="s">
        <v>70</v>
      </c>
      <c r="D689" s="203">
        <v>0.22</v>
      </c>
    </row>
    <row r="690" spans="1:4">
      <c r="A690" s="419" t="s">
        <v>173</v>
      </c>
      <c r="B690" s="6" t="s">
        <v>454</v>
      </c>
      <c r="C690" s="289" t="s">
        <v>70</v>
      </c>
      <c r="D690" s="203">
        <v>22.93</v>
      </c>
    </row>
    <row r="691" spans="1:4">
      <c r="A691" s="419">
        <v>2</v>
      </c>
      <c r="B691" s="6" t="s">
        <v>56</v>
      </c>
      <c r="C691" s="289" t="s">
        <v>70</v>
      </c>
      <c r="D691" s="203">
        <v>54.9</v>
      </c>
    </row>
    <row r="692" spans="1:4">
      <c r="A692" s="419">
        <v>3</v>
      </c>
      <c r="B692" s="6" t="s">
        <v>60</v>
      </c>
      <c r="C692" s="333" t="s">
        <v>70</v>
      </c>
      <c r="D692" s="9">
        <v>444.05</v>
      </c>
    </row>
    <row r="693" spans="1:4" ht="31.5">
      <c r="A693" s="419">
        <v>4</v>
      </c>
      <c r="B693" s="19" t="s">
        <v>576</v>
      </c>
      <c r="C693" s="289" t="s">
        <v>577</v>
      </c>
      <c r="D693" s="308">
        <v>15</v>
      </c>
    </row>
    <row r="694" spans="1:4">
      <c r="A694" s="419">
        <v>5</v>
      </c>
      <c r="B694" s="7" t="s">
        <v>558</v>
      </c>
      <c r="C694" s="289" t="s">
        <v>70</v>
      </c>
      <c r="D694" s="203">
        <v>29.6</v>
      </c>
    </row>
    <row r="695" spans="1:4">
      <c r="A695" s="219"/>
      <c r="B695" s="290"/>
      <c r="C695" s="195"/>
      <c r="D695" s="204"/>
    </row>
    <row r="696" spans="1:4">
      <c r="B696" s="5" t="s">
        <v>1172</v>
      </c>
      <c r="C696" s="298"/>
    </row>
    <row r="697" spans="1:4">
      <c r="A697" s="298"/>
      <c r="B697" s="298"/>
      <c r="C697" s="298"/>
    </row>
    <row r="698" spans="1:4" ht="15.6" customHeight="1">
      <c r="A698" s="1007" t="s">
        <v>1104</v>
      </c>
      <c r="B698" s="1007"/>
      <c r="C698" s="1007"/>
      <c r="D698" s="1007"/>
    </row>
    <row r="699" spans="1:4" ht="15.6" customHeight="1">
      <c r="A699" s="236" t="s">
        <v>296</v>
      </c>
      <c r="B699" s="1081" t="s">
        <v>1173</v>
      </c>
      <c r="C699" s="1081"/>
      <c r="D699" s="1081"/>
    </row>
    <row r="700" spans="1:4">
      <c r="A700" s="298"/>
      <c r="B700" s="298"/>
      <c r="C700" s="298"/>
    </row>
    <row r="701" spans="1:4">
      <c r="B701" s="5" t="s">
        <v>1105</v>
      </c>
      <c r="C701" s="298"/>
    </row>
    <row r="702" spans="1:4" ht="31.5">
      <c r="A702" s="70" t="s">
        <v>65</v>
      </c>
      <c r="B702" s="70" t="s">
        <v>62</v>
      </c>
      <c r="C702" s="70" t="s">
        <v>564</v>
      </c>
      <c r="D702" s="70" t="s">
        <v>71</v>
      </c>
    </row>
    <row r="703" spans="1:4">
      <c r="A703" s="8">
        <v>1</v>
      </c>
      <c r="B703" s="6" t="s">
        <v>64</v>
      </c>
      <c r="C703" s="333" t="s">
        <v>70</v>
      </c>
      <c r="D703" s="9">
        <v>388.93</v>
      </c>
    </row>
    <row r="704" spans="1:4">
      <c r="A704" s="8" t="s">
        <v>66</v>
      </c>
      <c r="B704" s="6" t="s">
        <v>59</v>
      </c>
      <c r="C704" s="333" t="s">
        <v>70</v>
      </c>
      <c r="D704" s="9">
        <v>300</v>
      </c>
    </row>
    <row r="705" spans="1:5" ht="31.5">
      <c r="A705" s="419" t="s">
        <v>67</v>
      </c>
      <c r="B705" s="7" t="s">
        <v>1094</v>
      </c>
      <c r="C705" s="289" t="s">
        <v>70</v>
      </c>
      <c r="D705" s="203">
        <v>66</v>
      </c>
    </row>
    <row r="706" spans="1:5">
      <c r="A706" s="419" t="s">
        <v>68</v>
      </c>
      <c r="B706" s="6" t="s">
        <v>57</v>
      </c>
      <c r="C706" s="333" t="s">
        <v>70</v>
      </c>
      <c r="D706" s="203">
        <v>0</v>
      </c>
    </row>
    <row r="707" spans="1:5">
      <c r="A707" s="419" t="s">
        <v>173</v>
      </c>
      <c r="B707" s="6" t="s">
        <v>454</v>
      </c>
      <c r="C707" s="333" t="s">
        <v>70</v>
      </c>
      <c r="D707" s="203">
        <v>22.93</v>
      </c>
    </row>
    <row r="708" spans="1:5">
      <c r="A708" s="419">
        <v>2</v>
      </c>
      <c r="B708" s="6" t="s">
        <v>56</v>
      </c>
      <c r="C708" s="333" t="s">
        <v>70</v>
      </c>
      <c r="D708" s="203">
        <v>54.9</v>
      </c>
    </row>
    <row r="709" spans="1:5">
      <c r="A709" s="419">
        <v>3</v>
      </c>
      <c r="B709" s="6" t="s">
        <v>60</v>
      </c>
      <c r="C709" s="333" t="s">
        <v>70</v>
      </c>
      <c r="D709" s="203">
        <v>443.83</v>
      </c>
    </row>
    <row r="710" spans="1:5" ht="31.5">
      <c r="A710" s="419">
        <v>4</v>
      </c>
      <c r="B710" s="19" t="s">
        <v>576</v>
      </c>
      <c r="C710" s="289" t="s">
        <v>577</v>
      </c>
      <c r="D710" s="308">
        <v>15</v>
      </c>
    </row>
    <row r="711" spans="1:5">
      <c r="A711" s="419">
        <v>5</v>
      </c>
      <c r="B711" s="7" t="s">
        <v>558</v>
      </c>
      <c r="C711" s="289" t="s">
        <v>70</v>
      </c>
      <c r="D711" s="203">
        <v>29.59</v>
      </c>
    </row>
    <row r="712" spans="1:5">
      <c r="A712" s="219"/>
      <c r="B712" s="290"/>
      <c r="C712" s="195"/>
      <c r="D712" s="204"/>
    </row>
    <row r="713" spans="1:5">
      <c r="A713" s="219"/>
      <c r="B713" s="5" t="s">
        <v>1174</v>
      </c>
    </row>
    <row r="714" spans="1:5">
      <c r="A714" s="219"/>
    </row>
    <row r="715" spans="1:5">
      <c r="A715" s="219"/>
      <c r="B715" s="1007" t="s">
        <v>1104</v>
      </c>
      <c r="C715" s="1007"/>
      <c r="D715" s="1007"/>
      <c r="E715" s="1007"/>
    </row>
    <row r="716" spans="1:5">
      <c r="A716" s="219" t="s">
        <v>296</v>
      </c>
      <c r="B716" s="840" t="s">
        <v>1175</v>
      </c>
      <c r="C716" s="840"/>
      <c r="D716" s="840"/>
      <c r="E716" s="840"/>
    </row>
    <row r="717" spans="1:5">
      <c r="A717" s="219"/>
      <c r="B717" s="219"/>
      <c r="C717" s="841"/>
      <c r="D717" s="195"/>
      <c r="E717" s="204"/>
    </row>
    <row r="718" spans="1:5">
      <c r="A718" s="219"/>
      <c r="B718" s="5" t="s">
        <v>1105</v>
      </c>
      <c r="D718" s="195"/>
      <c r="E718" s="204"/>
    </row>
    <row r="719" spans="1:5">
      <c r="A719" s="219"/>
      <c r="D719" s="195"/>
      <c r="E719" s="204"/>
    </row>
    <row r="720" spans="1:5" ht="31.5">
      <c r="A720" s="70" t="s">
        <v>65</v>
      </c>
      <c r="B720" s="70" t="s">
        <v>62</v>
      </c>
      <c r="C720" s="70" t="s">
        <v>564</v>
      </c>
      <c r="D720" s="70" t="s">
        <v>71</v>
      </c>
      <c r="E720" s="204"/>
    </row>
    <row r="721" spans="1:6">
      <c r="A721" s="8">
        <v>1</v>
      </c>
      <c r="B721" s="6" t="s">
        <v>64</v>
      </c>
      <c r="C721" s="333" t="s">
        <v>70</v>
      </c>
      <c r="D721" s="9">
        <v>387.06335249042149</v>
      </c>
      <c r="E721" s="204"/>
    </row>
    <row r="722" spans="1:6">
      <c r="A722" s="8" t="s">
        <v>66</v>
      </c>
      <c r="B722" s="6" t="s">
        <v>59</v>
      </c>
      <c r="C722" s="333" t="s">
        <v>70</v>
      </c>
      <c r="D722" s="9">
        <v>300</v>
      </c>
      <c r="E722" s="204"/>
    </row>
    <row r="723" spans="1:6" ht="31.5">
      <c r="A723" s="419" t="s">
        <v>67</v>
      </c>
      <c r="B723" s="7" t="s">
        <v>1094</v>
      </c>
      <c r="C723" s="289" t="s">
        <v>70</v>
      </c>
      <c r="D723" s="203">
        <v>66</v>
      </c>
      <c r="E723" s="204"/>
    </row>
    <row r="724" spans="1:6">
      <c r="A724" s="419" t="s">
        <v>68</v>
      </c>
      <c r="B724" s="6" t="s">
        <v>57</v>
      </c>
      <c r="C724" s="333" t="s">
        <v>70</v>
      </c>
      <c r="D724" s="203">
        <v>17.653352490421458</v>
      </c>
      <c r="E724" s="204"/>
    </row>
    <row r="725" spans="1:6">
      <c r="A725" s="419" t="s">
        <v>173</v>
      </c>
      <c r="B725" s="6" t="s">
        <v>454</v>
      </c>
      <c r="C725" s="333" t="s">
        <v>70</v>
      </c>
      <c r="D725" s="203">
        <v>3.41</v>
      </c>
      <c r="E725" s="204"/>
    </row>
    <row r="726" spans="1:6">
      <c r="A726" s="419">
        <v>2</v>
      </c>
      <c r="B726" s="6" t="s">
        <v>56</v>
      </c>
      <c r="C726" s="333" t="s">
        <v>70</v>
      </c>
      <c r="D726" s="203">
        <v>54.9</v>
      </c>
      <c r="E726" s="204"/>
    </row>
    <row r="727" spans="1:6">
      <c r="A727" s="419">
        <v>3</v>
      </c>
      <c r="B727" s="6" t="s">
        <v>60</v>
      </c>
      <c r="C727" s="333" t="s">
        <v>70</v>
      </c>
      <c r="D727" s="203">
        <v>441.96</v>
      </c>
      <c r="E727" s="204"/>
    </row>
    <row r="728" spans="1:6" ht="31.5">
      <c r="A728" s="419">
        <v>4</v>
      </c>
      <c r="B728" s="19" t="s">
        <v>576</v>
      </c>
      <c r="C728" s="289" t="s">
        <v>577</v>
      </c>
      <c r="D728" s="308">
        <v>15</v>
      </c>
      <c r="E728" s="204"/>
    </row>
    <row r="729" spans="1:6">
      <c r="A729" s="419">
        <v>5</v>
      </c>
      <c r="B729" s="7" t="s">
        <v>558</v>
      </c>
      <c r="C729" s="289" t="s">
        <v>70</v>
      </c>
      <c r="D729" s="203">
        <v>29.46</v>
      </c>
      <c r="E729" s="204"/>
    </row>
    <row r="730" spans="1:6">
      <c r="A730" s="5" t="s">
        <v>592</v>
      </c>
    </row>
    <row r="733" spans="1:6">
      <c r="A733" s="219"/>
      <c r="D733" s="195"/>
      <c r="E733" s="204"/>
    </row>
    <row r="734" spans="1:6">
      <c r="E734" s="273"/>
      <c r="F734" s="273"/>
    </row>
    <row r="735" spans="1:6">
      <c r="A735" s="219"/>
      <c r="D735" s="195"/>
      <c r="E735" s="204"/>
    </row>
    <row r="736" spans="1:6">
      <c r="A736" s="219"/>
      <c r="D736" s="195"/>
      <c r="E736" s="204"/>
    </row>
    <row r="737" spans="1:5">
      <c r="A737" s="273" t="s">
        <v>1180</v>
      </c>
      <c r="B737" s="273"/>
      <c r="D737" s="273" t="s">
        <v>1107</v>
      </c>
    </row>
    <row r="738" spans="1:5" ht="31.15" customHeight="1"/>
    <row r="739" spans="1:5">
      <c r="A739" s="219"/>
      <c r="B739" s="290"/>
      <c r="C739" s="195"/>
      <c r="D739" s="204"/>
    </row>
    <row r="740" spans="1:5" ht="32.450000000000003" customHeight="1">
      <c r="A740" s="977" t="s">
        <v>542</v>
      </c>
      <c r="B740" s="977"/>
      <c r="C740"/>
      <c r="D740" s="1107" t="s">
        <v>692</v>
      </c>
      <c r="E740" s="1107"/>
    </row>
    <row r="741" spans="1:5">
      <c r="A741" s="273"/>
      <c r="B741" s="290"/>
      <c r="C741" s="195"/>
      <c r="D741" s="204"/>
    </row>
    <row r="742" spans="1:5">
      <c r="A742" s="273"/>
      <c r="B742" s="290"/>
      <c r="C742" s="195"/>
      <c r="D742" s="204"/>
    </row>
    <row r="743" spans="1:5">
      <c r="A743" s="273"/>
      <c r="B743" s="290"/>
      <c r="C743" s="195"/>
      <c r="D743" s="204"/>
    </row>
    <row r="746" spans="1:5" ht="45.6" customHeight="1"/>
    <row r="747" spans="1:5">
      <c r="A747" s="977"/>
      <c r="B747" s="977"/>
      <c r="C747"/>
    </row>
    <row r="748" spans="1:5">
      <c r="A748" s="190"/>
      <c r="B748" s="190"/>
      <c r="C748" s="190"/>
      <c r="D748" s="190"/>
    </row>
    <row r="749" spans="1:5">
      <c r="A749" s="190"/>
      <c r="B749" s="190"/>
      <c r="C749" s="190"/>
      <c r="D749" s="190"/>
    </row>
  </sheetData>
  <mergeCells count="183">
    <mergeCell ref="A647:D647"/>
    <mergeCell ref="A664:D664"/>
    <mergeCell ref="A681:D681"/>
    <mergeCell ref="B682:D682"/>
    <mergeCell ref="A698:D698"/>
    <mergeCell ref="B715:E715"/>
    <mergeCell ref="A291:D291"/>
    <mergeCell ref="A322:D322"/>
    <mergeCell ref="A323:D323"/>
    <mergeCell ref="A326:D326"/>
    <mergeCell ref="A338:C338"/>
    <mergeCell ref="B336:D336"/>
    <mergeCell ref="A337:D337"/>
    <mergeCell ref="A560:D560"/>
    <mergeCell ref="A747:B747"/>
    <mergeCell ref="A579:D579"/>
    <mergeCell ref="B580:E580"/>
    <mergeCell ref="B581:E581"/>
    <mergeCell ref="B582:E582"/>
    <mergeCell ref="B583:E583"/>
    <mergeCell ref="B595:D595"/>
    <mergeCell ref="A596:E596"/>
    <mergeCell ref="B611:E611"/>
    <mergeCell ref="A613:E613"/>
    <mergeCell ref="B597:D597"/>
    <mergeCell ref="B614:D614"/>
    <mergeCell ref="B699:D699"/>
    <mergeCell ref="A740:B740"/>
    <mergeCell ref="D740:E740"/>
    <mergeCell ref="A630:D630"/>
    <mergeCell ref="A494:D494"/>
    <mergeCell ref="A495:D495"/>
    <mergeCell ref="B509:D509"/>
    <mergeCell ref="A478:D478"/>
    <mergeCell ref="A392:D392"/>
    <mergeCell ref="A394:D394"/>
    <mergeCell ref="A463:D463"/>
    <mergeCell ref="A479:D479"/>
    <mergeCell ref="A444:D444"/>
    <mergeCell ref="A426:D426"/>
    <mergeCell ref="B238:D238"/>
    <mergeCell ref="A543:D543"/>
    <mergeCell ref="A339:D339"/>
    <mergeCell ref="A340:D340"/>
    <mergeCell ref="A445:D445"/>
    <mergeCell ref="A428:D428"/>
    <mergeCell ref="A446:D446"/>
    <mergeCell ref="B464:E464"/>
    <mergeCell ref="A462:D462"/>
    <mergeCell ref="A393:D393"/>
    <mergeCell ref="A427:D427"/>
    <mergeCell ref="A355:D355"/>
    <mergeCell ref="A356:C356"/>
    <mergeCell ref="A357:D357"/>
    <mergeCell ref="B525:D525"/>
    <mergeCell ref="A527:D527"/>
    <mergeCell ref="A526:D526"/>
    <mergeCell ref="A511:D511"/>
    <mergeCell ref="A542:D542"/>
    <mergeCell ref="A510:E510"/>
    <mergeCell ref="B239:E239"/>
    <mergeCell ref="B241:D241"/>
    <mergeCell ref="B243:D243"/>
    <mergeCell ref="A275:D275"/>
    <mergeCell ref="B58:D58"/>
    <mergeCell ref="B127:E127"/>
    <mergeCell ref="B128:E128"/>
    <mergeCell ref="B129:E129"/>
    <mergeCell ref="B126:E126"/>
    <mergeCell ref="A410:D410"/>
    <mergeCell ref="A411:D411"/>
    <mergeCell ref="A412:D412"/>
    <mergeCell ref="A192:D192"/>
    <mergeCell ref="B223:D223"/>
    <mergeCell ref="A290:D290"/>
    <mergeCell ref="A306:D306"/>
    <mergeCell ref="A375:D375"/>
    <mergeCell ref="A376:D376"/>
    <mergeCell ref="B372:D372"/>
    <mergeCell ref="A254:D254"/>
    <mergeCell ref="A258:D258"/>
    <mergeCell ref="B210:D210"/>
    <mergeCell ref="B225:D225"/>
    <mergeCell ref="A274:D274"/>
    <mergeCell ref="A307:D307"/>
    <mergeCell ref="A341:D341"/>
    <mergeCell ref="B354:D354"/>
    <mergeCell ref="A373:D373"/>
    <mergeCell ref="B95:D95"/>
    <mergeCell ref="B96:D96"/>
    <mergeCell ref="B101:D101"/>
    <mergeCell ref="B62:D62"/>
    <mergeCell ref="B97:D97"/>
    <mergeCell ref="B61:E61"/>
    <mergeCell ref="B100:E100"/>
    <mergeCell ref="B59:D59"/>
    <mergeCell ref="B63:D63"/>
    <mergeCell ref="A8:D8"/>
    <mergeCell ref="A54:D54"/>
    <mergeCell ref="B35:D35"/>
    <mergeCell ref="B34:D34"/>
    <mergeCell ref="B33:D33"/>
    <mergeCell ref="B45:D45"/>
    <mergeCell ref="B49:D49"/>
    <mergeCell ref="B50:D50"/>
    <mergeCell ref="B51:D51"/>
    <mergeCell ref="B29:D29"/>
    <mergeCell ref="B28:D28"/>
    <mergeCell ref="B12:D12"/>
    <mergeCell ref="B13:D13"/>
    <mergeCell ref="B31:D31"/>
    <mergeCell ref="B30:D30"/>
    <mergeCell ref="B19:D19"/>
    <mergeCell ref="B24:D24"/>
    <mergeCell ref="B32:D32"/>
    <mergeCell ref="B46:D46"/>
    <mergeCell ref="B47:E47"/>
    <mergeCell ref="B11:D11"/>
    <mergeCell ref="B48:D48"/>
    <mergeCell ref="B23:D23"/>
    <mergeCell ref="B38:D38"/>
    <mergeCell ref="B141:D141"/>
    <mergeCell ref="A121:D121"/>
    <mergeCell ref="B144:D144"/>
    <mergeCell ref="B206:D206"/>
    <mergeCell ref="B106:D106"/>
    <mergeCell ref="B105:D105"/>
    <mergeCell ref="B193:D193"/>
    <mergeCell ref="B123:D123"/>
    <mergeCell ref="A125:D125"/>
    <mergeCell ref="B157:D157"/>
    <mergeCell ref="A159:D159"/>
    <mergeCell ref="B160:D160"/>
    <mergeCell ref="A143:D143"/>
    <mergeCell ref="B177:D177"/>
    <mergeCell ref="A209:D209"/>
    <mergeCell ref="B161:D161"/>
    <mergeCell ref="B15:D15"/>
    <mergeCell ref="B17:D17"/>
    <mergeCell ref="B18:D18"/>
    <mergeCell ref="B20:D20"/>
    <mergeCell ref="B108:D108"/>
    <mergeCell ref="B107:E107"/>
    <mergeCell ref="A94:D94"/>
    <mergeCell ref="B99:D99"/>
    <mergeCell ref="B60:E60"/>
    <mergeCell ref="B55:D55"/>
    <mergeCell ref="B56:D56"/>
    <mergeCell ref="B57:D57"/>
    <mergeCell ref="B80:D80"/>
    <mergeCell ref="A78:D78"/>
    <mergeCell ref="B79:D79"/>
    <mergeCell ref="B102:E102"/>
    <mergeCell ref="B103:E103"/>
    <mergeCell ref="B104:E104"/>
    <mergeCell ref="B174:D174"/>
    <mergeCell ref="A176:D176"/>
    <mergeCell ref="B64:E64"/>
    <mergeCell ref="B98:D98"/>
    <mergeCell ref="C1:D1"/>
    <mergeCell ref="C2:D2"/>
    <mergeCell ref="B21:D21"/>
    <mergeCell ref="B22:D22"/>
    <mergeCell ref="B190:D190"/>
    <mergeCell ref="A224:D224"/>
    <mergeCell ref="A259:D259"/>
    <mergeCell ref="A5:E5"/>
    <mergeCell ref="A3:E3"/>
    <mergeCell ref="B9:E9"/>
    <mergeCell ref="B10:E10"/>
    <mergeCell ref="B39:E39"/>
    <mergeCell ref="B40:E40"/>
    <mergeCell ref="B42:E42"/>
    <mergeCell ref="B43:E43"/>
    <mergeCell ref="B44:E44"/>
    <mergeCell ref="B27:D27"/>
    <mergeCell ref="B26:D26"/>
    <mergeCell ref="B25:D25"/>
    <mergeCell ref="B36:D36"/>
    <mergeCell ref="B37:D37"/>
    <mergeCell ref="B41:D41"/>
    <mergeCell ref="B14:D14"/>
    <mergeCell ref="B16:D16"/>
  </mergeCells>
  <printOptions horizontalCentered="1"/>
  <pageMargins left="0.51181102362204722" right="0.31496062992125984" top="0.35433070866141736" bottom="0.35433070866141736" header="0.31496062992125984" footer="0.31496062992125984"/>
  <pageSetup paperSize="9" scale="75" fitToWidth="16" orientation="portrait" r:id="rId1"/>
  <headerFooter scaleWithDoc="0" alignWithMargins="0"/>
  <rowBreaks count="15" manualBreakCount="15">
    <brk id="51" max="4" man="1"/>
    <brk id="99" max="4" man="1"/>
    <brk id="146" max="4" man="1"/>
    <brk id="204" max="4" man="1"/>
    <brk id="253" max="4" man="1"/>
    <brk id="303" max="4" man="1"/>
    <brk id="353" max="4" man="1"/>
    <brk id="407" max="4" man="1"/>
    <brk id="460" max="4" man="1"/>
    <brk id="508" max="4" man="1"/>
    <brk id="557" max="4" man="1"/>
    <brk id="609" max="4" man="1"/>
    <brk id="661" max="4" man="1"/>
    <brk id="712" max="4" man="1"/>
    <brk id="740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view="pageBreakPreview" zoomScaleNormal="100" zoomScaleSheetLayoutView="100" workbookViewId="0">
      <selection activeCell="A3" sqref="A3:F3"/>
    </sheetView>
  </sheetViews>
  <sheetFormatPr defaultRowHeight="15"/>
  <cols>
    <col min="1" max="1" width="7.85546875" customWidth="1"/>
    <col min="2" max="2" width="65.28515625" customWidth="1"/>
    <col min="3" max="3" width="22.7109375" customWidth="1"/>
    <col min="4" max="4" width="9.140625" customWidth="1"/>
    <col min="5" max="5" width="10.42578125" hidden="1" customWidth="1"/>
    <col min="6" max="6" width="9.5703125" customWidth="1"/>
  </cols>
  <sheetData>
    <row r="1" spans="1:6" ht="16.899999999999999" customHeight="1">
      <c r="C1" s="251" t="s">
        <v>1181</v>
      </c>
      <c r="D1" s="251"/>
      <c r="E1" s="251"/>
      <c r="F1" s="251"/>
    </row>
    <row r="2" spans="1:6" ht="33" customHeight="1">
      <c r="C2" s="977" t="s">
        <v>1184</v>
      </c>
      <c r="D2" s="977"/>
      <c r="E2" s="977"/>
      <c r="F2" s="977"/>
    </row>
    <row r="3" spans="1:6" ht="37.15" customHeight="1">
      <c r="A3" s="1112" t="s">
        <v>78</v>
      </c>
      <c r="B3" s="1112"/>
      <c r="C3" s="1112"/>
      <c r="D3" s="1112"/>
      <c r="E3" s="1112"/>
      <c r="F3" s="1112"/>
    </row>
    <row r="4" spans="1:6" ht="15.75">
      <c r="A4" s="1039" t="s">
        <v>563</v>
      </c>
      <c r="B4" s="1039"/>
      <c r="C4" s="1039"/>
      <c r="D4" s="1039"/>
      <c r="E4" s="1039"/>
      <c r="F4" s="1039"/>
    </row>
    <row r="5" spans="1:6" ht="15.75">
      <c r="A5" s="5" t="s">
        <v>69</v>
      </c>
      <c r="B5" s="33"/>
      <c r="C5" s="33"/>
      <c r="D5" s="33"/>
      <c r="E5" s="33"/>
      <c r="F5" s="12"/>
    </row>
    <row r="6" spans="1:6" ht="15.75">
      <c r="A6" s="39"/>
      <c r="B6" s="40"/>
      <c r="C6" s="40"/>
      <c r="D6" s="40"/>
      <c r="E6" s="40"/>
      <c r="F6" s="40"/>
    </row>
    <row r="7" spans="1:6" ht="40.9" customHeight="1">
      <c r="A7" s="13" t="s">
        <v>211</v>
      </c>
      <c r="B7" s="15" t="s">
        <v>212</v>
      </c>
      <c r="C7" s="29" t="s">
        <v>564</v>
      </c>
      <c r="D7" s="29" t="s">
        <v>274</v>
      </c>
      <c r="E7" s="192" t="s">
        <v>275</v>
      </c>
      <c r="F7" s="29" t="s">
        <v>491</v>
      </c>
    </row>
    <row r="8" spans="1:6" ht="15.75">
      <c r="A8" s="24" t="s">
        <v>171</v>
      </c>
      <c r="B8" s="25" t="s">
        <v>102</v>
      </c>
      <c r="C8" s="31"/>
      <c r="D8" s="15"/>
      <c r="E8" s="28"/>
      <c r="F8" s="26"/>
    </row>
    <row r="9" spans="1:6" ht="31.5">
      <c r="A9" s="13" t="s">
        <v>66</v>
      </c>
      <c r="B9" s="17" t="s">
        <v>103</v>
      </c>
      <c r="C9" s="1113" t="s">
        <v>85</v>
      </c>
      <c r="D9" s="15"/>
      <c r="E9" s="28"/>
      <c r="F9" s="16"/>
    </row>
    <row r="10" spans="1:6" ht="15.75">
      <c r="A10" s="13"/>
      <c r="B10" s="17" t="s">
        <v>104</v>
      </c>
      <c r="C10" s="1113"/>
      <c r="D10" s="15">
        <v>30</v>
      </c>
      <c r="E10" s="28">
        <f>ROUND($L$22/60*D10,2)</f>
        <v>0</v>
      </c>
      <c r="F10" s="286">
        <v>62.7</v>
      </c>
    </row>
    <row r="11" spans="1:6" ht="15.75">
      <c r="A11" s="13"/>
      <c r="B11" s="17" t="s">
        <v>105</v>
      </c>
      <c r="C11" s="1113"/>
      <c r="D11" s="15">
        <v>30</v>
      </c>
      <c r="E11" s="28">
        <f>ROUND($L$22/60*D11,2)</f>
        <v>0</v>
      </c>
      <c r="F11" s="286">
        <v>62.7</v>
      </c>
    </row>
    <row r="12" spans="1:6" ht="15.75">
      <c r="A12" s="13"/>
      <c r="B12" s="17" t="s">
        <v>106</v>
      </c>
      <c r="C12" s="1113"/>
      <c r="D12" s="15">
        <v>84</v>
      </c>
      <c r="E12" s="28">
        <f>ROUND($L$22/60*D12,2)</f>
        <v>0</v>
      </c>
      <c r="F12" s="286">
        <v>175.6</v>
      </c>
    </row>
    <row r="13" spans="1:6" ht="15.75">
      <c r="A13" s="13"/>
      <c r="B13" s="23" t="s">
        <v>172</v>
      </c>
      <c r="C13" s="1113"/>
      <c r="D13" s="15">
        <v>60</v>
      </c>
      <c r="E13" s="28">
        <f>ROUND($L$22/60*D13,2)</f>
        <v>0</v>
      </c>
      <c r="F13" s="286">
        <v>125.5</v>
      </c>
    </row>
    <row r="14" spans="1:6" ht="15.75">
      <c r="A14" s="13" t="s">
        <v>67</v>
      </c>
      <c r="B14" s="18" t="s">
        <v>108</v>
      </c>
      <c r="C14" s="1113" t="s">
        <v>85</v>
      </c>
      <c r="D14" s="15"/>
      <c r="E14" s="28"/>
      <c r="F14" s="286"/>
    </row>
    <row r="15" spans="1:6" ht="31.5">
      <c r="A15" s="13"/>
      <c r="B15" s="19" t="s">
        <v>109</v>
      </c>
      <c r="C15" s="1113"/>
      <c r="D15" s="15">
        <v>18</v>
      </c>
      <c r="E15" s="28">
        <f t="shared" ref="E15:E23" si="0">ROUND($L$22/60*D15,2)</f>
        <v>0</v>
      </c>
      <c r="F15" s="286">
        <v>37.6</v>
      </c>
    </row>
    <row r="16" spans="1:6" ht="15.75">
      <c r="A16" s="13"/>
      <c r="B16" s="19" t="s">
        <v>110</v>
      </c>
      <c r="C16" s="1113"/>
      <c r="D16" s="15">
        <v>8</v>
      </c>
      <c r="E16" s="28">
        <f t="shared" si="0"/>
        <v>0</v>
      </c>
      <c r="F16" s="286">
        <v>16.7</v>
      </c>
    </row>
    <row r="17" spans="1:6" ht="15.75">
      <c r="A17" s="13" t="s">
        <v>68</v>
      </c>
      <c r="B17" s="20" t="s">
        <v>111</v>
      </c>
      <c r="C17" s="32" t="s">
        <v>85</v>
      </c>
      <c r="D17" s="15">
        <v>60</v>
      </c>
      <c r="E17" s="28">
        <f t="shared" si="0"/>
        <v>0</v>
      </c>
      <c r="F17" s="286">
        <v>125.5</v>
      </c>
    </row>
    <row r="18" spans="1:6" ht="15.75">
      <c r="A18" s="13" t="s">
        <v>173</v>
      </c>
      <c r="B18" s="20" t="s">
        <v>113</v>
      </c>
      <c r="C18" s="32" t="s">
        <v>114</v>
      </c>
      <c r="D18" s="15">
        <v>90</v>
      </c>
      <c r="E18" s="28">
        <f t="shared" si="0"/>
        <v>0</v>
      </c>
      <c r="F18" s="286">
        <v>188.2</v>
      </c>
    </row>
    <row r="19" spans="1:6" ht="15.75">
      <c r="A19" s="13" t="s">
        <v>174</v>
      </c>
      <c r="B19" s="20" t="s">
        <v>116</v>
      </c>
      <c r="C19" s="32" t="s">
        <v>85</v>
      </c>
      <c r="D19" s="15">
        <v>22</v>
      </c>
      <c r="E19" s="28">
        <f t="shared" si="0"/>
        <v>0</v>
      </c>
      <c r="F19" s="286">
        <v>46</v>
      </c>
    </row>
    <row r="20" spans="1:6" ht="31.5">
      <c r="A20" s="537" t="s">
        <v>175</v>
      </c>
      <c r="B20" s="14" t="s">
        <v>117</v>
      </c>
      <c r="C20" s="538" t="s">
        <v>118</v>
      </c>
      <c r="D20" s="280">
        <v>42</v>
      </c>
      <c r="E20" s="539">
        <f t="shared" si="0"/>
        <v>0</v>
      </c>
      <c r="F20" s="233">
        <v>87.8</v>
      </c>
    </row>
    <row r="21" spans="1:6" ht="15.75">
      <c r="A21" s="13"/>
      <c r="B21" s="6" t="s">
        <v>119</v>
      </c>
      <c r="C21" s="29" t="s">
        <v>120</v>
      </c>
      <c r="D21" s="15">
        <v>20</v>
      </c>
      <c r="E21" s="28">
        <f t="shared" si="0"/>
        <v>0</v>
      </c>
      <c r="F21" s="286">
        <v>41.8</v>
      </c>
    </row>
    <row r="22" spans="1:6" ht="15.75">
      <c r="A22" s="13" t="s">
        <v>176</v>
      </c>
      <c r="B22" s="21" t="s">
        <v>121</v>
      </c>
      <c r="C22" s="32" t="s">
        <v>114</v>
      </c>
      <c r="D22" s="15">
        <v>6</v>
      </c>
      <c r="E22" s="28">
        <f t="shared" si="0"/>
        <v>0</v>
      </c>
      <c r="F22" s="286">
        <v>12.6</v>
      </c>
    </row>
    <row r="23" spans="1:6" ht="15.75">
      <c r="A23" s="13" t="s">
        <v>177</v>
      </c>
      <c r="B23" s="20" t="s">
        <v>122</v>
      </c>
      <c r="C23" s="29" t="s">
        <v>123</v>
      </c>
      <c r="D23" s="15">
        <v>45</v>
      </c>
      <c r="E23" s="28">
        <f t="shared" si="0"/>
        <v>0</v>
      </c>
      <c r="F23" s="286">
        <v>94.1</v>
      </c>
    </row>
    <row r="24" spans="1:6" ht="15.75">
      <c r="A24" s="24" t="s">
        <v>178</v>
      </c>
      <c r="B24" s="25" t="s">
        <v>83</v>
      </c>
      <c r="C24" s="31"/>
      <c r="D24" s="15"/>
      <c r="E24" s="28"/>
      <c r="F24" s="286"/>
    </row>
    <row r="25" spans="1:6" ht="31.5">
      <c r="A25" s="13" t="s">
        <v>179</v>
      </c>
      <c r="B25" s="14" t="s">
        <v>180</v>
      </c>
      <c r="C25" s="32" t="s">
        <v>85</v>
      </c>
      <c r="D25" s="15">
        <v>15</v>
      </c>
      <c r="E25" s="28">
        <f t="shared" ref="E25:E43" si="1">ROUND($L$22/60*D25,2)</f>
        <v>0</v>
      </c>
      <c r="F25" s="286">
        <v>31.4</v>
      </c>
    </row>
    <row r="26" spans="1:6" ht="31.5">
      <c r="A26" s="13" t="s">
        <v>107</v>
      </c>
      <c r="B26" s="14" t="s">
        <v>181</v>
      </c>
      <c r="C26" s="32" t="s">
        <v>85</v>
      </c>
      <c r="D26" s="15">
        <v>15</v>
      </c>
      <c r="E26" s="28">
        <f t="shared" si="1"/>
        <v>0</v>
      </c>
      <c r="F26" s="286">
        <v>31.4</v>
      </c>
    </row>
    <row r="27" spans="1:6" ht="15.75">
      <c r="A27" s="13" t="s">
        <v>182</v>
      </c>
      <c r="B27" s="14" t="s">
        <v>91</v>
      </c>
      <c r="C27" s="32" t="s">
        <v>85</v>
      </c>
      <c r="D27" s="15">
        <v>15</v>
      </c>
      <c r="E27" s="28">
        <f t="shared" si="1"/>
        <v>0</v>
      </c>
      <c r="F27" s="286">
        <v>31.4</v>
      </c>
    </row>
    <row r="28" spans="1:6" ht="15.75">
      <c r="A28" s="13" t="s">
        <v>112</v>
      </c>
      <c r="B28" s="14" t="s">
        <v>92</v>
      </c>
      <c r="C28" s="32" t="s">
        <v>85</v>
      </c>
      <c r="D28" s="15">
        <v>20</v>
      </c>
      <c r="E28" s="28">
        <f t="shared" si="1"/>
        <v>0</v>
      </c>
      <c r="F28" s="286">
        <v>41.8</v>
      </c>
    </row>
    <row r="29" spans="1:6" ht="15.75">
      <c r="A29" s="13" t="s">
        <v>115</v>
      </c>
      <c r="B29" s="14" t="s">
        <v>93</v>
      </c>
      <c r="C29" s="32" t="s">
        <v>85</v>
      </c>
      <c r="D29" s="15">
        <v>20</v>
      </c>
      <c r="E29" s="28">
        <f t="shared" si="1"/>
        <v>0</v>
      </c>
      <c r="F29" s="286">
        <v>41.8</v>
      </c>
    </row>
    <row r="30" spans="1:6" ht="15.75">
      <c r="A30" s="13" t="s">
        <v>183</v>
      </c>
      <c r="B30" s="14" t="s">
        <v>84</v>
      </c>
      <c r="C30" s="29" t="s">
        <v>85</v>
      </c>
      <c r="D30" s="15">
        <v>60</v>
      </c>
      <c r="E30" s="28">
        <f t="shared" si="1"/>
        <v>0</v>
      </c>
      <c r="F30" s="286">
        <v>125.5</v>
      </c>
    </row>
    <row r="31" spans="1:6" ht="15.75">
      <c r="A31" s="13" t="s">
        <v>184</v>
      </c>
      <c r="B31" s="14" t="s">
        <v>94</v>
      </c>
      <c r="C31" s="32" t="s">
        <v>85</v>
      </c>
      <c r="D31" s="15">
        <v>15</v>
      </c>
      <c r="E31" s="28">
        <f t="shared" si="1"/>
        <v>0</v>
      </c>
      <c r="F31" s="286">
        <v>31.4</v>
      </c>
    </row>
    <row r="32" spans="1:6" ht="15.75">
      <c r="A32" s="13" t="s">
        <v>185</v>
      </c>
      <c r="B32" s="14" t="s">
        <v>86</v>
      </c>
      <c r="C32" s="32" t="s">
        <v>85</v>
      </c>
      <c r="D32" s="15">
        <v>15</v>
      </c>
      <c r="E32" s="28">
        <f t="shared" si="1"/>
        <v>0</v>
      </c>
      <c r="F32" s="286">
        <v>31.4</v>
      </c>
    </row>
    <row r="33" spans="1:6" ht="15.75">
      <c r="A33" s="13" t="s">
        <v>186</v>
      </c>
      <c r="B33" s="14" t="s">
        <v>87</v>
      </c>
      <c r="C33" s="32" t="s">
        <v>85</v>
      </c>
      <c r="D33" s="15">
        <v>10</v>
      </c>
      <c r="E33" s="28">
        <f t="shared" si="1"/>
        <v>0</v>
      </c>
      <c r="F33" s="286">
        <v>20.9</v>
      </c>
    </row>
    <row r="34" spans="1:6" ht="15.75">
      <c r="A34" s="13" t="s">
        <v>187</v>
      </c>
      <c r="B34" s="14" t="s">
        <v>88</v>
      </c>
      <c r="C34" s="32" t="s">
        <v>85</v>
      </c>
      <c r="D34" s="15">
        <v>20</v>
      </c>
      <c r="E34" s="28">
        <f t="shared" si="1"/>
        <v>0</v>
      </c>
      <c r="F34" s="286">
        <v>41.8</v>
      </c>
    </row>
    <row r="35" spans="1:6" ht="15.75">
      <c r="A35" s="13" t="s">
        <v>188</v>
      </c>
      <c r="B35" s="14" t="s">
        <v>189</v>
      </c>
      <c r="C35" s="32" t="s">
        <v>85</v>
      </c>
      <c r="D35" s="15">
        <v>20</v>
      </c>
      <c r="E35" s="28">
        <f t="shared" si="1"/>
        <v>0</v>
      </c>
      <c r="F35" s="286">
        <v>41.8</v>
      </c>
    </row>
    <row r="36" spans="1:6" ht="31.5">
      <c r="A36" s="13" t="s">
        <v>190</v>
      </c>
      <c r="B36" s="14" t="s">
        <v>89</v>
      </c>
      <c r="C36" s="32" t="s">
        <v>85</v>
      </c>
      <c r="D36" s="15">
        <v>20</v>
      </c>
      <c r="E36" s="28">
        <f t="shared" si="1"/>
        <v>0</v>
      </c>
      <c r="F36" s="286">
        <v>41.8</v>
      </c>
    </row>
    <row r="37" spans="1:6" ht="15.75">
      <c r="A37" s="13" t="s">
        <v>191</v>
      </c>
      <c r="B37" s="14" t="s">
        <v>100</v>
      </c>
      <c r="C37" s="32" t="s">
        <v>85</v>
      </c>
      <c r="D37" s="15">
        <v>40</v>
      </c>
      <c r="E37" s="28">
        <f t="shared" si="1"/>
        <v>0</v>
      </c>
      <c r="F37" s="286">
        <v>83.6</v>
      </c>
    </row>
    <row r="38" spans="1:6" ht="15.75">
      <c r="A38" s="13" t="s">
        <v>192</v>
      </c>
      <c r="B38" s="14" t="s">
        <v>96</v>
      </c>
      <c r="C38" s="15" t="s">
        <v>85</v>
      </c>
      <c r="D38" s="15">
        <v>30</v>
      </c>
      <c r="E38" s="28">
        <f t="shared" si="1"/>
        <v>0</v>
      </c>
      <c r="F38" s="286">
        <v>62.7</v>
      </c>
    </row>
    <row r="39" spans="1:6" ht="15.75">
      <c r="A39" s="13" t="s">
        <v>193</v>
      </c>
      <c r="B39" s="14" t="s">
        <v>97</v>
      </c>
      <c r="C39" s="32" t="s">
        <v>85</v>
      </c>
      <c r="D39" s="15">
        <v>24</v>
      </c>
      <c r="E39" s="28">
        <f t="shared" si="1"/>
        <v>0</v>
      </c>
      <c r="F39" s="286">
        <v>50.2</v>
      </c>
    </row>
    <row r="40" spans="1:6" ht="29.45" customHeight="1">
      <c r="A40" s="13" t="s">
        <v>194</v>
      </c>
      <c r="B40" s="14" t="s">
        <v>98</v>
      </c>
      <c r="C40" s="32" t="s">
        <v>85</v>
      </c>
      <c r="D40" s="15">
        <v>45</v>
      </c>
      <c r="E40" s="28">
        <f t="shared" si="1"/>
        <v>0</v>
      </c>
      <c r="F40" s="286">
        <v>94.1</v>
      </c>
    </row>
    <row r="41" spans="1:6" ht="15.75">
      <c r="A41" s="13" t="s">
        <v>195</v>
      </c>
      <c r="B41" s="14" t="s">
        <v>101</v>
      </c>
      <c r="C41" s="32" t="s">
        <v>85</v>
      </c>
      <c r="D41" s="15">
        <v>30</v>
      </c>
      <c r="E41" s="28">
        <f t="shared" si="1"/>
        <v>0</v>
      </c>
      <c r="F41" s="286">
        <v>62.7</v>
      </c>
    </row>
    <row r="42" spans="1:6" ht="15.75">
      <c r="A42" s="13" t="s">
        <v>196</v>
      </c>
      <c r="B42" s="14" t="s">
        <v>99</v>
      </c>
      <c r="C42" s="32" t="s">
        <v>85</v>
      </c>
      <c r="D42" s="15">
        <v>30</v>
      </c>
      <c r="E42" s="28">
        <f t="shared" si="1"/>
        <v>0</v>
      </c>
      <c r="F42" s="286">
        <v>62.7</v>
      </c>
    </row>
    <row r="43" spans="1:6" ht="15.75">
      <c r="A43" s="24" t="s">
        <v>197</v>
      </c>
      <c r="B43" s="69" t="s">
        <v>124</v>
      </c>
      <c r="C43" s="32" t="s">
        <v>85</v>
      </c>
      <c r="D43" s="15">
        <v>15</v>
      </c>
      <c r="E43" s="28">
        <f t="shared" si="1"/>
        <v>0</v>
      </c>
      <c r="F43" s="286">
        <v>31.4</v>
      </c>
    </row>
    <row r="44" spans="1:6" ht="31.5">
      <c r="A44" s="24" t="s">
        <v>198</v>
      </c>
      <c r="B44" s="69" t="s">
        <v>125</v>
      </c>
      <c r="C44" s="45"/>
      <c r="D44" s="45"/>
      <c r="E44" s="28"/>
      <c r="F44" s="286"/>
    </row>
    <row r="45" spans="1:6" ht="31.15" customHeight="1">
      <c r="A45" s="13" t="s">
        <v>126</v>
      </c>
      <c r="B45" s="21" t="s">
        <v>127</v>
      </c>
      <c r="C45" s="29" t="s">
        <v>114</v>
      </c>
      <c r="D45" s="32">
        <v>15</v>
      </c>
      <c r="E45" s="28">
        <f>ROUND($L$22/60*D45,2)</f>
        <v>0</v>
      </c>
      <c r="F45" s="286">
        <v>31.4</v>
      </c>
    </row>
    <row r="46" spans="1:6" ht="15.75">
      <c r="A46" s="13" t="s">
        <v>128</v>
      </c>
      <c r="B46" s="18" t="s">
        <v>129</v>
      </c>
      <c r="C46" s="29" t="s">
        <v>114</v>
      </c>
      <c r="D46" s="15">
        <v>84</v>
      </c>
      <c r="E46" s="28">
        <f>ROUND($L$22/60*D46,2)</f>
        <v>0</v>
      </c>
      <c r="F46" s="286">
        <v>175.6</v>
      </c>
    </row>
    <row r="47" spans="1:6" ht="47.25">
      <c r="A47" s="13" t="s">
        <v>130</v>
      </c>
      <c r="B47" s="17" t="s">
        <v>131</v>
      </c>
      <c r="C47" s="29" t="s">
        <v>114</v>
      </c>
      <c r="D47" s="15">
        <v>45</v>
      </c>
      <c r="E47" s="28">
        <f>ROUND($L$22/60*D47,2)</f>
        <v>0</v>
      </c>
      <c r="F47" s="286">
        <v>94.1</v>
      </c>
    </row>
    <row r="48" spans="1:6" ht="94.15" customHeight="1">
      <c r="A48" s="13" t="s">
        <v>132</v>
      </c>
      <c r="B48" s="19" t="s">
        <v>133</v>
      </c>
      <c r="C48" s="29" t="s">
        <v>114</v>
      </c>
      <c r="D48" s="15">
        <v>72</v>
      </c>
      <c r="E48" s="28">
        <f>ROUND($L$22/60*D48,2)</f>
        <v>0</v>
      </c>
      <c r="F48" s="286">
        <v>150.5</v>
      </c>
    </row>
    <row r="49" spans="1:6" ht="31.5">
      <c r="A49" s="13" t="s">
        <v>134</v>
      </c>
      <c r="B49" s="7" t="s">
        <v>135</v>
      </c>
      <c r="C49" s="29" t="s">
        <v>114</v>
      </c>
      <c r="D49" s="15">
        <v>20</v>
      </c>
      <c r="E49" s="28">
        <f>ROUND($L$22/60*D49,2)</f>
        <v>0</v>
      </c>
      <c r="F49" s="286">
        <v>41.8</v>
      </c>
    </row>
    <row r="50" spans="1:6" ht="15.75">
      <c r="A50" s="24" t="s">
        <v>199</v>
      </c>
      <c r="B50" s="65" t="s">
        <v>137</v>
      </c>
      <c r="C50" s="29"/>
      <c r="D50" s="15"/>
      <c r="E50" s="28"/>
      <c r="F50" s="286"/>
    </row>
    <row r="51" spans="1:6" ht="15.75">
      <c r="A51" s="66" t="s">
        <v>138</v>
      </c>
      <c r="B51" s="20" t="s">
        <v>139</v>
      </c>
      <c r="C51" s="29"/>
      <c r="D51" s="15"/>
      <c r="E51" s="28"/>
      <c r="F51" s="286"/>
    </row>
    <row r="52" spans="1:6" ht="15.75">
      <c r="A52" s="66"/>
      <c r="B52" s="67" t="s">
        <v>200</v>
      </c>
      <c r="C52" s="32" t="s">
        <v>85</v>
      </c>
      <c r="D52" s="15">
        <v>15</v>
      </c>
      <c r="E52" s="28">
        <f t="shared" ref="E52:E57" si="2">ROUND($L$22/60*D52,2)</f>
        <v>0</v>
      </c>
      <c r="F52" s="286">
        <v>31.4</v>
      </c>
    </row>
    <row r="53" spans="1:6" ht="15.75">
      <c r="A53" s="13"/>
      <c r="B53" s="67" t="s">
        <v>201</v>
      </c>
      <c r="C53" s="32" t="s">
        <v>85</v>
      </c>
      <c r="D53" s="66">
        <v>15</v>
      </c>
      <c r="E53" s="28">
        <f t="shared" si="2"/>
        <v>0</v>
      </c>
      <c r="F53" s="286">
        <v>31.4</v>
      </c>
    </row>
    <row r="54" spans="1:6" ht="15.75">
      <c r="A54" s="13"/>
      <c r="B54" s="67" t="s">
        <v>202</v>
      </c>
      <c r="C54" s="32" t="s">
        <v>85</v>
      </c>
      <c r="D54" s="66">
        <v>15</v>
      </c>
      <c r="E54" s="28">
        <f t="shared" si="2"/>
        <v>0</v>
      </c>
      <c r="F54" s="286">
        <v>31.4</v>
      </c>
    </row>
    <row r="55" spans="1:6" ht="15.75">
      <c r="A55" s="13"/>
      <c r="B55" s="67" t="s">
        <v>203</v>
      </c>
      <c r="C55" s="32" t="s">
        <v>85</v>
      </c>
      <c r="D55" s="66">
        <v>20</v>
      </c>
      <c r="E55" s="28">
        <f t="shared" si="2"/>
        <v>0</v>
      </c>
      <c r="F55" s="286">
        <v>41.8</v>
      </c>
    </row>
    <row r="56" spans="1:6" ht="15.75">
      <c r="A56" s="13"/>
      <c r="B56" s="769" t="s">
        <v>963</v>
      </c>
      <c r="C56" s="32" t="s">
        <v>85</v>
      </c>
      <c r="D56" s="66">
        <v>20</v>
      </c>
      <c r="E56" s="28">
        <f t="shared" si="2"/>
        <v>0</v>
      </c>
      <c r="F56" s="286">
        <v>41.8</v>
      </c>
    </row>
    <row r="57" spans="1:6" ht="15.75">
      <c r="A57" s="13"/>
      <c r="B57" s="769" t="s">
        <v>964</v>
      </c>
      <c r="C57" s="32" t="s">
        <v>85</v>
      </c>
      <c r="D57" s="66">
        <v>20</v>
      </c>
      <c r="E57" s="28">
        <f t="shared" si="2"/>
        <v>0</v>
      </c>
      <c r="F57" s="286">
        <v>41.8</v>
      </c>
    </row>
    <row r="58" spans="1:6" ht="31.5">
      <c r="A58" s="24" t="s">
        <v>204</v>
      </c>
      <c r="B58" s="61" t="s">
        <v>140</v>
      </c>
      <c r="C58" s="45"/>
      <c r="D58" s="32"/>
      <c r="E58" s="28"/>
      <c r="F58" s="286"/>
    </row>
    <row r="59" spans="1:6" ht="47.25">
      <c r="A59" s="13" t="s">
        <v>141</v>
      </c>
      <c r="B59" s="19" t="s">
        <v>142</v>
      </c>
      <c r="C59" s="32" t="s">
        <v>85</v>
      </c>
      <c r="D59" s="32">
        <v>45</v>
      </c>
      <c r="E59" s="28">
        <f>ROUND($L$22/60*D59,2)</f>
        <v>0</v>
      </c>
      <c r="F59" s="286">
        <v>94.1</v>
      </c>
    </row>
    <row r="60" spans="1:6" ht="31.5">
      <c r="A60" s="13" t="s">
        <v>143</v>
      </c>
      <c r="B60" s="19" t="s">
        <v>144</v>
      </c>
      <c r="C60" s="32" t="s">
        <v>85</v>
      </c>
      <c r="D60" s="32">
        <v>45</v>
      </c>
      <c r="E60" s="28">
        <f>ROUND($L$22/60*D60,2)</f>
        <v>0</v>
      </c>
      <c r="F60" s="286">
        <v>94.1</v>
      </c>
    </row>
    <row r="61" spans="1:6" ht="15.75">
      <c r="A61" s="24" t="s">
        <v>205</v>
      </c>
      <c r="B61" s="27" t="s">
        <v>145</v>
      </c>
      <c r="C61" s="60"/>
      <c r="D61" s="60"/>
      <c r="E61" s="28"/>
      <c r="F61" s="286"/>
    </row>
    <row r="62" spans="1:6" ht="15.75">
      <c r="A62" s="22" t="s">
        <v>146</v>
      </c>
      <c r="B62" s="6" t="s">
        <v>147</v>
      </c>
      <c r="C62" s="32" t="s">
        <v>85</v>
      </c>
      <c r="D62" s="32">
        <v>30</v>
      </c>
      <c r="E62" s="28">
        <f>ROUND($L$22/60*D62,2)</f>
        <v>0</v>
      </c>
      <c r="F62" s="286">
        <v>62.7</v>
      </c>
    </row>
    <row r="63" spans="1:6" ht="63">
      <c r="A63" s="867" t="s">
        <v>148</v>
      </c>
      <c r="B63" s="622" t="s">
        <v>702</v>
      </c>
      <c r="C63" s="867" t="s">
        <v>85</v>
      </c>
      <c r="D63" s="867">
        <v>30</v>
      </c>
      <c r="E63" s="539">
        <f>ROUND($L$54/60*D63,2)</f>
        <v>0</v>
      </c>
      <c r="F63" s="233">
        <v>53.4</v>
      </c>
    </row>
    <row r="64" spans="1:6" ht="31.5">
      <c r="A64" s="868" t="s">
        <v>700</v>
      </c>
      <c r="B64" s="869" t="s">
        <v>479</v>
      </c>
      <c r="C64" s="867" t="s">
        <v>85</v>
      </c>
      <c r="D64" s="867">
        <v>60</v>
      </c>
      <c r="E64" s="539">
        <f>ROUND($L$54/60*D64,2)</f>
        <v>0</v>
      </c>
      <c r="F64" s="233">
        <v>106.7</v>
      </c>
    </row>
    <row r="65" spans="1:6" ht="31.5">
      <c r="A65" s="32" t="s">
        <v>701</v>
      </c>
      <c r="B65" s="7" t="s">
        <v>149</v>
      </c>
      <c r="C65" s="32" t="s">
        <v>85</v>
      </c>
      <c r="D65" s="32">
        <v>78</v>
      </c>
      <c r="E65" s="28">
        <f>ROUND($L$22/60*D65,2)</f>
        <v>0</v>
      </c>
      <c r="F65" s="286">
        <v>163.1</v>
      </c>
    </row>
    <row r="66" spans="1:6" ht="15.75">
      <c r="A66" s="24" t="s">
        <v>206</v>
      </c>
      <c r="B66" s="68" t="s">
        <v>150</v>
      </c>
      <c r="C66" s="69"/>
      <c r="D66" s="60"/>
      <c r="E66" s="28"/>
      <c r="F66" s="286"/>
    </row>
    <row r="67" spans="1:6" ht="31.5">
      <c r="A67" s="294" t="s">
        <v>151</v>
      </c>
      <c r="B67" s="19" t="s">
        <v>152</v>
      </c>
      <c r="C67" s="29" t="s">
        <v>114</v>
      </c>
      <c r="D67" s="70">
        <v>45</v>
      </c>
      <c r="E67" s="28">
        <f>ROUND($L$22/60*D67,2)</f>
        <v>0</v>
      </c>
      <c r="F67" s="286">
        <v>94.1</v>
      </c>
    </row>
    <row r="68" spans="1:6" ht="15.75">
      <c r="A68" s="32" t="s">
        <v>153</v>
      </c>
      <c r="B68" s="6" t="s">
        <v>150</v>
      </c>
      <c r="C68" s="29" t="s">
        <v>114</v>
      </c>
      <c r="D68" s="15">
        <v>20</v>
      </c>
      <c r="E68" s="28">
        <f>ROUND($L$22/60*D68,2)</f>
        <v>0</v>
      </c>
      <c r="F68" s="286">
        <v>41.8</v>
      </c>
    </row>
    <row r="69" spans="1:6" ht="15.75">
      <c r="A69" s="71" t="s">
        <v>207</v>
      </c>
      <c r="B69" s="63" t="s">
        <v>154</v>
      </c>
      <c r="C69" s="31"/>
      <c r="D69" s="62"/>
      <c r="E69" s="28"/>
      <c r="F69" s="286"/>
    </row>
    <row r="70" spans="1:6" ht="31.5">
      <c r="A70" s="294" t="s">
        <v>155</v>
      </c>
      <c r="B70" s="7" t="s">
        <v>156</v>
      </c>
      <c r="C70" s="29" t="s">
        <v>114</v>
      </c>
      <c r="D70" s="15">
        <v>45</v>
      </c>
      <c r="E70" s="28">
        <f>ROUND($L$22/60*D70,2)</f>
        <v>0</v>
      </c>
      <c r="F70" s="286">
        <v>94.1</v>
      </c>
    </row>
    <row r="71" spans="1:6" ht="31.5">
      <c r="A71" s="32" t="s">
        <v>157</v>
      </c>
      <c r="B71" s="7" t="s">
        <v>158</v>
      </c>
      <c r="C71" s="29" t="s">
        <v>114</v>
      </c>
      <c r="D71" s="15">
        <v>45</v>
      </c>
      <c r="E71" s="28">
        <f>ROUND($L$22/60*D71,2)</f>
        <v>0</v>
      </c>
      <c r="F71" s="286">
        <v>94.1</v>
      </c>
    </row>
    <row r="72" spans="1:6" ht="31.5">
      <c r="A72" s="60" t="s">
        <v>208</v>
      </c>
      <c r="B72" s="61" t="s">
        <v>159</v>
      </c>
      <c r="C72" s="29" t="s">
        <v>160</v>
      </c>
      <c r="D72" s="15">
        <v>60</v>
      </c>
      <c r="E72" s="28">
        <f>ROUND($L$22/60*D72,2)</f>
        <v>0</v>
      </c>
      <c r="F72" s="286">
        <v>125.5</v>
      </c>
    </row>
    <row r="73" spans="1:6" ht="15.75">
      <c r="A73" s="1114" t="s">
        <v>209</v>
      </c>
      <c r="B73" s="1115"/>
      <c r="C73" s="1115"/>
      <c r="D73" s="1115"/>
      <c r="E73" s="1115"/>
      <c r="F73" s="1116"/>
    </row>
    <row r="74" spans="1:6" ht="31.9" customHeight="1">
      <c r="A74" s="13" t="s">
        <v>211</v>
      </c>
      <c r="B74" s="15" t="s">
        <v>212</v>
      </c>
      <c r="C74" s="29" t="s">
        <v>210</v>
      </c>
      <c r="D74" s="29" t="s">
        <v>274</v>
      </c>
      <c r="E74" s="29" t="s">
        <v>63</v>
      </c>
      <c r="F74" s="29" t="s">
        <v>491</v>
      </c>
    </row>
    <row r="75" spans="1:6" ht="15.75">
      <c r="A75" s="13" t="s">
        <v>213</v>
      </c>
      <c r="B75" s="62" t="s">
        <v>214</v>
      </c>
      <c r="C75" s="29"/>
      <c r="D75" s="29"/>
      <c r="E75" s="29"/>
      <c r="F75" s="30"/>
    </row>
    <row r="76" spans="1:6" ht="31.5">
      <c r="A76" s="15" t="s">
        <v>66</v>
      </c>
      <c r="B76" s="21" t="s">
        <v>162</v>
      </c>
      <c r="C76" s="29" t="s">
        <v>216</v>
      </c>
      <c r="D76" s="280">
        <v>40</v>
      </c>
      <c r="E76" s="233">
        <f>ROUND($L$22/60*D76,2)</f>
        <v>0</v>
      </c>
      <c r="F76" s="286">
        <v>83.6</v>
      </c>
    </row>
    <row r="77" spans="1:6" ht="31.5">
      <c r="A77" s="15" t="s">
        <v>67</v>
      </c>
      <c r="B77" s="21" t="s">
        <v>164</v>
      </c>
      <c r="C77" s="29" t="s">
        <v>217</v>
      </c>
      <c r="D77" s="280">
        <v>40</v>
      </c>
      <c r="E77" s="233">
        <f>ROUND($L$22/60*D77,2)</f>
        <v>0</v>
      </c>
      <c r="F77" s="286">
        <v>83.6</v>
      </c>
    </row>
    <row r="78" spans="1:6" ht="15.75">
      <c r="A78" s="15" t="s">
        <v>219</v>
      </c>
      <c r="B78" s="62" t="s">
        <v>220</v>
      </c>
      <c r="C78" s="29"/>
      <c r="D78" s="280"/>
      <c r="E78" s="233"/>
      <c r="F78" s="286"/>
    </row>
    <row r="79" spans="1:6" ht="31.5">
      <c r="A79" s="15" t="s">
        <v>179</v>
      </c>
      <c r="B79" s="21" t="s">
        <v>163</v>
      </c>
      <c r="C79" s="29" t="s">
        <v>221</v>
      </c>
      <c r="D79" s="280">
        <v>45</v>
      </c>
      <c r="E79" s="233">
        <f>ROUND($L$22/60*D79,2)</f>
        <v>0</v>
      </c>
      <c r="F79" s="286">
        <v>94.1</v>
      </c>
    </row>
    <row r="80" spans="1:6" ht="60">
      <c r="A80" s="15" t="s">
        <v>107</v>
      </c>
      <c r="B80" s="21" t="s">
        <v>164</v>
      </c>
      <c r="C80" s="581" t="s">
        <v>222</v>
      </c>
      <c r="D80" s="280">
        <v>40</v>
      </c>
      <c r="E80" s="233">
        <f>ROUND($L$22/60*D80,2)</f>
        <v>0</v>
      </c>
      <c r="F80" s="286">
        <v>83.6</v>
      </c>
    </row>
    <row r="81" spans="1:6" ht="31.5">
      <c r="A81" s="15" t="s">
        <v>182</v>
      </c>
      <c r="B81" s="21" t="s">
        <v>169</v>
      </c>
      <c r="C81" s="29" t="s">
        <v>227</v>
      </c>
      <c r="D81" s="15">
        <v>35</v>
      </c>
      <c r="E81" s="233">
        <f>ROUND($L$22/60*D81,2)</f>
        <v>0</v>
      </c>
      <c r="F81" s="286">
        <v>73.2</v>
      </c>
    </row>
    <row r="82" spans="1:6" ht="15.75">
      <c r="A82" s="15" t="s">
        <v>112</v>
      </c>
      <c r="B82" s="21" t="s">
        <v>170</v>
      </c>
      <c r="C82" s="29"/>
      <c r="D82" s="15"/>
      <c r="E82" s="233"/>
      <c r="F82" s="286"/>
    </row>
    <row r="83" spans="1:6" ht="15.75">
      <c r="A83" s="15"/>
      <c r="B83" s="72" t="s">
        <v>229</v>
      </c>
      <c r="C83" s="29" t="s">
        <v>85</v>
      </c>
      <c r="D83" s="58">
        <v>50</v>
      </c>
      <c r="E83" s="233">
        <f>ROUND($L$22/60*D83,2)</f>
        <v>0</v>
      </c>
      <c r="F83" s="286">
        <v>104.5</v>
      </c>
    </row>
    <row r="84" spans="1:6" ht="15.75">
      <c r="A84" s="15"/>
      <c r="B84" s="72" t="s">
        <v>230</v>
      </c>
      <c r="C84" s="29" t="s">
        <v>85</v>
      </c>
      <c r="D84" s="58">
        <v>30</v>
      </c>
      <c r="E84" s="233">
        <f>ROUND($L$22/60*D84,2)</f>
        <v>0</v>
      </c>
      <c r="F84" s="286">
        <v>62.7</v>
      </c>
    </row>
    <row r="85" spans="1:6" ht="15.75">
      <c r="A85" s="15"/>
      <c r="B85" s="72" t="s">
        <v>231</v>
      </c>
      <c r="C85" s="29" t="s">
        <v>85</v>
      </c>
      <c r="D85" s="58">
        <v>50</v>
      </c>
      <c r="E85" s="233">
        <f>ROUND($L$22/60*D85,2)</f>
        <v>0</v>
      </c>
      <c r="F85" s="233">
        <v>104.5</v>
      </c>
    </row>
    <row r="86" spans="1:6" ht="15.75">
      <c r="A86" s="15"/>
      <c r="B86" s="72" t="s">
        <v>232</v>
      </c>
      <c r="C86" s="29" t="s">
        <v>85</v>
      </c>
      <c r="D86" s="58">
        <v>60</v>
      </c>
      <c r="E86" s="233">
        <f>ROUND($L$22/60*D86,2)</f>
        <v>0</v>
      </c>
      <c r="F86" s="286">
        <v>125.5</v>
      </c>
    </row>
    <row r="87" spans="1:6" ht="15.75">
      <c r="A87" s="15"/>
      <c r="B87" s="72" t="s">
        <v>233</v>
      </c>
      <c r="C87" s="29" t="s">
        <v>85</v>
      </c>
      <c r="D87" s="58">
        <v>90</v>
      </c>
      <c r="E87" s="233">
        <f>ROUND($L$22/60*D87,2)</f>
        <v>0</v>
      </c>
      <c r="F87" s="286">
        <v>188.2</v>
      </c>
    </row>
    <row r="88" spans="1:6" ht="15.75">
      <c r="A88" s="15" t="s">
        <v>223</v>
      </c>
      <c r="B88" s="62" t="s">
        <v>234</v>
      </c>
      <c r="C88" s="227"/>
      <c r="D88" s="15"/>
      <c r="E88" s="233"/>
      <c r="F88" s="286"/>
    </row>
    <row r="89" spans="1:6" ht="59.45" customHeight="1">
      <c r="A89" s="15" t="s">
        <v>224</v>
      </c>
      <c r="B89" s="21" t="s">
        <v>165</v>
      </c>
      <c r="C89" s="29" t="s">
        <v>166</v>
      </c>
      <c r="D89" s="15">
        <v>120</v>
      </c>
      <c r="E89" s="233">
        <f>ROUND($L$22/60*D89,2)</f>
        <v>0</v>
      </c>
      <c r="F89" s="286">
        <v>250.9</v>
      </c>
    </row>
    <row r="90" spans="1:6" ht="31.5">
      <c r="A90" s="15" t="s">
        <v>225</v>
      </c>
      <c r="B90" s="21" t="s">
        <v>167</v>
      </c>
      <c r="C90" s="29" t="s">
        <v>236</v>
      </c>
      <c r="D90" s="15">
        <v>30</v>
      </c>
      <c r="E90" s="233">
        <f>ROUND($L$22/60*D90,2)</f>
        <v>0</v>
      </c>
      <c r="F90" s="286">
        <v>62.7</v>
      </c>
    </row>
    <row r="91" spans="1:6" ht="15.75">
      <c r="A91" s="15" t="s">
        <v>235</v>
      </c>
      <c r="B91" s="62" t="s">
        <v>237</v>
      </c>
      <c r="C91" s="29"/>
      <c r="D91" s="15"/>
      <c r="E91" s="233"/>
      <c r="F91" s="286"/>
    </row>
    <row r="92" spans="1:6" ht="31.5">
      <c r="A92" s="15" t="s">
        <v>126</v>
      </c>
      <c r="B92" s="21" t="s">
        <v>168</v>
      </c>
      <c r="C92" s="29" t="s">
        <v>239</v>
      </c>
      <c r="D92" s="15">
        <v>30</v>
      </c>
      <c r="E92" s="233">
        <f>ROUND($L$22/60*D92,2)</f>
        <v>0</v>
      </c>
      <c r="F92" s="286">
        <v>62.7</v>
      </c>
    </row>
    <row r="93" spans="1:6" ht="15.75">
      <c r="A93" s="58" t="s">
        <v>1063</v>
      </c>
      <c r="B93" s="805" t="s">
        <v>1061</v>
      </c>
      <c r="C93" s="771"/>
      <c r="D93" s="45"/>
      <c r="E93" s="233"/>
      <c r="F93" s="804"/>
    </row>
    <row r="94" spans="1:6" ht="47.25">
      <c r="A94" s="15" t="s">
        <v>138</v>
      </c>
      <c r="B94" s="809" t="s">
        <v>1062</v>
      </c>
      <c r="C94" s="810" t="s">
        <v>85</v>
      </c>
      <c r="D94" s="810">
        <v>30</v>
      </c>
      <c r="E94" s="233">
        <f t="shared" ref="E94" si="3">ROUND($L$22/60*D94,2)</f>
        <v>0</v>
      </c>
      <c r="F94" s="42">
        <v>62.7</v>
      </c>
    </row>
    <row r="95" spans="1:6" ht="15.75">
      <c r="A95" s="58"/>
      <c r="B95" s="806"/>
      <c r="C95" s="806"/>
      <c r="D95" s="807"/>
      <c r="E95" s="808"/>
      <c r="F95" s="804"/>
    </row>
    <row r="96" spans="1:6" ht="15.75">
      <c r="A96" s="296" t="s">
        <v>240</v>
      </c>
      <c r="B96" s="296"/>
      <c r="C96" s="296"/>
      <c r="D96" s="296"/>
      <c r="E96" s="296"/>
      <c r="F96" s="296"/>
    </row>
    <row r="97" spans="1:6" ht="34.9" customHeight="1">
      <c r="A97" s="13" t="s">
        <v>211</v>
      </c>
      <c r="B97" s="15" t="s">
        <v>212</v>
      </c>
      <c r="C97" s="29" t="s">
        <v>492</v>
      </c>
      <c r="D97" s="29" t="s">
        <v>274</v>
      </c>
      <c r="E97" s="29" t="s">
        <v>63</v>
      </c>
      <c r="F97" s="29" t="s">
        <v>491</v>
      </c>
    </row>
    <row r="98" spans="1:6" ht="31.5">
      <c r="A98" s="220">
        <v>1</v>
      </c>
      <c r="B98" s="225" t="s">
        <v>241</v>
      </c>
      <c r="C98" s="225"/>
      <c r="D98" s="225"/>
      <c r="E98" s="225"/>
      <c r="F98" s="225"/>
    </row>
    <row r="99" spans="1:6" ht="31.5">
      <c r="A99" s="13" t="s">
        <v>242</v>
      </c>
      <c r="B99" s="222" t="s">
        <v>243</v>
      </c>
      <c r="C99" s="221" t="s">
        <v>171</v>
      </c>
      <c r="D99" s="15">
        <v>30</v>
      </c>
      <c r="E99" s="28">
        <f>ROUND($L$89/60*D99,2)</f>
        <v>0</v>
      </c>
      <c r="F99" s="42">
        <v>62.3</v>
      </c>
    </row>
    <row r="100" spans="1:6" ht="15.75">
      <c r="A100" s="13" t="s">
        <v>244</v>
      </c>
      <c r="B100" s="222" t="s">
        <v>245</v>
      </c>
      <c r="C100" s="221" t="s">
        <v>171</v>
      </c>
      <c r="D100" s="15">
        <v>30</v>
      </c>
      <c r="E100" s="28">
        <f>ROUND($L$89/60*D100,2)</f>
        <v>0</v>
      </c>
      <c r="F100" s="42">
        <v>62.3</v>
      </c>
    </row>
    <row r="101" spans="1:6" ht="15.75">
      <c r="A101" s="24" t="s">
        <v>246</v>
      </c>
      <c r="B101" s="225" t="s">
        <v>247</v>
      </c>
      <c r="C101" s="226"/>
      <c r="D101" s="226"/>
      <c r="E101" s="28"/>
      <c r="F101" s="226"/>
    </row>
    <row r="102" spans="1:6" ht="63">
      <c r="A102" s="13" t="s">
        <v>248</v>
      </c>
      <c r="B102" s="850" t="s">
        <v>249</v>
      </c>
      <c r="C102" s="32" t="s">
        <v>171</v>
      </c>
      <c r="D102" s="280">
        <v>15</v>
      </c>
      <c r="E102" s="28">
        <f>ROUND($L$89/60*D102,2)</f>
        <v>0</v>
      </c>
      <c r="F102" s="42">
        <v>31.2</v>
      </c>
    </row>
    <row r="103" spans="1:6" ht="47.25">
      <c r="A103" s="13" t="s">
        <v>250</v>
      </c>
      <c r="B103" s="850" t="s">
        <v>252</v>
      </c>
      <c r="C103" s="32" t="s">
        <v>171</v>
      </c>
      <c r="D103" s="280">
        <v>10</v>
      </c>
      <c r="E103" s="28">
        <f>ROUND($L$89/60*D103,2)</f>
        <v>0</v>
      </c>
      <c r="F103" s="42">
        <v>20.8</v>
      </c>
    </row>
    <row r="104" spans="1:6" ht="21" customHeight="1">
      <c r="A104" s="13" t="s">
        <v>251</v>
      </c>
      <c r="B104" s="21" t="s">
        <v>253</v>
      </c>
      <c r="C104" s="32" t="s">
        <v>171</v>
      </c>
      <c r="D104" s="280">
        <v>180</v>
      </c>
      <c r="E104" s="28">
        <f>ROUND($L$89/60*D104,2)</f>
        <v>0</v>
      </c>
      <c r="F104" s="42">
        <v>373.7</v>
      </c>
    </row>
    <row r="105" spans="1:6" ht="15.75">
      <c r="A105" s="13" t="s">
        <v>112</v>
      </c>
      <c r="B105" s="21" t="s">
        <v>965</v>
      </c>
      <c r="C105" s="32" t="s">
        <v>171</v>
      </c>
      <c r="D105" s="280">
        <v>30</v>
      </c>
      <c r="E105" s="28">
        <f>ROUND($L$89/60*D105,2)</f>
        <v>0</v>
      </c>
      <c r="F105" s="42">
        <v>62.3</v>
      </c>
    </row>
    <row r="106" spans="1:6" ht="31.5">
      <c r="A106" s="24" t="s">
        <v>254</v>
      </c>
      <c r="B106" s="225" t="s">
        <v>255</v>
      </c>
      <c r="C106" s="226"/>
      <c r="D106" s="281"/>
      <c r="E106" s="28"/>
      <c r="F106" s="226"/>
    </row>
    <row r="107" spans="1:6" ht="78.75">
      <c r="A107" s="13" t="s">
        <v>256</v>
      </c>
      <c r="B107" s="64" t="s">
        <v>257</v>
      </c>
      <c r="C107" s="32" t="s">
        <v>171</v>
      </c>
      <c r="D107" s="280">
        <v>15</v>
      </c>
      <c r="E107" s="28">
        <f>ROUND($L$89/60*D107,2)</f>
        <v>0</v>
      </c>
      <c r="F107" s="42">
        <v>31.2</v>
      </c>
    </row>
    <row r="108" spans="1:6" ht="63">
      <c r="A108" s="24" t="s">
        <v>258</v>
      </c>
      <c r="B108" s="225" t="s">
        <v>266</v>
      </c>
      <c r="C108" s="225"/>
      <c r="D108" s="282"/>
      <c r="E108" s="28"/>
      <c r="F108" s="225"/>
    </row>
    <row r="109" spans="1:6" ht="47.25">
      <c r="A109" s="13" t="s">
        <v>259</v>
      </c>
      <c r="B109" s="64" t="s">
        <v>267</v>
      </c>
      <c r="C109" s="221" t="s">
        <v>171</v>
      </c>
      <c r="D109" s="280">
        <v>15</v>
      </c>
      <c r="E109" s="28">
        <f t="shared" ref="E109:E115" si="4">ROUND($L$89/60*D109,2)</f>
        <v>0</v>
      </c>
      <c r="F109" s="42">
        <v>31.2</v>
      </c>
    </row>
    <row r="110" spans="1:6" ht="43.9" customHeight="1">
      <c r="A110" s="13" t="s">
        <v>260</v>
      </c>
      <c r="B110" s="21" t="s">
        <v>268</v>
      </c>
      <c r="C110" s="221" t="s">
        <v>171</v>
      </c>
      <c r="D110" s="280">
        <v>20</v>
      </c>
      <c r="E110" s="28">
        <f t="shared" si="4"/>
        <v>0</v>
      </c>
      <c r="F110" s="42">
        <v>41.5</v>
      </c>
    </row>
    <row r="111" spans="1:6" ht="47.25">
      <c r="A111" s="13" t="s">
        <v>261</v>
      </c>
      <c r="B111" s="21" t="s">
        <v>269</v>
      </c>
      <c r="C111" s="223" t="s">
        <v>171</v>
      </c>
      <c r="D111" s="283">
        <v>45</v>
      </c>
      <c r="E111" s="28">
        <f t="shared" si="4"/>
        <v>0</v>
      </c>
      <c r="F111" s="42">
        <v>93.4</v>
      </c>
    </row>
    <row r="112" spans="1:6" ht="31.5">
      <c r="A112" s="13" t="s">
        <v>262</v>
      </c>
      <c r="B112" s="64" t="s">
        <v>270</v>
      </c>
      <c r="C112" s="221" t="s">
        <v>171</v>
      </c>
      <c r="D112" s="280">
        <v>30</v>
      </c>
      <c r="E112" s="28">
        <f t="shared" si="4"/>
        <v>0</v>
      </c>
      <c r="F112" s="42">
        <v>62.3</v>
      </c>
    </row>
    <row r="113" spans="1:7" ht="31.5">
      <c r="A113" s="13" t="s">
        <v>263</v>
      </c>
      <c r="B113" s="64" t="s">
        <v>271</v>
      </c>
      <c r="C113" s="221" t="s">
        <v>171</v>
      </c>
      <c r="D113" s="280">
        <v>20</v>
      </c>
      <c r="E113" s="28">
        <f t="shared" si="4"/>
        <v>0</v>
      </c>
      <c r="F113" s="42">
        <v>41.5</v>
      </c>
    </row>
    <row r="114" spans="1:7" ht="74.45" customHeight="1">
      <c r="A114" s="13" t="s">
        <v>264</v>
      </c>
      <c r="B114" s="831" t="s">
        <v>272</v>
      </c>
      <c r="C114" s="221" t="s">
        <v>486</v>
      </c>
      <c r="D114" s="15">
        <v>20</v>
      </c>
      <c r="E114" s="28">
        <f t="shared" si="4"/>
        <v>0</v>
      </c>
      <c r="F114" s="42">
        <v>41.5</v>
      </c>
    </row>
    <row r="115" spans="1:7" ht="15.75">
      <c r="A115" s="13" t="s">
        <v>265</v>
      </c>
      <c r="B115" s="64" t="s">
        <v>273</v>
      </c>
      <c r="C115" s="221" t="s">
        <v>171</v>
      </c>
      <c r="D115" s="32">
        <v>180</v>
      </c>
      <c r="E115" s="28">
        <f t="shared" si="4"/>
        <v>0</v>
      </c>
      <c r="F115" s="224">
        <v>373.7</v>
      </c>
    </row>
    <row r="116" spans="1:7" ht="15.75">
      <c r="A116" s="293" t="s">
        <v>489</v>
      </c>
      <c r="B116" s="38" t="s">
        <v>490</v>
      </c>
      <c r="C116" s="36"/>
      <c r="D116" s="33"/>
      <c r="E116" s="33"/>
      <c r="F116" s="34"/>
    </row>
    <row r="117" spans="1:7" ht="15.75">
      <c r="A117" s="293"/>
      <c r="B117" s="5"/>
      <c r="C117" s="36"/>
      <c r="D117" s="33"/>
      <c r="E117" s="33"/>
      <c r="F117" s="34"/>
    </row>
    <row r="118" spans="1:7" ht="15.75">
      <c r="A118" s="1080" t="s">
        <v>591</v>
      </c>
      <c r="B118" s="1080"/>
      <c r="C118" s="1080"/>
      <c r="D118" s="1080"/>
      <c r="E118" s="1080"/>
      <c r="F118" s="1080"/>
      <c r="G118" s="90"/>
    </row>
    <row r="119" spans="1:7" ht="13.15" customHeight="1">
      <c r="A119" s="10"/>
      <c r="B119" s="10"/>
      <c r="C119" s="10"/>
      <c r="D119" s="10"/>
      <c r="E119" s="10"/>
      <c r="F119" s="10"/>
      <c r="G119" s="90"/>
    </row>
    <row r="120" spans="1:7" ht="15.75">
      <c r="A120" s="1023" t="s">
        <v>73</v>
      </c>
      <c r="B120" s="1023"/>
      <c r="C120" s="1023"/>
      <c r="D120" s="1023"/>
      <c r="E120" s="1023"/>
      <c r="F120" s="1023"/>
      <c r="G120" s="90"/>
    </row>
    <row r="121" spans="1:7" ht="36.6" customHeight="1">
      <c r="A121" s="22" t="s">
        <v>211</v>
      </c>
      <c r="B121" s="29" t="s">
        <v>212</v>
      </c>
      <c r="C121" s="29" t="s">
        <v>564</v>
      </c>
      <c r="D121" s="29" t="s">
        <v>274</v>
      </c>
      <c r="E121" s="29" t="s">
        <v>275</v>
      </c>
      <c r="F121" s="29" t="s">
        <v>491</v>
      </c>
    </row>
    <row r="122" spans="1:7" ht="15.75">
      <c r="A122" s="88" t="s">
        <v>296</v>
      </c>
      <c r="B122" s="87" t="s">
        <v>214</v>
      </c>
      <c r="C122" s="87"/>
      <c r="D122" s="88"/>
      <c r="E122" s="88"/>
      <c r="F122" s="827"/>
    </row>
    <row r="123" spans="1:7" ht="31.5">
      <c r="A123" s="88" t="s">
        <v>66</v>
      </c>
      <c r="B123" s="845" t="s">
        <v>161</v>
      </c>
      <c r="C123" s="88" t="s">
        <v>215</v>
      </c>
      <c r="D123" s="284">
        <v>40</v>
      </c>
      <c r="E123" s="89">
        <f>(F123/60)*D123</f>
        <v>44.333333333333336</v>
      </c>
      <c r="F123" s="89">
        <v>66.5</v>
      </c>
    </row>
    <row r="124" spans="1:7" ht="15.75">
      <c r="A124" s="88" t="s">
        <v>219</v>
      </c>
      <c r="B124" s="87" t="s">
        <v>218</v>
      </c>
      <c r="C124" s="87"/>
      <c r="D124" s="88"/>
      <c r="E124" s="89"/>
      <c r="F124" s="88"/>
    </row>
    <row r="125" spans="1:7" ht="47.25">
      <c r="A125" s="88" t="s">
        <v>179</v>
      </c>
      <c r="B125" s="845" t="s">
        <v>297</v>
      </c>
      <c r="C125" s="88" t="s">
        <v>114</v>
      </c>
      <c r="D125" s="284">
        <v>45</v>
      </c>
      <c r="E125" s="89">
        <f>F125/60*D125</f>
        <v>66.150000000000006</v>
      </c>
      <c r="F125" s="89">
        <v>88.2</v>
      </c>
    </row>
    <row r="126" spans="1:7" ht="15.75">
      <c r="A126" s="88" t="s">
        <v>223</v>
      </c>
      <c r="B126" s="87" t="s">
        <v>220</v>
      </c>
      <c r="C126" s="87"/>
      <c r="D126" s="88"/>
      <c r="E126" s="89"/>
      <c r="F126" s="88"/>
    </row>
    <row r="127" spans="1:7" ht="15.75">
      <c r="A127" s="88" t="s">
        <v>224</v>
      </c>
      <c r="B127" s="845" t="s">
        <v>286</v>
      </c>
      <c r="C127" s="88"/>
      <c r="D127" s="88"/>
      <c r="E127" s="89"/>
      <c r="F127" s="88"/>
    </row>
    <row r="128" spans="1:7" ht="15.75">
      <c r="A128" s="88"/>
      <c r="B128" s="846" t="s">
        <v>519</v>
      </c>
      <c r="C128" s="88" t="s">
        <v>85</v>
      </c>
      <c r="D128" s="284">
        <v>40</v>
      </c>
      <c r="E128" s="89">
        <f>F128/60*D128</f>
        <v>41.333333333333336</v>
      </c>
      <c r="F128" s="89">
        <v>62</v>
      </c>
    </row>
    <row r="129" spans="1:6" ht="15.75">
      <c r="A129" s="88"/>
      <c r="B129" s="846" t="s">
        <v>520</v>
      </c>
      <c r="C129" s="88" t="s">
        <v>85</v>
      </c>
      <c r="D129" s="284">
        <v>45</v>
      </c>
      <c r="E129" s="89">
        <f>F129/60*D129</f>
        <v>51.6</v>
      </c>
      <c r="F129" s="89">
        <v>68.8</v>
      </c>
    </row>
    <row r="130" spans="1:6" ht="15.75">
      <c r="A130" s="88" t="s">
        <v>225</v>
      </c>
      <c r="B130" s="845" t="s">
        <v>779</v>
      </c>
      <c r="C130" s="88" t="s">
        <v>288</v>
      </c>
      <c r="D130" s="284">
        <v>55</v>
      </c>
      <c r="E130" s="89">
        <f>$H$15/60*D130</f>
        <v>0</v>
      </c>
      <c r="F130" s="89">
        <v>139.1</v>
      </c>
    </row>
    <row r="131" spans="1:6" ht="15.75">
      <c r="A131" s="88" t="s">
        <v>1113</v>
      </c>
      <c r="B131" s="845" t="s">
        <v>780</v>
      </c>
      <c r="C131" s="88" t="s">
        <v>288</v>
      </c>
      <c r="D131" s="284">
        <v>45</v>
      </c>
      <c r="E131" s="89"/>
      <c r="F131" s="89">
        <v>113.8</v>
      </c>
    </row>
    <row r="132" spans="1:6" ht="31.5">
      <c r="A132" s="88" t="s">
        <v>226</v>
      </c>
      <c r="B132" s="845" t="s">
        <v>301</v>
      </c>
      <c r="C132" s="88" t="s">
        <v>85</v>
      </c>
      <c r="D132" s="284">
        <v>60</v>
      </c>
      <c r="E132" s="89"/>
      <c r="F132" s="89">
        <v>117.6</v>
      </c>
    </row>
    <row r="133" spans="1:6" ht="15.75">
      <c r="A133" s="88" t="s">
        <v>235</v>
      </c>
      <c r="B133" s="847" t="s">
        <v>234</v>
      </c>
      <c r="C133" s="87"/>
      <c r="D133" s="88"/>
      <c r="E133" s="89"/>
      <c r="F133" s="89"/>
    </row>
    <row r="134" spans="1:6" ht="60.6" customHeight="1">
      <c r="A134" s="88" t="s">
        <v>126</v>
      </c>
      <c r="B134" s="21" t="s">
        <v>165</v>
      </c>
      <c r="C134" s="88" t="s">
        <v>292</v>
      </c>
      <c r="D134" s="88">
        <v>120</v>
      </c>
      <c r="E134" s="89">
        <f>$H$8/60*D134</f>
        <v>0</v>
      </c>
      <c r="F134" s="89">
        <v>199.6</v>
      </c>
    </row>
    <row r="135" spans="1:6" ht="15.75">
      <c r="A135" s="88" t="s">
        <v>238</v>
      </c>
      <c r="B135" s="87" t="s">
        <v>237</v>
      </c>
      <c r="C135" s="87"/>
      <c r="D135" s="88"/>
      <c r="E135" s="89"/>
      <c r="F135" s="89"/>
    </row>
    <row r="136" spans="1:6" ht="28.15" customHeight="1">
      <c r="A136" s="88" t="s">
        <v>138</v>
      </c>
      <c r="B136" s="845" t="s">
        <v>293</v>
      </c>
      <c r="C136" s="88" t="s">
        <v>294</v>
      </c>
      <c r="D136" s="88">
        <v>30</v>
      </c>
      <c r="E136" s="89">
        <f>F136/60*D136</f>
        <v>24.95</v>
      </c>
      <c r="F136" s="89">
        <v>49.9</v>
      </c>
    </row>
    <row r="137" spans="1:6" ht="31.5">
      <c r="A137" s="88" t="s">
        <v>289</v>
      </c>
      <c r="B137" s="845" t="s">
        <v>629</v>
      </c>
      <c r="C137" s="88" t="s">
        <v>85</v>
      </c>
      <c r="D137" s="88">
        <v>160</v>
      </c>
      <c r="E137" s="89"/>
      <c r="F137" s="89">
        <v>266.10000000000002</v>
      </c>
    </row>
    <row r="138" spans="1:6" ht="15.75">
      <c r="A138" s="88" t="s">
        <v>290</v>
      </c>
      <c r="B138" s="845" t="s">
        <v>781</v>
      </c>
      <c r="C138" s="88" t="s">
        <v>85</v>
      </c>
      <c r="D138" s="88">
        <v>60</v>
      </c>
      <c r="E138" s="89">
        <f>F138/60*D138</f>
        <v>122.9</v>
      </c>
      <c r="F138" s="89">
        <v>122.9</v>
      </c>
    </row>
    <row r="139" spans="1:6" ht="15.75">
      <c r="A139" s="88" t="s">
        <v>630</v>
      </c>
      <c r="B139" s="845" t="s">
        <v>782</v>
      </c>
      <c r="C139" s="88" t="s">
        <v>85</v>
      </c>
      <c r="D139" s="88">
        <v>60</v>
      </c>
      <c r="E139" s="89">
        <f>F139/60*D139</f>
        <v>169.9</v>
      </c>
      <c r="F139" s="89">
        <v>169.9</v>
      </c>
    </row>
    <row r="140" spans="1:6" ht="15.75">
      <c r="A140" s="333">
        <v>6</v>
      </c>
      <c r="B140" s="87" t="s">
        <v>1110</v>
      </c>
      <c r="C140" s="848"/>
      <c r="D140" s="848"/>
      <c r="E140" s="848"/>
      <c r="F140" s="848"/>
    </row>
    <row r="141" spans="1:6" ht="47.25">
      <c r="A141" s="88" t="s">
        <v>141</v>
      </c>
      <c r="B141" s="849" t="s">
        <v>1091</v>
      </c>
      <c r="C141" s="88" t="s">
        <v>85</v>
      </c>
      <c r="D141" s="284">
        <v>30</v>
      </c>
      <c r="E141" s="89"/>
      <c r="F141" s="89">
        <v>66.599999999999994</v>
      </c>
    </row>
    <row r="142" spans="1:6" ht="15.75">
      <c r="A142" s="454"/>
      <c r="B142" s="454"/>
      <c r="C142" s="454"/>
      <c r="D142" s="454"/>
      <c r="E142" s="454"/>
      <c r="F142" s="454"/>
    </row>
    <row r="143" spans="1:6" ht="15.75">
      <c r="A143" s="1080" t="s">
        <v>590</v>
      </c>
      <c r="B143" s="1080"/>
      <c r="C143" s="1080"/>
      <c r="D143" s="1080"/>
      <c r="E143" s="1080"/>
      <c r="F143" s="445"/>
    </row>
    <row r="144" spans="1:6" ht="6" customHeight="1">
      <c r="A144" s="10"/>
      <c r="B144" s="10"/>
      <c r="C144" s="10"/>
      <c r="D144" s="10"/>
      <c r="E144" s="10"/>
      <c r="F144" s="10"/>
    </row>
    <row r="145" spans="1:6" ht="14.45" customHeight="1">
      <c r="A145" s="1023" t="s">
        <v>76</v>
      </c>
      <c r="B145" s="1023"/>
      <c r="C145" s="1023"/>
      <c r="D145" s="1023"/>
      <c r="E145" s="1023"/>
      <c r="F145" s="398"/>
    </row>
    <row r="146" spans="1:6" ht="32.450000000000003" customHeight="1">
      <c r="A146" s="22" t="s">
        <v>211</v>
      </c>
      <c r="B146" s="29" t="s">
        <v>212</v>
      </c>
      <c r="C146" s="29" t="s">
        <v>488</v>
      </c>
      <c r="D146" s="29" t="s">
        <v>274</v>
      </c>
      <c r="E146" s="29" t="s">
        <v>554</v>
      </c>
      <c r="F146" s="29" t="s">
        <v>722</v>
      </c>
    </row>
    <row r="147" spans="1:6" ht="30.6" customHeight="1">
      <c r="A147" s="13" t="s">
        <v>296</v>
      </c>
      <c r="B147" s="813" t="s">
        <v>478</v>
      </c>
      <c r="C147" s="240"/>
      <c r="D147" s="240"/>
      <c r="E147" s="241"/>
      <c r="F147" s="241"/>
    </row>
    <row r="148" spans="1:6" ht="31.5">
      <c r="A148" s="13" t="s">
        <v>66</v>
      </c>
      <c r="B148" s="850" t="s">
        <v>463</v>
      </c>
      <c r="C148" s="242"/>
      <c r="D148" s="242"/>
      <c r="E148" s="243"/>
      <c r="F148" s="243"/>
    </row>
    <row r="149" spans="1:6" ht="15.75">
      <c r="A149" s="13" t="s">
        <v>464</v>
      </c>
      <c r="B149" s="815" t="s">
        <v>466</v>
      </c>
      <c r="C149" s="198" t="s">
        <v>171</v>
      </c>
      <c r="D149" s="198">
        <v>15</v>
      </c>
      <c r="E149" s="199">
        <f>('міос,ноги,короб,алімп, корон'!E157+'міос,ноги,короб,алімп, корон'!E162)/60*'ІІІ відділення'!D145</f>
        <v>0</v>
      </c>
      <c r="F149" s="199">
        <v>9.8000000000000007</v>
      </c>
    </row>
    <row r="150" spans="1:6" ht="15.75">
      <c r="A150" s="13" t="s">
        <v>465</v>
      </c>
      <c r="B150" s="815" t="s">
        <v>715</v>
      </c>
      <c r="C150" s="198" t="s">
        <v>171</v>
      </c>
      <c r="D150" s="198">
        <v>15</v>
      </c>
      <c r="E150" s="199">
        <f>('міос,ноги,короб,алімп, корон'!E157+'міос,ноги,короб,алімп, корон'!E180)/60*'ІІІ відділення'!D146</f>
        <v>0</v>
      </c>
      <c r="F150" s="199">
        <v>10</v>
      </c>
    </row>
    <row r="151" spans="1:6" ht="15.75">
      <c r="A151" s="13" t="s">
        <v>467</v>
      </c>
      <c r="B151" s="611" t="s">
        <v>485</v>
      </c>
      <c r="C151" s="198" t="s">
        <v>171</v>
      </c>
      <c r="D151" s="198">
        <v>15</v>
      </c>
      <c r="E151" s="199">
        <f>('міос,ноги,короб,алімп, корон'!E157+'міос,ноги,короб,алімп, корон'!E184)/60*'ІІІ відділення'!D149</f>
        <v>0</v>
      </c>
      <c r="F151" s="199">
        <v>10.9</v>
      </c>
    </row>
    <row r="152" spans="1:6" ht="15.75">
      <c r="A152" s="13" t="s">
        <v>469</v>
      </c>
      <c r="B152" s="608" t="s">
        <v>716</v>
      </c>
      <c r="C152" s="198" t="s">
        <v>171</v>
      </c>
      <c r="D152" s="198">
        <v>15</v>
      </c>
      <c r="E152" s="199">
        <f>('міос,ноги,короб,алімп, корон'!E157+'міос,ноги,короб,алімп, корон'!E187)/60*'ІІІ відділення'!D150</f>
        <v>0</v>
      </c>
      <c r="F152" s="199">
        <v>10.4</v>
      </c>
    </row>
    <row r="153" spans="1:6" ht="15.75">
      <c r="A153" s="13" t="s">
        <v>244</v>
      </c>
      <c r="B153" s="7" t="s">
        <v>512</v>
      </c>
      <c r="C153" s="6"/>
      <c r="D153" s="6"/>
      <c r="E153" s="6"/>
      <c r="F153" s="199"/>
    </row>
    <row r="154" spans="1:6" ht="15.75">
      <c r="A154" s="13" t="s">
        <v>765</v>
      </c>
      <c r="B154" s="7" t="s">
        <v>512</v>
      </c>
      <c r="C154" s="198" t="s">
        <v>171</v>
      </c>
      <c r="D154" s="198">
        <v>2</v>
      </c>
      <c r="E154" s="199">
        <f>'вимір. тиску'!D175/60*'ІІІ відділення'!D153</f>
        <v>0</v>
      </c>
      <c r="F154" s="199">
        <v>5</v>
      </c>
    </row>
    <row r="155" spans="1:6" ht="15.75">
      <c r="A155" s="238" t="s">
        <v>219</v>
      </c>
      <c r="B155" s="818" t="s">
        <v>145</v>
      </c>
      <c r="C155" s="198"/>
      <c r="D155" s="198"/>
      <c r="E155" s="199"/>
      <c r="F155" s="199"/>
    </row>
    <row r="156" spans="1:6" ht="65.45" customHeight="1">
      <c r="A156" s="238" t="s">
        <v>179</v>
      </c>
      <c r="B156" s="820" t="s">
        <v>721</v>
      </c>
      <c r="C156" s="239" t="s">
        <v>171</v>
      </c>
      <c r="D156" s="239">
        <v>30</v>
      </c>
      <c r="E156" s="203">
        <f>(Психолог!E153+Психолог!E162)/60*'ІІІ відділення'!D155</f>
        <v>0</v>
      </c>
      <c r="F156" s="203">
        <v>54.7</v>
      </c>
    </row>
    <row r="157" spans="1:6" ht="31.9" customHeight="1">
      <c r="A157" s="238" t="s">
        <v>107</v>
      </c>
      <c r="B157" s="820" t="s">
        <v>764</v>
      </c>
      <c r="C157" s="239" t="s">
        <v>171</v>
      </c>
      <c r="D157" s="239">
        <v>45</v>
      </c>
      <c r="E157" s="203">
        <f>(Психолог!E153+Психолог!E162)/60*'ІІІ відділення'!D156</f>
        <v>0</v>
      </c>
      <c r="F157" s="203">
        <v>82.1</v>
      </c>
    </row>
    <row r="158" spans="1:6" ht="31.5">
      <c r="A158" s="238" t="s">
        <v>182</v>
      </c>
      <c r="B158" s="821" t="s">
        <v>479</v>
      </c>
      <c r="C158" s="239" t="s">
        <v>171</v>
      </c>
      <c r="D158" s="239">
        <v>60</v>
      </c>
      <c r="E158" s="203">
        <f>(Психолог!E153+Психолог!E162)/60*'ІІІ відділення'!D157</f>
        <v>0</v>
      </c>
      <c r="F158" s="203">
        <v>109.5</v>
      </c>
    </row>
    <row r="159" spans="1:6" ht="31.5">
      <c r="A159" s="1073" t="s">
        <v>112</v>
      </c>
      <c r="B159" s="821" t="s">
        <v>749</v>
      </c>
      <c r="C159" s="1074" t="s">
        <v>477</v>
      </c>
      <c r="D159" s="1074">
        <v>30</v>
      </c>
      <c r="E159" s="203">
        <f>('фітотер, оксиген, аромотер'!E156+'фітотер, оксиген, аромотер'!E184)/60*'ІІІ відділення'!D158</f>
        <v>0</v>
      </c>
      <c r="F159" s="203">
        <v>72.400000000000006</v>
      </c>
    </row>
    <row r="160" spans="1:6" ht="15.75">
      <c r="A160" s="1073"/>
      <c r="B160" s="860" t="s">
        <v>723</v>
      </c>
      <c r="C160" s="1074"/>
      <c r="D160" s="1074"/>
      <c r="E160" s="203">
        <f>E159/10</f>
        <v>0</v>
      </c>
      <c r="F160" s="203">
        <v>7.2</v>
      </c>
    </row>
    <row r="161" spans="1:6" ht="15.75">
      <c r="A161" s="238" t="s">
        <v>223</v>
      </c>
      <c r="B161" s="27" t="s">
        <v>480</v>
      </c>
      <c r="C161" s="198"/>
      <c r="D161" s="198"/>
      <c r="E161" s="199"/>
      <c r="F161" s="199"/>
    </row>
    <row r="162" spans="1:6" ht="60.6" customHeight="1">
      <c r="A162" s="238" t="s">
        <v>224</v>
      </c>
      <c r="B162" s="19" t="s">
        <v>719</v>
      </c>
      <c r="C162" s="6"/>
      <c r="D162" s="6"/>
      <c r="E162" s="6"/>
      <c r="F162" s="6"/>
    </row>
    <row r="163" spans="1:6" ht="20.45" customHeight="1">
      <c r="A163" s="1083" t="s">
        <v>766</v>
      </c>
      <c r="B163" s="19" t="s">
        <v>1139</v>
      </c>
      <c r="C163" s="1117" t="s">
        <v>477</v>
      </c>
      <c r="D163" s="1117">
        <v>30</v>
      </c>
      <c r="E163" s="6"/>
      <c r="F163" s="203">
        <v>72.599999999999994</v>
      </c>
    </row>
    <row r="164" spans="1:6" ht="15" customHeight="1">
      <c r="A164" s="1084"/>
      <c r="B164" s="861" t="s">
        <v>723</v>
      </c>
      <c r="C164" s="1118"/>
      <c r="D164" s="1118"/>
      <c r="E164" s="203">
        <f>'фіз.реаб театр., зан.в залі'!E157/60*'ІІІ відділення'!D162</f>
        <v>0</v>
      </c>
      <c r="F164" s="203">
        <f>7.3</f>
        <v>7.3</v>
      </c>
    </row>
    <row r="165" spans="1:6" ht="15.75">
      <c r="A165" s="1076" t="s">
        <v>767</v>
      </c>
      <c r="B165" s="19" t="s">
        <v>842</v>
      </c>
      <c r="C165" s="1074" t="s">
        <v>477</v>
      </c>
      <c r="D165" s="1119">
        <v>60</v>
      </c>
      <c r="E165" s="199">
        <f>('фіз.реаб театр., зан.в залі'!E157+'фіз.реаб театр., зан.в залі'!E154+'фіз.реаб театр., зан.в залі'!E176)/60*'ІІІ відділення'!D163</f>
        <v>0</v>
      </c>
      <c r="F165" s="199">
        <v>158.6</v>
      </c>
    </row>
    <row r="166" spans="1:6" ht="15.75">
      <c r="A166" s="1076"/>
      <c r="B166" s="861" t="s">
        <v>723</v>
      </c>
      <c r="C166" s="1074"/>
      <c r="D166" s="1120"/>
      <c r="E166" s="199">
        <f>E165/4</f>
        <v>0</v>
      </c>
      <c r="F166" s="199">
        <v>39.6</v>
      </c>
    </row>
    <row r="167" spans="1:6" ht="15.75">
      <c r="A167" s="289" t="s">
        <v>768</v>
      </c>
      <c r="B167" s="19" t="s">
        <v>843</v>
      </c>
      <c r="C167" s="198" t="s">
        <v>171</v>
      </c>
      <c r="D167" s="198">
        <v>30</v>
      </c>
      <c r="E167" s="604">
        <f>('фіз.реаб театр., зан.в залі'!E157+'фіз.реаб театр., зан.в залі'!E176+'фіз.реаб театр., зан.в залі'!E158)/60*'ІІІ відділення'!D165</f>
        <v>0</v>
      </c>
      <c r="F167" s="199">
        <v>74.599999999999994</v>
      </c>
    </row>
    <row r="168" spans="1:6" ht="15.75">
      <c r="A168" s="1076" t="s">
        <v>769</v>
      </c>
      <c r="B168" s="19" t="s">
        <v>748</v>
      </c>
      <c r="C168" s="1077" t="s">
        <v>477</v>
      </c>
      <c r="D168" s="1077">
        <v>30</v>
      </c>
      <c r="E168" s="199">
        <f>('фітотер, оксиген, аромотер'!E156+'фітотер, оксиген, аромотер'!E169)/60*D168</f>
        <v>0</v>
      </c>
      <c r="F168" s="199">
        <v>91.5</v>
      </c>
    </row>
    <row r="169" spans="1:6" ht="15.75">
      <c r="A169" s="1076"/>
      <c r="B169" s="862" t="s">
        <v>723</v>
      </c>
      <c r="C169" s="1077"/>
      <c r="D169" s="1077"/>
      <c r="E169" s="286">
        <f>E168/10</f>
        <v>0</v>
      </c>
      <c r="F169" s="286">
        <v>9.1999999999999993</v>
      </c>
    </row>
    <row r="170" spans="1:6" ht="15.75">
      <c r="A170" s="1076" t="s">
        <v>771</v>
      </c>
      <c r="B170" s="21" t="s">
        <v>770</v>
      </c>
      <c r="C170" s="1077" t="s">
        <v>477</v>
      </c>
      <c r="D170" s="1077">
        <v>30</v>
      </c>
      <c r="E170" s="199">
        <f>(('фітотер, оксиген, аромотер'!E156+'фітотер, оксиген, аромотер'!E177)/60*'ІІІ відділення'!D168)</f>
        <v>0</v>
      </c>
      <c r="F170" s="199">
        <v>83.6</v>
      </c>
    </row>
    <row r="171" spans="1:6" ht="15.75">
      <c r="A171" s="1076"/>
      <c r="B171" s="862" t="s">
        <v>723</v>
      </c>
      <c r="C171" s="1077"/>
      <c r="D171" s="1077"/>
      <c r="E171" s="199">
        <f>E170/10</f>
        <v>0</v>
      </c>
      <c r="F171" s="199">
        <v>8.4</v>
      </c>
    </row>
    <row r="172" spans="1:6" ht="15.75">
      <c r="A172" s="289" t="s">
        <v>772</v>
      </c>
      <c r="B172" s="21" t="s">
        <v>654</v>
      </c>
      <c r="C172" s="198" t="s">
        <v>171</v>
      </c>
      <c r="D172" s="198">
        <v>30</v>
      </c>
      <c r="E172" s="199">
        <f>('масаж, сераг,нуга, релакс'!E156/60)*'ІІІ відділення'!D170</f>
        <v>0</v>
      </c>
      <c r="F172" s="199">
        <v>76.7</v>
      </c>
    </row>
    <row r="173" spans="1:6" ht="15.75">
      <c r="A173" s="289" t="s">
        <v>773</v>
      </c>
      <c r="B173" s="815" t="s">
        <v>468</v>
      </c>
      <c r="C173" s="198" t="s">
        <v>171</v>
      </c>
      <c r="D173" s="460">
        <v>40</v>
      </c>
      <c r="E173" s="604">
        <f>('масаж, сераг,нуга, релакс'!E168+'масаж, сераг,нуга, релакс'!E176)/60*'ІІІ відділення'!D171</f>
        <v>0</v>
      </c>
      <c r="F173" s="199">
        <v>28.1</v>
      </c>
    </row>
    <row r="174" spans="1:6" ht="15.75">
      <c r="A174" s="289" t="s">
        <v>774</v>
      </c>
      <c r="B174" s="815" t="s">
        <v>717</v>
      </c>
      <c r="C174" s="239" t="s">
        <v>171</v>
      </c>
      <c r="D174" s="239">
        <v>37</v>
      </c>
      <c r="E174" s="286">
        <f>('масаж, сераг,нуга, релакс'!E168+'масаж, сераг,нуга, релакс'!E181)/60*'ІІІ відділення'!D172</f>
        <v>0</v>
      </c>
      <c r="F174" s="286">
        <v>25.7</v>
      </c>
    </row>
    <row r="175" spans="1:6" ht="15.75">
      <c r="A175" s="289" t="s">
        <v>778</v>
      </c>
      <c r="B175" s="815" t="s">
        <v>718</v>
      </c>
      <c r="C175" s="239" t="s">
        <v>171</v>
      </c>
      <c r="D175" s="239">
        <v>20</v>
      </c>
      <c r="E175" s="199">
        <f>('масаж, сераг,нуга, релакс'!E168+'масаж, сераг,нуга, релакс'!E187)/60*'ІІІ відділення'!D173</f>
        <v>0</v>
      </c>
      <c r="F175" s="199">
        <v>15.8</v>
      </c>
    </row>
    <row r="176" spans="1:6" ht="15.75">
      <c r="A176" s="289" t="s">
        <v>1134</v>
      </c>
      <c r="B176" s="816" t="s">
        <v>484</v>
      </c>
      <c r="C176" s="198" t="s">
        <v>171</v>
      </c>
      <c r="D176" s="198">
        <v>10</v>
      </c>
      <c r="E176" s="199">
        <f>('міос,ноги,короб,алімп, корон'!E180+'міос,ноги,короб,алімп, корон'!E215)/60*'ІІІ відділення'!D174</f>
        <v>0</v>
      </c>
      <c r="F176" s="199">
        <v>6.6</v>
      </c>
    </row>
    <row r="177" spans="1:6" ht="29.45" customHeight="1">
      <c r="A177" s="13" t="s">
        <v>225</v>
      </c>
      <c r="B177" s="14" t="s">
        <v>776</v>
      </c>
      <c r="C177" s="6"/>
      <c r="D177" s="6"/>
      <c r="E177" s="6"/>
      <c r="F177" s="6"/>
    </row>
    <row r="178" spans="1:6" ht="31.5">
      <c r="A178" s="1075" t="s">
        <v>777</v>
      </c>
      <c r="B178" s="820" t="s">
        <v>750</v>
      </c>
      <c r="C178" s="1074" t="s">
        <v>477</v>
      </c>
      <c r="D178" s="1074">
        <v>90</v>
      </c>
      <c r="E178" s="203">
        <f>(теніс!E152+теніс!E158)/60*'ІІІ відділення'!D175</f>
        <v>0</v>
      </c>
      <c r="F178" s="203">
        <v>240.3</v>
      </c>
    </row>
    <row r="179" spans="1:6" ht="15.75">
      <c r="A179" s="1075"/>
      <c r="B179" s="861" t="s">
        <v>723</v>
      </c>
      <c r="C179" s="1074"/>
      <c r="D179" s="1074"/>
      <c r="E179" s="203">
        <f>E178/4</f>
        <v>0</v>
      </c>
      <c r="F179" s="203">
        <v>60.1</v>
      </c>
    </row>
    <row r="180" spans="1:6" ht="15.75">
      <c r="A180" s="219" t="s">
        <v>489</v>
      </c>
      <c r="B180" s="5" t="s">
        <v>490</v>
      </c>
      <c r="C180" s="573"/>
      <c r="D180" s="5"/>
      <c r="E180" s="5"/>
      <c r="F180" s="5"/>
    </row>
    <row r="181" spans="1:6" ht="15.75">
      <c r="A181" s="195" t="s">
        <v>720</v>
      </c>
      <c r="B181" s="5" t="s">
        <v>1179</v>
      </c>
      <c r="C181" s="5"/>
      <c r="D181" s="5"/>
      <c r="E181" s="5"/>
      <c r="F181" s="5"/>
    </row>
    <row r="182" spans="1:6" ht="49.15" customHeight="1">
      <c r="A182" s="22" t="s">
        <v>211</v>
      </c>
      <c r="B182" s="29" t="s">
        <v>212</v>
      </c>
      <c r="C182" s="29" t="s">
        <v>560</v>
      </c>
      <c r="D182" s="29" t="s">
        <v>596</v>
      </c>
      <c r="E182" s="29" t="s">
        <v>554</v>
      </c>
      <c r="F182" s="29" t="s">
        <v>722</v>
      </c>
    </row>
    <row r="183" spans="1:6" ht="15.75">
      <c r="A183" s="13" t="s">
        <v>296</v>
      </c>
      <c r="B183" s="64" t="s">
        <v>594</v>
      </c>
      <c r="C183" s="58" t="s">
        <v>171</v>
      </c>
      <c r="D183" s="15">
        <v>24</v>
      </c>
      <c r="E183" s="286">
        <f>E184-200</f>
        <v>-200</v>
      </c>
      <c r="F183" s="286">
        <v>334.3</v>
      </c>
    </row>
    <row r="184" spans="1:6" ht="15.75">
      <c r="A184" s="13" t="s">
        <v>296</v>
      </c>
      <c r="B184" s="64" t="s">
        <v>595</v>
      </c>
      <c r="C184" s="58" t="s">
        <v>171</v>
      </c>
      <c r="D184" s="15">
        <v>24</v>
      </c>
      <c r="E184" s="286">
        <f>'адм.сес.мед і соц.роб. цілодоб.'!M165</f>
        <v>0</v>
      </c>
      <c r="F184" s="286">
        <v>534.29999999999995</v>
      </c>
    </row>
    <row r="185" spans="1:6" ht="15.75">
      <c r="A185" s="219" t="s">
        <v>489</v>
      </c>
      <c r="B185" s="5" t="s">
        <v>490</v>
      </c>
      <c r="C185" s="299"/>
      <c r="D185" s="169"/>
      <c r="E185" s="300"/>
      <c r="F185" s="300"/>
    </row>
    <row r="186" spans="1:6" ht="15.75">
      <c r="A186" s="297" t="s">
        <v>223</v>
      </c>
      <c r="B186" s="1081" t="s">
        <v>1127</v>
      </c>
      <c r="C186" s="1081"/>
      <c r="D186" s="1081"/>
      <c r="E186" s="1081"/>
      <c r="F186" s="1081"/>
    </row>
    <row r="187" spans="1:6" ht="29.45" customHeight="1">
      <c r="A187" s="1075" t="s">
        <v>296</v>
      </c>
      <c r="B187" s="614" t="s">
        <v>1148</v>
      </c>
      <c r="C187" s="1108" t="s">
        <v>1138</v>
      </c>
      <c r="D187" s="1110">
        <v>80</v>
      </c>
      <c r="E187" s="863">
        <f>ROUND(([1]УТВ!E189+[1]УТВ!E201+[1]УТВ!E206)/60*'[1]ІІІ відділення'!D186,2)</f>
        <v>0</v>
      </c>
      <c r="F187" s="871">
        <v>570.70000000000005</v>
      </c>
    </row>
    <row r="188" spans="1:6" ht="15.75">
      <c r="A188" s="1075"/>
      <c r="B188" s="870" t="s">
        <v>1112</v>
      </c>
      <c r="C188" s="1109"/>
      <c r="D188" s="1111"/>
      <c r="E188" s="203">
        <f>ROUND(E187/15,2)</f>
        <v>0</v>
      </c>
      <c r="F188" s="9">
        <v>38.1</v>
      </c>
    </row>
    <row r="189" spans="1:6" ht="46.15" customHeight="1">
      <c r="A189" s="1075" t="s">
        <v>219</v>
      </c>
      <c r="B189" s="614" t="s">
        <v>1155</v>
      </c>
      <c r="C189" s="1108" t="s">
        <v>1138</v>
      </c>
      <c r="D189" s="1110">
        <v>80</v>
      </c>
      <c r="E189" s="863">
        <f>ROUND(([1]УТВ!E189+[1]УТВ!E214+[1]УТВ!E218)/60*D189,2)</f>
        <v>0</v>
      </c>
      <c r="F189" s="871">
        <v>569.70000000000005</v>
      </c>
    </row>
    <row r="190" spans="1:6" ht="15.75">
      <c r="A190" s="1075"/>
      <c r="B190" s="870" t="s">
        <v>1112</v>
      </c>
      <c r="C190" s="1109"/>
      <c r="D190" s="1111"/>
      <c r="E190" s="203">
        <f>E189/15</f>
        <v>0</v>
      </c>
      <c r="F190" s="9">
        <v>38</v>
      </c>
    </row>
    <row r="191" spans="1:6" ht="15.75">
      <c r="A191" s="1075" t="s">
        <v>223</v>
      </c>
      <c r="B191" s="614" t="s">
        <v>1149</v>
      </c>
      <c r="C191" s="1108" t="s">
        <v>477</v>
      </c>
      <c r="D191" s="1110">
        <v>80</v>
      </c>
      <c r="E191" s="443">
        <f>ROUND(([1]УТВ!E189+[1]УТВ!E233+[1]УТВ!E240)/60*'[1]ІІІ відділення'!D190,2)</f>
        <v>0</v>
      </c>
      <c r="F191" s="9">
        <v>567.1</v>
      </c>
    </row>
    <row r="192" spans="1:6" ht="15.75">
      <c r="A192" s="1075"/>
      <c r="B192" s="870" t="s">
        <v>1112</v>
      </c>
      <c r="C192" s="1109"/>
      <c r="D192" s="1111"/>
      <c r="E192" s="203">
        <f>E191/15</f>
        <v>0</v>
      </c>
      <c r="F192" s="9">
        <v>37.799999999999997</v>
      </c>
    </row>
    <row r="193" spans="1:6" ht="15.75">
      <c r="A193" s="1075" t="s">
        <v>235</v>
      </c>
      <c r="B193" s="614" t="s">
        <v>1150</v>
      </c>
      <c r="C193" s="1108" t="s">
        <v>1138</v>
      </c>
      <c r="D193" s="1110">
        <v>80</v>
      </c>
      <c r="E193" s="443">
        <f>ROUND(([1]УТВ!E189+[1]УТВ!E236+[1]УТВ!E240)/60*'[1]ІІІ відділення'!D192,2)</f>
        <v>0</v>
      </c>
      <c r="F193" s="9">
        <v>565.20000000000005</v>
      </c>
    </row>
    <row r="194" spans="1:6" ht="15.75">
      <c r="A194" s="1075"/>
      <c r="B194" s="870" t="s">
        <v>1112</v>
      </c>
      <c r="C194" s="1109"/>
      <c r="D194" s="1111"/>
      <c r="E194" s="203">
        <f>E193/15</f>
        <v>0</v>
      </c>
      <c r="F194" s="9">
        <v>37.700000000000003</v>
      </c>
    </row>
    <row r="195" spans="1:6" ht="15.75">
      <c r="A195" s="1075" t="s">
        <v>238</v>
      </c>
      <c r="B195" s="614" t="s">
        <v>1151</v>
      </c>
      <c r="C195" s="1108" t="s">
        <v>477</v>
      </c>
      <c r="D195" s="1110">
        <v>80</v>
      </c>
      <c r="E195" s="443">
        <f>ROUND(([1]УТВ!E189+[1]УТВ!E240)/60*D195,2)</f>
        <v>0</v>
      </c>
      <c r="F195" s="9">
        <v>564.9</v>
      </c>
    </row>
    <row r="196" spans="1:6" ht="15.75">
      <c r="A196" s="1075"/>
      <c r="B196" s="870" t="s">
        <v>1112</v>
      </c>
      <c r="C196" s="1109"/>
      <c r="D196" s="1111"/>
      <c r="E196" s="203">
        <f>E195/15</f>
        <v>0</v>
      </c>
      <c r="F196" s="9">
        <v>37.700000000000003</v>
      </c>
    </row>
    <row r="197" spans="1:6" ht="49.15" customHeight="1">
      <c r="A197" s="1075" t="s">
        <v>1120</v>
      </c>
      <c r="B197" s="614" t="s">
        <v>1152</v>
      </c>
      <c r="C197" s="1108" t="s">
        <v>1138</v>
      </c>
      <c r="D197" s="1110">
        <v>80</v>
      </c>
      <c r="E197" s="864">
        <f>ROUND(([1]УТВ!E189+[1]УТВ!E284+[1]УТВ!E289)/60*'[1]ІІІ відділення'!D196,2)</f>
        <v>0</v>
      </c>
      <c r="F197" s="613">
        <v>592.1</v>
      </c>
    </row>
    <row r="198" spans="1:6" ht="13.9" customHeight="1">
      <c r="A198" s="1075"/>
      <c r="B198" s="870" t="s">
        <v>1112</v>
      </c>
      <c r="C198" s="1109"/>
      <c r="D198" s="1111"/>
      <c r="E198" s="203">
        <f>E197/15</f>
        <v>0</v>
      </c>
      <c r="F198" s="203">
        <v>39.5</v>
      </c>
    </row>
    <row r="199" spans="1:6" ht="31.5">
      <c r="A199" s="1075" t="s">
        <v>1129</v>
      </c>
      <c r="B199" s="614" t="s">
        <v>1153</v>
      </c>
      <c r="C199" s="1108" t="s">
        <v>1138</v>
      </c>
      <c r="D199" s="1110">
        <v>80</v>
      </c>
      <c r="E199" s="443">
        <f>ROUND(([1]УТВ!E189+[1]УТВ!E289)/60*D199,2)</f>
        <v>0</v>
      </c>
      <c r="F199" s="203">
        <v>591.79999999999995</v>
      </c>
    </row>
    <row r="200" spans="1:6" ht="12.6" customHeight="1">
      <c r="A200" s="1075"/>
      <c r="B200" s="870" t="s">
        <v>1112</v>
      </c>
      <c r="C200" s="1109"/>
      <c r="D200" s="1111"/>
      <c r="E200" s="203">
        <f>E199/15</f>
        <v>0</v>
      </c>
      <c r="F200" s="203">
        <v>39.5</v>
      </c>
    </row>
    <row r="201" spans="1:6" ht="15.75">
      <c r="A201" s="1076" t="s">
        <v>1130</v>
      </c>
      <c r="B201" s="614" t="s">
        <v>1154</v>
      </c>
      <c r="C201" s="1108" t="s">
        <v>1111</v>
      </c>
      <c r="D201" s="1110">
        <v>80</v>
      </c>
      <c r="E201" s="865">
        <f>ROUND(([1]УТВ!E189+[1]УТВ!E259+[1]УТВ!E263+[1]УТВ!E267)/60*D201,2)</f>
        <v>0</v>
      </c>
      <c r="F201" s="872">
        <v>589.29999999999995</v>
      </c>
    </row>
    <row r="202" spans="1:6" ht="13.15" customHeight="1">
      <c r="A202" s="1076"/>
      <c r="B202" s="870" t="s">
        <v>1112</v>
      </c>
      <c r="C202" s="1109"/>
      <c r="D202" s="1111"/>
      <c r="E202" s="203">
        <f>E201/15</f>
        <v>0</v>
      </c>
      <c r="F202" s="9">
        <v>39.299999999999997</v>
      </c>
    </row>
    <row r="203" spans="1:6" ht="15.75">
      <c r="A203" s="219" t="s">
        <v>489</v>
      </c>
      <c r="B203" s="5" t="s">
        <v>490</v>
      </c>
      <c r="C203" s="866"/>
      <c r="D203" s="169"/>
      <c r="E203" s="204"/>
      <c r="F203" s="237"/>
    </row>
    <row r="204" spans="1:6" ht="15.75">
      <c r="A204" s="219"/>
      <c r="B204" s="5"/>
      <c r="C204" s="866"/>
      <c r="D204" s="169"/>
      <c r="E204" s="204"/>
      <c r="F204" s="237"/>
    </row>
    <row r="205" spans="1:6" ht="15.75">
      <c r="A205" s="857" t="s">
        <v>1114</v>
      </c>
      <c r="B205" s="858" t="s">
        <v>1157</v>
      </c>
      <c r="C205" s="859"/>
      <c r="D205" s="859"/>
      <c r="E205" s="859"/>
      <c r="F205" s="859"/>
    </row>
    <row r="206" spans="1:6" ht="31.5">
      <c r="A206" s="855" t="s">
        <v>296</v>
      </c>
      <c r="B206" s="907" t="s">
        <v>1097</v>
      </c>
      <c r="C206" s="856"/>
      <c r="D206" s="856"/>
      <c r="E206" s="856"/>
      <c r="F206" s="856"/>
    </row>
    <row r="207" spans="1:6" ht="30.6" customHeight="1">
      <c r="A207" s="238" t="s">
        <v>242</v>
      </c>
      <c r="B207" s="850" t="s">
        <v>1098</v>
      </c>
      <c r="C207" s="810" t="s">
        <v>171</v>
      </c>
      <c r="D207" s="810">
        <v>60</v>
      </c>
      <c r="E207" s="289">
        <f>([1]Психолог!E197+[1]Психолог!E206)/60*'[1]ІІІ відділення'!D204</f>
        <v>0</v>
      </c>
      <c r="F207" s="203">
        <v>109.5</v>
      </c>
    </row>
    <row r="208" spans="1:6" ht="47.45" customHeight="1">
      <c r="A208" s="238" t="s">
        <v>219</v>
      </c>
      <c r="B208" s="813" t="s">
        <v>1099</v>
      </c>
      <c r="C208" s="202"/>
      <c r="D208" s="202"/>
      <c r="E208" s="202"/>
      <c r="F208" s="202"/>
    </row>
    <row r="209" spans="1:6" ht="47.25">
      <c r="A209" s="289" t="s">
        <v>179</v>
      </c>
      <c r="B209" s="850" t="s">
        <v>1100</v>
      </c>
      <c r="C209" s="810" t="s">
        <v>171</v>
      </c>
      <c r="D209" s="810">
        <v>60</v>
      </c>
      <c r="E209" s="289">
        <f>([1]Психолог!E197+[1]Психолог!E206)/60*'[1]ІІІ відділення'!D206</f>
        <v>0</v>
      </c>
      <c r="F209" s="203">
        <v>109.5</v>
      </c>
    </row>
    <row r="210" spans="1:6" ht="15.75">
      <c r="A210" s="289" t="s">
        <v>223</v>
      </c>
      <c r="B210" s="1086" t="s">
        <v>1101</v>
      </c>
      <c r="C210" s="1086"/>
      <c r="D210" s="1086"/>
      <c r="E210" s="1086"/>
      <c r="F210" s="1086"/>
    </row>
    <row r="211" spans="1:6" ht="63">
      <c r="A211" s="289" t="s">
        <v>224</v>
      </c>
      <c r="B211" s="850" t="s">
        <v>1102</v>
      </c>
      <c r="C211" s="810" t="s">
        <v>171</v>
      </c>
      <c r="D211" s="289">
        <v>60</v>
      </c>
      <c r="E211" s="289">
        <f>([1]Психолог!E197+[1]Психолог!E206)/60*'[1]ІІІ відділення'!D208</f>
        <v>0</v>
      </c>
      <c r="F211" s="203">
        <v>109.5</v>
      </c>
    </row>
    <row r="212" spans="1:6" ht="31.5">
      <c r="A212" s="289" t="s">
        <v>225</v>
      </c>
      <c r="B212" s="850" t="s">
        <v>1103</v>
      </c>
      <c r="C212" s="289" t="s">
        <v>171</v>
      </c>
      <c r="D212" s="289">
        <v>45</v>
      </c>
      <c r="E212" s="203">
        <f>([1]Психолог!E197+[1]Психолог!E206)/60*'[1]ІІІ відділення'!D209</f>
        <v>0</v>
      </c>
      <c r="F212" s="203">
        <v>82.1</v>
      </c>
    </row>
    <row r="213" spans="1:6" ht="15.75">
      <c r="A213" s="219" t="s">
        <v>489</v>
      </c>
      <c r="B213" s="5" t="s">
        <v>490</v>
      </c>
      <c r="C213" s="454"/>
      <c r="D213" s="454"/>
      <c r="E213" s="454"/>
      <c r="F213" s="454"/>
    </row>
    <row r="217" spans="1:6" ht="15.75">
      <c r="A217" s="219"/>
      <c r="B217" s="5"/>
      <c r="C217" s="5"/>
      <c r="D217" s="195"/>
      <c r="E217" s="204"/>
    </row>
    <row r="218" spans="1:6" ht="15.75">
      <c r="A218" s="219"/>
      <c r="B218" s="5"/>
      <c r="C218" s="5"/>
      <c r="D218" s="195"/>
      <c r="E218" s="204"/>
    </row>
    <row r="219" spans="1:6" ht="15.75">
      <c r="A219" s="1107" t="s">
        <v>1180</v>
      </c>
      <c r="B219" s="1107"/>
      <c r="C219" s="5"/>
      <c r="D219" s="1121" t="s">
        <v>1107</v>
      </c>
      <c r="E219" s="1121"/>
      <c r="F219" s="1121"/>
    </row>
    <row r="220" spans="1:6" ht="34.15" customHeight="1">
      <c r="E220" s="273"/>
    </row>
    <row r="222" spans="1:6" ht="36" customHeight="1">
      <c r="A222" s="977" t="s">
        <v>1119</v>
      </c>
      <c r="B222" s="977"/>
      <c r="D222" s="273" t="s">
        <v>692</v>
      </c>
    </row>
  </sheetData>
  <mergeCells count="57">
    <mergeCell ref="C195:C196"/>
    <mergeCell ref="C197:C198"/>
    <mergeCell ref="D197:D198"/>
    <mergeCell ref="C199:C200"/>
    <mergeCell ref="D199:D200"/>
    <mergeCell ref="B186:F186"/>
    <mergeCell ref="A187:A188"/>
    <mergeCell ref="A197:A198"/>
    <mergeCell ref="A199:A200"/>
    <mergeCell ref="A222:B222"/>
    <mergeCell ref="A189:A190"/>
    <mergeCell ref="A191:A192"/>
    <mergeCell ref="A193:A194"/>
    <mergeCell ref="A195:A196"/>
    <mergeCell ref="D219:F219"/>
    <mergeCell ref="A201:A202"/>
    <mergeCell ref="B210:F210"/>
    <mergeCell ref="A219:B219"/>
    <mergeCell ref="C201:C202"/>
    <mergeCell ref="D201:D202"/>
    <mergeCell ref="D195:D196"/>
    <mergeCell ref="A163:A164"/>
    <mergeCell ref="C163:C164"/>
    <mergeCell ref="D163:D164"/>
    <mergeCell ref="D165:D166"/>
    <mergeCell ref="A178:A179"/>
    <mergeCell ref="C178:C179"/>
    <mergeCell ref="D178:D179"/>
    <mergeCell ref="A165:A166"/>
    <mergeCell ref="C165:C166"/>
    <mergeCell ref="A168:A169"/>
    <mergeCell ref="C168:C169"/>
    <mergeCell ref="D168:D169"/>
    <mergeCell ref="A159:A160"/>
    <mergeCell ref="A3:F3"/>
    <mergeCell ref="A4:F4"/>
    <mergeCell ref="C9:C13"/>
    <mergeCell ref="C14:C16"/>
    <mergeCell ref="A73:F73"/>
    <mergeCell ref="C159:C160"/>
    <mergeCell ref="D159:D160"/>
    <mergeCell ref="C2:F2"/>
    <mergeCell ref="C191:C192"/>
    <mergeCell ref="D191:D192"/>
    <mergeCell ref="C193:C194"/>
    <mergeCell ref="D193:D194"/>
    <mergeCell ref="A118:F118"/>
    <mergeCell ref="C187:C188"/>
    <mergeCell ref="D187:D188"/>
    <mergeCell ref="C189:C190"/>
    <mergeCell ref="D189:D190"/>
    <mergeCell ref="A170:A171"/>
    <mergeCell ref="C170:C171"/>
    <mergeCell ref="D170:D171"/>
    <mergeCell ref="A120:F120"/>
    <mergeCell ref="A143:E143"/>
    <mergeCell ref="A145:E145"/>
  </mergeCells>
  <printOptions horizontalCentered="1"/>
  <pageMargins left="0.98425196850393704" right="0.51181102362204722" top="0.74803149606299213" bottom="0.55118110236220474" header="0.31496062992125984" footer="0.31496062992125984"/>
  <pageSetup paperSize="9" scale="74" orientation="portrait" r:id="rId1"/>
  <rowBreaks count="6" manualBreakCount="6">
    <brk id="47" max="5" man="1"/>
    <brk id="84" max="5" man="1"/>
    <brk id="113" max="5" man="1"/>
    <brk id="154" max="5" man="1"/>
    <brk id="198" max="5" man="1"/>
    <brk id="223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U50"/>
  <sheetViews>
    <sheetView view="pageBreakPreview" topLeftCell="A4" zoomScale="72" zoomScaleSheetLayoutView="72" workbookViewId="0">
      <selection activeCell="M24" sqref="M24"/>
    </sheetView>
  </sheetViews>
  <sheetFormatPr defaultRowHeight="15"/>
  <cols>
    <col min="1" max="1" width="13.7109375" customWidth="1"/>
    <col min="2" max="2" width="10.7109375" customWidth="1"/>
    <col min="3" max="7" width="11.7109375" customWidth="1"/>
    <col min="8" max="8" width="12.5703125" customWidth="1"/>
    <col min="9" max="9" width="13" customWidth="1"/>
    <col min="10" max="10" width="28.85546875" customWidth="1"/>
    <col min="11" max="11" width="11.42578125" customWidth="1"/>
    <col min="12" max="12" width="17.140625" customWidth="1"/>
    <col min="13" max="13" width="12.28515625" customWidth="1"/>
    <col min="14" max="14" width="9.7109375" bestFit="1" customWidth="1"/>
    <col min="15" max="15" width="19.28515625" customWidth="1"/>
    <col min="16" max="16" width="13.28515625" customWidth="1"/>
    <col min="17" max="17" width="11.140625" customWidth="1"/>
    <col min="18" max="18" width="10.85546875" customWidth="1"/>
  </cols>
  <sheetData>
    <row r="1" spans="1:21" ht="31.9" customHeight="1">
      <c r="A1" s="1132" t="s">
        <v>344</v>
      </c>
      <c r="B1" s="1132"/>
      <c r="C1" s="1132"/>
      <c r="D1" s="1132"/>
      <c r="E1" s="1132"/>
      <c r="F1" s="1132"/>
      <c r="G1" s="1132"/>
      <c r="H1" s="1132"/>
      <c r="I1" s="1132"/>
      <c r="J1" s="1133" t="s">
        <v>547</v>
      </c>
      <c r="K1" s="1133"/>
      <c r="L1" s="1133"/>
      <c r="M1" s="1133"/>
      <c r="N1" s="1133"/>
      <c r="O1" s="1133"/>
      <c r="P1" s="1133"/>
      <c r="Q1" s="1133"/>
    </row>
    <row r="2" spans="1:21" ht="24.6" customHeight="1">
      <c r="A2" s="1125" t="s">
        <v>514</v>
      </c>
      <c r="B2" s="1125"/>
      <c r="C2" s="1125"/>
      <c r="D2" s="1125"/>
      <c r="E2" s="1125"/>
      <c r="F2" s="1125"/>
      <c r="G2" s="1125"/>
      <c r="H2" s="1125"/>
      <c r="I2" s="1125"/>
      <c r="J2" s="1134" t="s">
        <v>539</v>
      </c>
      <c r="K2" s="1134"/>
      <c r="L2" s="1134"/>
      <c r="M2" s="1134"/>
      <c r="N2" s="1134"/>
      <c r="O2" s="278"/>
      <c r="P2" s="278"/>
      <c r="Q2" s="278"/>
      <c r="S2">
        <v>167.48</v>
      </c>
      <c r="T2">
        <v>2009.7</v>
      </c>
    </row>
    <row r="3" spans="1:21" ht="31.9" customHeight="1">
      <c r="A3" s="1091" t="s">
        <v>561</v>
      </c>
      <c r="B3" s="1091"/>
      <c r="C3" s="1091"/>
      <c r="D3" s="1091"/>
      <c r="E3" s="1091"/>
      <c r="F3" s="1091"/>
      <c r="G3" s="1091"/>
      <c r="H3" s="1091"/>
      <c r="I3" s="1091"/>
      <c r="J3" s="931" t="s">
        <v>543</v>
      </c>
      <c r="K3" s="931"/>
      <c r="L3" s="931"/>
      <c r="M3" s="931"/>
      <c r="N3" s="931" t="s">
        <v>518</v>
      </c>
      <c r="O3" s="931"/>
      <c r="P3" s="931"/>
      <c r="Q3" s="432"/>
      <c r="S3">
        <v>174</v>
      </c>
      <c r="T3">
        <v>2088</v>
      </c>
      <c r="U3">
        <f>S3*12</f>
        <v>2088</v>
      </c>
    </row>
    <row r="4" spans="1:21" ht="28.15" customHeight="1">
      <c r="A4" s="1126" t="s">
        <v>330</v>
      </c>
      <c r="B4" s="1126"/>
      <c r="C4" s="1126"/>
      <c r="D4" s="1126"/>
      <c r="E4" s="1126"/>
      <c r="F4" s="1126"/>
      <c r="G4" s="1126"/>
      <c r="H4" s="1126"/>
      <c r="I4" s="1126"/>
      <c r="J4" s="440" t="s">
        <v>306</v>
      </c>
      <c r="K4" s="441"/>
      <c r="L4" s="441"/>
      <c r="M4" s="441"/>
      <c r="N4" s="441"/>
      <c r="O4" s="441"/>
      <c r="P4" s="441"/>
      <c r="Q4" s="441"/>
    </row>
    <row r="5" spans="1:21" ht="48" customHeight="1">
      <c r="A5" s="915" t="s">
        <v>331</v>
      </c>
      <c r="B5" s="915"/>
      <c r="C5" s="915"/>
      <c r="D5" t="s">
        <v>332</v>
      </c>
      <c r="H5" s="288"/>
      <c r="I5" s="288"/>
      <c r="J5" s="934" t="s">
        <v>307</v>
      </c>
      <c r="K5" s="935"/>
      <c r="L5" s="274" t="s">
        <v>453</v>
      </c>
      <c r="M5" s="262" t="s">
        <v>82</v>
      </c>
      <c r="N5" s="263"/>
      <c r="O5" s="274" t="s">
        <v>453</v>
      </c>
      <c r="P5" s="262" t="s">
        <v>82</v>
      </c>
      <c r="Q5" s="208" t="s">
        <v>728</v>
      </c>
    </row>
    <row r="6" spans="1:21" ht="14.45" customHeight="1" thickBot="1">
      <c r="H6" s="287"/>
      <c r="I6" s="287"/>
      <c r="J6" s="235" t="s">
        <v>631</v>
      </c>
      <c r="K6" s="361">
        <f>ЗВЕДЕНИЙ!W65</f>
        <v>182982.60572596002</v>
      </c>
      <c r="L6" s="275">
        <f>ROUND(K6/T3,2)</f>
        <v>87.64</v>
      </c>
      <c r="M6" s="264" t="s">
        <v>943</v>
      </c>
      <c r="N6" s="361">
        <f>ЗВЕДЕНИЙ!W64</f>
        <v>222685.56</v>
      </c>
      <c r="O6" s="409">
        <f>ROUND(N6/T2,2)</f>
        <v>110.81</v>
      </c>
      <c r="P6" s="264" t="s">
        <v>1090</v>
      </c>
      <c r="Q6" s="438">
        <f>(L6+O6)/2</f>
        <v>99.224999999999994</v>
      </c>
      <c r="R6" s="406"/>
    </row>
    <row r="7" spans="1:21">
      <c r="A7" s="113" t="s">
        <v>333</v>
      </c>
      <c r="B7" s="113" t="s">
        <v>334</v>
      </c>
      <c r="C7" s="1124" t="s">
        <v>335</v>
      </c>
      <c r="D7" s="1124"/>
      <c r="E7" s="1124"/>
      <c r="F7" s="1124"/>
      <c r="G7" s="1124"/>
      <c r="H7" s="1124"/>
      <c r="I7" s="1124"/>
      <c r="J7" s="214" t="s">
        <v>309</v>
      </c>
      <c r="K7" s="193"/>
      <c r="L7" s="275">
        <f>ROUND(SUM(L6),2)</f>
        <v>87.64</v>
      </c>
      <c r="M7" s="193"/>
      <c r="N7" s="193"/>
      <c r="O7" s="332">
        <f>ROUND(SUM(O6),2)</f>
        <v>110.81</v>
      </c>
      <c r="P7" s="437"/>
      <c r="Q7" s="780">
        <f>ROUND(Q6,2)</f>
        <v>99.23</v>
      </c>
      <c r="R7" s="409"/>
    </row>
    <row r="8" spans="1:21">
      <c r="A8" s="113" t="s">
        <v>336</v>
      </c>
      <c r="B8" s="113" t="s">
        <v>334</v>
      </c>
      <c r="C8" s="1131" t="s">
        <v>337</v>
      </c>
      <c r="D8" s="1131"/>
      <c r="E8" s="1131"/>
      <c r="F8" s="1131"/>
      <c r="G8" s="1131"/>
      <c r="H8" s="1131"/>
      <c r="I8" s="1131"/>
      <c r="J8" s="1130"/>
      <c r="K8" s="1130"/>
      <c r="L8" s="1130"/>
      <c r="M8" s="1130"/>
      <c r="N8" s="405"/>
      <c r="O8" s="406"/>
      <c r="P8" s="407"/>
      <c r="Q8" s="407"/>
    </row>
    <row r="9" spans="1:21" ht="14.45" customHeight="1">
      <c r="A9" s="113" t="s">
        <v>338</v>
      </c>
      <c r="B9" s="113" t="s">
        <v>334</v>
      </c>
      <c r="C9" s="1131" t="s">
        <v>339</v>
      </c>
      <c r="D9" s="1131"/>
      <c r="E9" s="1131"/>
      <c r="F9" s="1131"/>
      <c r="G9" s="1131"/>
      <c r="H9" s="1131"/>
      <c r="I9" s="1131"/>
      <c r="J9" s="404"/>
      <c r="K9" s="776"/>
      <c r="L9" s="777"/>
      <c r="M9" s="560"/>
      <c r="N9" s="406"/>
      <c r="O9" s="230"/>
    </row>
    <row r="10" spans="1:21">
      <c r="A10" s="113" t="s">
        <v>340</v>
      </c>
      <c r="B10" s="113" t="s">
        <v>334</v>
      </c>
      <c r="C10" s="1131" t="s">
        <v>341</v>
      </c>
      <c r="D10" s="1131"/>
      <c r="E10" s="1131"/>
      <c r="F10" s="1131"/>
      <c r="G10" s="1131"/>
      <c r="H10" s="1131"/>
      <c r="I10" s="1131"/>
      <c r="J10" s="775"/>
    </row>
    <row r="11" spans="1:21" ht="15.6" customHeight="1">
      <c r="A11" s="113" t="s">
        <v>342</v>
      </c>
      <c r="B11" s="113" t="s">
        <v>334</v>
      </c>
      <c r="C11" s="1131" t="s">
        <v>343</v>
      </c>
      <c r="D11" s="1131"/>
      <c r="E11" s="1131"/>
      <c r="F11" s="1131"/>
      <c r="G11" s="1131"/>
      <c r="H11" s="1131"/>
      <c r="I11" s="1131"/>
      <c r="J11" s="393" t="s">
        <v>552</v>
      </c>
      <c r="K11" s="394"/>
      <c r="L11" s="394"/>
      <c r="M11" s="394"/>
      <c r="N11" s="394"/>
      <c r="O11" s="395"/>
      <c r="P11" s="407"/>
      <c r="Q11" s="407"/>
    </row>
    <row r="12" spans="1:21" ht="31.5">
      <c r="I12" s="266"/>
      <c r="J12" s="594" t="s">
        <v>318</v>
      </c>
      <c r="K12" s="396" t="s">
        <v>319</v>
      </c>
      <c r="L12" s="396"/>
      <c r="M12" s="396" t="s">
        <v>551</v>
      </c>
      <c r="N12" s="1135" t="s">
        <v>538</v>
      </c>
      <c r="O12" s="1136"/>
      <c r="P12" s="407"/>
      <c r="Q12" s="407"/>
    </row>
    <row r="13" spans="1:21" ht="14.45" customHeight="1">
      <c r="A13" s="1129" t="s">
        <v>344</v>
      </c>
      <c r="B13" s="1129"/>
      <c r="C13" s="1129"/>
      <c r="D13" s="1129"/>
      <c r="E13" s="1129"/>
      <c r="F13" s="1129"/>
      <c r="G13" s="1129"/>
      <c r="H13" s="1129"/>
      <c r="I13" s="1129"/>
      <c r="J13" s="235"/>
      <c r="K13" s="328"/>
      <c r="L13" s="328"/>
      <c r="M13" s="332"/>
      <c r="N13" s="754"/>
      <c r="O13" s="755"/>
      <c r="P13" s="768"/>
      <c r="Q13" s="407"/>
      <c r="R13" s="521" t="s">
        <v>849</v>
      </c>
    </row>
    <row r="14" spans="1:21" ht="19.899999999999999" customHeight="1">
      <c r="A14" s="918" t="s">
        <v>345</v>
      </c>
      <c r="B14" s="918"/>
      <c r="C14" s="918"/>
      <c r="D14" s="114" t="s">
        <v>332</v>
      </c>
      <c r="H14" s="287"/>
      <c r="I14" s="287"/>
      <c r="J14" s="276" t="s">
        <v>57</v>
      </c>
      <c r="K14" s="328"/>
      <c r="L14" s="328">
        <f>60353.95</f>
        <v>60353.95</v>
      </c>
      <c r="M14" s="275">
        <f>ROUND(L14/2088,2)</f>
        <v>28.91</v>
      </c>
      <c r="N14" s="756" t="s">
        <v>1088</v>
      </c>
      <c r="O14" s="757"/>
      <c r="P14" s="778">
        <f>M14/14*24</f>
        <v>49.56</v>
      </c>
      <c r="Q14" s="408"/>
      <c r="R14" s="629">
        <f>P14*100/M25</f>
        <v>14.827225130890053</v>
      </c>
    </row>
    <row r="15" spans="1:21" ht="14.45" customHeight="1">
      <c r="A15" s="115" t="s">
        <v>336</v>
      </c>
      <c r="B15" s="115" t="s">
        <v>334</v>
      </c>
      <c r="C15" s="1127" t="s">
        <v>337</v>
      </c>
      <c r="D15" s="1127"/>
      <c r="E15" s="1127"/>
      <c r="F15" s="1127"/>
      <c r="G15" s="1127"/>
      <c r="H15" s="1127"/>
      <c r="I15" s="1127"/>
      <c r="J15" s="214" t="s">
        <v>313</v>
      </c>
      <c r="K15" s="193"/>
      <c r="L15" s="193"/>
      <c r="M15" s="275">
        <f>ROUND(Q7+N9,2)</f>
        <v>99.23</v>
      </c>
      <c r="N15" s="750">
        <v>99.23</v>
      </c>
      <c r="O15" s="751"/>
      <c r="P15" s="778">
        <f>M15/14*24</f>
        <v>170.10857142857145</v>
      </c>
      <c r="R15" s="629">
        <f>P15*100/M25</f>
        <v>50.892616732556903</v>
      </c>
    </row>
    <row r="16" spans="1:21" ht="27" customHeight="1">
      <c r="A16" s="115" t="s">
        <v>346</v>
      </c>
      <c r="B16" s="115" t="s">
        <v>334</v>
      </c>
      <c r="C16" s="1127" t="s">
        <v>347</v>
      </c>
      <c r="D16" s="1127"/>
      <c r="E16" s="1127"/>
      <c r="F16" s="1127"/>
      <c r="G16" s="1127"/>
      <c r="H16" s="1127"/>
      <c r="I16" s="1128"/>
      <c r="J16" s="213" t="s">
        <v>454</v>
      </c>
      <c r="K16" s="277"/>
      <c r="L16" s="193"/>
      <c r="M16" s="260">
        <f>ROUND(M19+M18+M17,2)</f>
        <v>26.85</v>
      </c>
      <c r="N16" s="752" t="s">
        <v>1126</v>
      </c>
      <c r="O16" s="753"/>
      <c r="P16" s="778">
        <f>M16/14*24</f>
        <v>46.028571428571432</v>
      </c>
      <c r="Q16" s="431"/>
      <c r="R16" s="630">
        <f>P16*100/M25</f>
        <v>13.770701998076719</v>
      </c>
    </row>
    <row r="17" spans="1:20" ht="21" customHeight="1">
      <c r="A17" s="115" t="s">
        <v>348</v>
      </c>
      <c r="B17" s="115" t="s">
        <v>334</v>
      </c>
      <c r="C17" s="1127" t="s">
        <v>349</v>
      </c>
      <c r="D17" s="1127"/>
      <c r="E17" s="1127"/>
      <c r="F17" s="1127"/>
      <c r="G17" s="1127"/>
      <c r="H17" s="1127"/>
      <c r="I17" s="1127"/>
      <c r="J17" s="210" t="s">
        <v>373</v>
      </c>
      <c r="K17" s="728">
        <v>10.220000000000001</v>
      </c>
      <c r="L17" s="275">
        <f>12480.95*K17</f>
        <v>127555.30900000001</v>
      </c>
      <c r="M17" s="275">
        <f>ROUND(L17/365/24,2)</f>
        <v>14.56</v>
      </c>
      <c r="N17" s="752" t="s">
        <v>957</v>
      </c>
      <c r="O17" s="753"/>
      <c r="P17" s="1122" t="s">
        <v>956</v>
      </c>
      <c r="Q17" s="1123"/>
      <c r="R17" s="629">
        <f>M17/14*24*100/M25</f>
        <v>7.4674644727000752</v>
      </c>
    </row>
    <row r="18" spans="1:20" ht="14.45" customHeight="1">
      <c r="A18" s="115" t="s">
        <v>350</v>
      </c>
      <c r="B18" s="115" t="s">
        <v>334</v>
      </c>
      <c r="C18" s="1127" t="s">
        <v>351</v>
      </c>
      <c r="D18" s="1127"/>
      <c r="E18" s="1127"/>
      <c r="F18" s="1127"/>
      <c r="G18" s="1127"/>
      <c r="H18" s="1127"/>
      <c r="I18" s="1127"/>
      <c r="J18" s="213" t="s">
        <v>374</v>
      </c>
      <c r="K18" s="830">
        <v>3590.72</v>
      </c>
      <c r="L18" s="275">
        <f>ROUND((0.058*K18)*404.2,2)</f>
        <v>84179.4</v>
      </c>
      <c r="M18" s="275">
        <f>ROUND(L18/365/24,2)</f>
        <v>9.61</v>
      </c>
      <c r="N18" s="752" t="s">
        <v>1108</v>
      </c>
      <c r="O18" s="753"/>
      <c r="P18" s="410" t="s">
        <v>696</v>
      </c>
      <c r="Q18" s="410"/>
      <c r="R18" s="629">
        <f>M18/14*24*100/M25</f>
        <v>4.9287317021049253</v>
      </c>
    </row>
    <row r="19" spans="1:20" ht="14.45" customHeight="1">
      <c r="J19" s="842" t="s">
        <v>544</v>
      </c>
      <c r="K19" s="328">
        <v>45.91</v>
      </c>
      <c r="L19" s="275">
        <f>512*K19</f>
        <v>23505.919999999998</v>
      </c>
      <c r="M19" s="275">
        <f>ROUND(L19/365/24,2)</f>
        <v>2.68</v>
      </c>
      <c r="N19" s="765" t="s">
        <v>1109</v>
      </c>
      <c r="O19" s="751"/>
      <c r="P19" s="1141" t="s">
        <v>983</v>
      </c>
      <c r="Q19" s="1142"/>
      <c r="R19" s="629">
        <f>M19/14*24*100/M25</f>
        <v>1.3745058232717171</v>
      </c>
    </row>
    <row r="20" spans="1:20" ht="14.45" customHeight="1">
      <c r="A20" s="1132" t="s">
        <v>352</v>
      </c>
      <c r="B20" s="1132"/>
      <c r="C20" s="1132"/>
      <c r="D20" s="1132"/>
      <c r="E20" s="1132"/>
      <c r="F20" s="1132"/>
      <c r="G20" s="1132"/>
      <c r="H20" s="1132"/>
      <c r="I20" s="1132"/>
      <c r="J20" s="276" t="s">
        <v>314</v>
      </c>
      <c r="K20" s="193"/>
      <c r="L20" s="207">
        <v>0.22</v>
      </c>
      <c r="M20" s="764">
        <f>ROUND(M15*0.22,2)</f>
        <v>21.83</v>
      </c>
      <c r="N20" s="766" t="s">
        <v>1121</v>
      </c>
      <c r="O20" s="753"/>
      <c r="P20" s="779">
        <f>M20/14*24</f>
        <v>37.42285714285714</v>
      </c>
      <c r="Q20" s="261"/>
      <c r="R20" s="629">
        <f>P20*100/M25</f>
        <v>11.196067955978201</v>
      </c>
    </row>
    <row r="21" spans="1:20" ht="19.149999999999999" customHeight="1">
      <c r="A21" s="916" t="s">
        <v>353</v>
      </c>
      <c r="B21" s="916"/>
      <c r="D21" s="114" t="s">
        <v>332</v>
      </c>
      <c r="J21" s="214" t="s">
        <v>56</v>
      </c>
      <c r="K21" s="193"/>
      <c r="L21" s="259">
        <v>0.15</v>
      </c>
      <c r="M21" s="764">
        <f>ROUND((M15+M20)*15%,2)</f>
        <v>18.16</v>
      </c>
      <c r="N21" s="766" t="s">
        <v>1089</v>
      </c>
      <c r="O21" s="767"/>
      <c r="P21" s="779">
        <f>M21/14*24</f>
        <v>31.131428571428572</v>
      </c>
      <c r="Q21" s="261"/>
      <c r="R21" s="629">
        <f>P21*100/M25</f>
        <v>9.313815578587457</v>
      </c>
    </row>
    <row r="22" spans="1:20" ht="25.9" customHeight="1">
      <c r="A22" s="115" t="s">
        <v>338</v>
      </c>
      <c r="B22" s="115" t="s">
        <v>334</v>
      </c>
      <c r="C22" s="1127" t="s">
        <v>339</v>
      </c>
      <c r="D22" s="1127"/>
      <c r="E22" s="1127"/>
      <c r="F22" s="1127"/>
      <c r="G22" s="1127"/>
      <c r="H22" s="1127"/>
      <c r="I22" s="1127"/>
      <c r="J22" s="773" t="s">
        <v>545</v>
      </c>
      <c r="K22" s="774">
        <v>200</v>
      </c>
      <c r="L22" s="626">
        <v>200</v>
      </c>
      <c r="M22" s="627"/>
      <c r="N22" s="1143"/>
      <c r="O22" s="1144"/>
      <c r="P22" s="628"/>
      <c r="Q22" s="628"/>
      <c r="R22" s="629">
        <f>L22*100/M25</f>
        <v>59.835452505609574</v>
      </c>
    </row>
    <row r="23" spans="1:20" ht="30.6" customHeight="1">
      <c r="A23" s="115" t="s">
        <v>354</v>
      </c>
      <c r="B23" s="115" t="s">
        <v>334</v>
      </c>
      <c r="C23" s="1092" t="s">
        <v>355</v>
      </c>
      <c r="D23" s="1092"/>
      <c r="E23" s="1092"/>
      <c r="F23" s="1092"/>
      <c r="G23" s="1092"/>
      <c r="H23" s="1092"/>
      <c r="I23" s="1092"/>
      <c r="J23" s="249" t="s">
        <v>548</v>
      </c>
      <c r="K23" s="193"/>
      <c r="L23" s="193"/>
      <c r="M23" s="260">
        <f>ROUND(M14+M15+M16+M20+M21,2)</f>
        <v>194.98</v>
      </c>
      <c r="N23" s="1145" t="s">
        <v>1122</v>
      </c>
      <c r="O23" s="1146"/>
      <c r="P23" s="261"/>
      <c r="Q23" s="261"/>
      <c r="R23" s="521"/>
    </row>
    <row r="24" spans="1:20" ht="27.6" customHeight="1">
      <c r="A24" s="116" t="s">
        <v>356</v>
      </c>
      <c r="B24" s="116" t="s">
        <v>334</v>
      </c>
      <c r="C24" s="1127" t="s">
        <v>357</v>
      </c>
      <c r="D24" s="1127"/>
      <c r="E24" s="1127"/>
      <c r="F24" s="1127"/>
      <c r="G24" s="1127"/>
      <c r="H24" s="1127"/>
      <c r="I24" s="1127"/>
      <c r="J24" s="276" t="s">
        <v>549</v>
      </c>
      <c r="K24" s="193"/>
      <c r="L24" s="193"/>
      <c r="M24" s="260">
        <f>ROUND((M23*24),2)</f>
        <v>4679.5200000000004</v>
      </c>
      <c r="N24" s="752" t="s">
        <v>1123</v>
      </c>
      <c r="O24" s="753"/>
      <c r="P24" s="261">
        <f>M24/14</f>
        <v>334.25142857142862</v>
      </c>
      <c r="Q24" s="261"/>
      <c r="R24" s="521"/>
    </row>
    <row r="25" spans="1:20" ht="28.9" customHeight="1">
      <c r="C25" s="1127"/>
      <c r="D25" s="1127"/>
      <c r="E25" s="1127"/>
      <c r="F25" s="1127"/>
      <c r="G25" s="1127"/>
      <c r="H25" s="1127"/>
      <c r="I25" s="1127"/>
      <c r="J25" s="235" t="s">
        <v>550</v>
      </c>
      <c r="K25" s="193"/>
      <c r="L25" s="193"/>
      <c r="M25" s="260">
        <f>ROUND(M24/14,2)</f>
        <v>334.25</v>
      </c>
      <c r="N25" s="752" t="s">
        <v>1124</v>
      </c>
      <c r="O25" s="753"/>
      <c r="P25" s="261"/>
      <c r="Q25" s="261"/>
      <c r="R25" s="521"/>
    </row>
    <row r="26" spans="1:20">
      <c r="J26" s="276" t="s">
        <v>546</v>
      </c>
      <c r="K26" s="193"/>
      <c r="L26" s="193"/>
      <c r="M26" s="260">
        <f>ROUND(M25+200,2)</f>
        <v>534.25</v>
      </c>
      <c r="N26" s="752" t="s">
        <v>1125</v>
      </c>
      <c r="O26" s="753"/>
      <c r="P26" s="261"/>
      <c r="Q26" s="261"/>
      <c r="R26" s="521"/>
      <c r="T26" s="403"/>
    </row>
    <row r="27" spans="1:20">
      <c r="P27" s="261"/>
      <c r="Q27" s="261"/>
    </row>
    <row r="28" spans="1:20" ht="15.75">
      <c r="A28" s="587">
        <f>ЗВЕДЕНИЙ!W64+ЗВЕДЕНИЙ!W65</f>
        <v>405668.16572596005</v>
      </c>
      <c r="B28" s="1138" t="s">
        <v>838</v>
      </c>
      <c r="C28" s="1138"/>
      <c r="D28" s="1138"/>
      <c r="E28" s="588" t="s">
        <v>1076</v>
      </c>
      <c r="F28" s="454"/>
      <c r="H28" s="589">
        <f>ROUND(A28/A31,4)</f>
        <v>1.8100000000000002E-2</v>
      </c>
      <c r="I28" s="590"/>
      <c r="P28" s="190"/>
      <c r="Q28" s="190"/>
      <c r="R28" s="403">
        <f>R14+R15+R16+R20+R21</f>
        <v>100.00042739608932</v>
      </c>
    </row>
    <row r="29" spans="1:20" ht="14.45" customHeight="1">
      <c r="A29" s="591"/>
      <c r="B29" s="591"/>
      <c r="C29" s="590"/>
      <c r="D29" s="590"/>
      <c r="E29" s="590"/>
      <c r="F29" s="590"/>
      <c r="G29" s="590"/>
      <c r="H29" s="590"/>
      <c r="I29" s="590"/>
      <c r="P29" s="190"/>
      <c r="Q29" s="190"/>
    </row>
    <row r="30" spans="1:20" ht="14.45" customHeight="1">
      <c r="A30" s="591"/>
      <c r="B30" s="591"/>
      <c r="C30" s="590"/>
      <c r="D30" s="590"/>
      <c r="E30" s="590"/>
      <c r="F30" s="590"/>
      <c r="G30" s="590"/>
      <c r="H30" s="590"/>
      <c r="I30" s="590"/>
    </row>
    <row r="31" spans="1:20" ht="14.45" customHeight="1">
      <c r="A31" s="592">
        <f>(ЗВЕДЕНИЙ!V78-ЗВЕДЕНИЙ!V34)+ЗВЕДЕНИЙ!V28+814000</f>
        <v>22376657.905571479</v>
      </c>
      <c r="B31" s="454" t="s">
        <v>1038</v>
      </c>
      <c r="C31" s="454"/>
      <c r="D31" s="590"/>
      <c r="E31" s="590"/>
      <c r="F31" s="590"/>
      <c r="G31" s="590"/>
      <c r="H31" s="590"/>
      <c r="I31" s="590"/>
      <c r="P31" s="190"/>
      <c r="Q31" s="190"/>
    </row>
    <row r="32" spans="1:20" ht="15.75">
      <c r="A32" s="454"/>
      <c r="B32" s="454"/>
      <c r="C32" s="454"/>
      <c r="D32" s="454"/>
      <c r="E32" s="454"/>
      <c r="F32" s="454"/>
      <c r="G32" s="454"/>
      <c r="H32" s="454"/>
      <c r="I32" s="454"/>
      <c r="P32" s="215"/>
      <c r="Q32" s="215"/>
    </row>
    <row r="33" spans="1:17" ht="14.45" customHeight="1">
      <c r="A33" s="454"/>
      <c r="B33" s="454"/>
      <c r="C33" s="454"/>
      <c r="D33" s="454"/>
      <c r="E33" s="454"/>
      <c r="F33" s="454"/>
      <c r="G33" s="454"/>
      <c r="H33" s="454"/>
      <c r="I33" s="454"/>
      <c r="P33" s="231"/>
      <c r="Q33" s="231"/>
    </row>
    <row r="34" spans="1:17" ht="14.45" customHeight="1">
      <c r="A34" s="592">
        <f>((ЗВЕДЕНИЙ!V34-ЗВЕДЕНИЙ!V28)*22%)+ЗВЕДЕНИЙ!V34-ЗВЕДЕНИЙ!V28</f>
        <v>5320405.4708892182</v>
      </c>
      <c r="B34" s="1139" t="s">
        <v>784</v>
      </c>
      <c r="C34" s="1139"/>
      <c r="D34" s="1139"/>
      <c r="E34" s="454" t="s">
        <v>1077</v>
      </c>
      <c r="F34" s="454"/>
      <c r="H34" s="593">
        <f>(A34*H28)/4097.7</f>
        <v>23.500827054956407</v>
      </c>
      <c r="I34" s="454"/>
      <c r="P34" s="190"/>
      <c r="Q34" s="190"/>
    </row>
    <row r="35" spans="1:17" ht="26.45" customHeight="1">
      <c r="A35" s="190"/>
      <c r="B35" s="267"/>
      <c r="C35" s="1140"/>
      <c r="D35" s="1140"/>
      <c r="E35" s="230"/>
      <c r="F35" s="268"/>
      <c r="G35" s="190"/>
      <c r="H35" s="190"/>
      <c r="I35" s="190"/>
      <c r="J35" s="292" t="s">
        <v>23</v>
      </c>
      <c r="K35" s="292"/>
      <c r="L35" s="292"/>
      <c r="M35" s="292"/>
      <c r="N35" s="292"/>
      <c r="O35" s="292"/>
      <c r="P35" s="292" t="s">
        <v>51</v>
      </c>
      <c r="Q35" s="292"/>
    </row>
    <row r="36" spans="1:17" ht="32.450000000000003" customHeight="1">
      <c r="A36" s="1137" t="s">
        <v>839</v>
      </c>
      <c r="B36" s="1137"/>
      <c r="C36" s="1137"/>
      <c r="D36" s="1137"/>
      <c r="E36" s="1137"/>
      <c r="F36" s="1137"/>
      <c r="G36" s="1137"/>
      <c r="H36" s="1137"/>
      <c r="I36" s="1137"/>
    </row>
    <row r="37" spans="1:17">
      <c r="A37" s="258"/>
      <c r="B37" s="258"/>
      <c r="C37" s="258"/>
      <c r="D37" s="258"/>
      <c r="E37" s="258"/>
      <c r="F37" s="258"/>
      <c r="G37" s="258"/>
      <c r="H37" s="258"/>
      <c r="I37" s="258"/>
      <c r="P37" s="190"/>
      <c r="Q37" s="190"/>
    </row>
    <row r="38" spans="1:17" ht="28.9" customHeight="1">
      <c r="A38" s="1137" t="s">
        <v>360</v>
      </c>
      <c r="B38" s="1137"/>
      <c r="C38" s="1137"/>
      <c r="D38" s="1137"/>
      <c r="E38" s="1137"/>
      <c r="F38" s="1137"/>
      <c r="G38" s="1137"/>
      <c r="H38" s="1137"/>
      <c r="I38" s="1137"/>
      <c r="P38" s="269"/>
      <c r="Q38" s="269"/>
    </row>
    <row r="39" spans="1:17">
      <c r="B39" s="279"/>
      <c r="C39" s="279"/>
      <c r="D39" s="279"/>
      <c r="E39" s="279"/>
      <c r="F39" s="279"/>
      <c r="G39" s="279"/>
      <c r="H39" s="279"/>
      <c r="I39" s="279"/>
      <c r="J39" s="190"/>
      <c r="K39" s="190"/>
      <c r="L39" s="190"/>
      <c r="M39" s="190"/>
      <c r="N39" s="190"/>
      <c r="O39" s="190"/>
      <c r="P39" s="190"/>
      <c r="Q39" s="190"/>
    </row>
    <row r="40" spans="1:17">
      <c r="A40" s="279"/>
      <c r="B40" s="279"/>
      <c r="C40" s="279"/>
      <c r="D40" s="279"/>
      <c r="E40" s="279"/>
      <c r="F40" s="279"/>
      <c r="G40" s="279"/>
      <c r="H40" s="279"/>
      <c r="I40" s="279"/>
      <c r="J40" s="266"/>
    </row>
    <row r="41" spans="1:17">
      <c r="A41" s="270"/>
      <c r="B41" s="271"/>
      <c r="C41" s="272"/>
      <c r="D41" s="271"/>
      <c r="E41" s="190"/>
      <c r="F41" s="190"/>
      <c r="G41" s="190"/>
      <c r="H41" s="190"/>
      <c r="I41" s="190"/>
    </row>
    <row r="42" spans="1:17" ht="19.899999999999999" customHeight="1">
      <c r="I42" s="292"/>
    </row>
    <row r="45" spans="1:17" ht="14.45" customHeight="1"/>
    <row r="46" spans="1:17" ht="15.75">
      <c r="A46" s="292" t="s">
        <v>23</v>
      </c>
      <c r="B46" s="292"/>
      <c r="C46" s="292"/>
      <c r="D46" s="292"/>
      <c r="E46" s="292"/>
      <c r="F46" s="292"/>
      <c r="G46" s="292" t="s">
        <v>51</v>
      </c>
      <c r="H46" s="292"/>
    </row>
    <row r="47" spans="1:17">
      <c r="A47" s="190"/>
      <c r="B47" s="190"/>
      <c r="C47" s="190"/>
      <c r="D47" s="190"/>
      <c r="E47" s="190"/>
      <c r="F47" s="190"/>
      <c r="G47" s="190"/>
      <c r="H47" s="190"/>
      <c r="I47" s="190"/>
    </row>
    <row r="48" spans="1:17">
      <c r="A48" s="190"/>
      <c r="B48" s="190"/>
      <c r="C48" s="190"/>
      <c r="D48" s="190"/>
      <c r="E48" s="190"/>
      <c r="F48" s="190"/>
      <c r="G48" s="190"/>
      <c r="H48" s="190"/>
      <c r="I48" s="190"/>
    </row>
    <row r="49" spans="1:9">
      <c r="A49" s="190"/>
      <c r="B49" s="190"/>
      <c r="C49" s="190"/>
      <c r="D49" s="190"/>
      <c r="E49" s="190"/>
      <c r="F49" s="190"/>
      <c r="G49" s="190"/>
      <c r="H49" s="190"/>
      <c r="I49" s="190"/>
    </row>
    <row r="50" spans="1:9">
      <c r="A50" s="190"/>
      <c r="B50" s="190"/>
      <c r="C50" s="190"/>
      <c r="D50" s="190"/>
      <c r="E50" s="190"/>
      <c r="F50" s="190"/>
      <c r="G50" s="190"/>
      <c r="H50" s="190"/>
      <c r="I50" s="190"/>
    </row>
  </sheetData>
  <mergeCells count="37">
    <mergeCell ref="P19:Q19"/>
    <mergeCell ref="N22:O22"/>
    <mergeCell ref="C18:I18"/>
    <mergeCell ref="C23:I23"/>
    <mergeCell ref="C24:I25"/>
    <mergeCell ref="A20:I20"/>
    <mergeCell ref="C22:I22"/>
    <mergeCell ref="A21:B21"/>
    <mergeCell ref="N23:O23"/>
    <mergeCell ref="A36:I36"/>
    <mergeCell ref="A38:I38"/>
    <mergeCell ref="B28:D28"/>
    <mergeCell ref="B34:D34"/>
    <mergeCell ref="C35:D35"/>
    <mergeCell ref="A1:I1"/>
    <mergeCell ref="J1:Q1"/>
    <mergeCell ref="J2:N2"/>
    <mergeCell ref="N12:O12"/>
    <mergeCell ref="J3:M3"/>
    <mergeCell ref="N3:P3"/>
    <mergeCell ref="J5:K5"/>
    <mergeCell ref="P17:Q17"/>
    <mergeCell ref="C7:I7"/>
    <mergeCell ref="A2:I2"/>
    <mergeCell ref="A3:I3"/>
    <mergeCell ref="A5:C5"/>
    <mergeCell ref="A4:I4"/>
    <mergeCell ref="C17:I17"/>
    <mergeCell ref="C16:I16"/>
    <mergeCell ref="A13:I13"/>
    <mergeCell ref="J8:M8"/>
    <mergeCell ref="A14:C14"/>
    <mergeCell ref="C15:I15"/>
    <mergeCell ref="C8:I8"/>
    <mergeCell ref="C9:I9"/>
    <mergeCell ref="C10:I10"/>
    <mergeCell ref="C11:I11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3" orientation="portrait" r:id="rId1"/>
  <colBreaks count="1" manualBreakCount="1">
    <brk id="9" max="47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37"/>
  <sheetViews>
    <sheetView view="pageBreakPreview" zoomScale="90" zoomScaleNormal="100" zoomScaleSheetLayoutView="90" workbookViewId="0">
      <selection activeCell="A27" sqref="A27"/>
    </sheetView>
  </sheetViews>
  <sheetFormatPr defaultRowHeight="15"/>
  <cols>
    <col min="1" max="1" width="13.7109375" customWidth="1"/>
    <col min="2" max="2" width="12.85546875" customWidth="1"/>
    <col min="3" max="3" width="14.42578125" customWidth="1"/>
    <col min="4" max="4" width="13.85546875" customWidth="1"/>
    <col min="5" max="5" width="11.28515625" customWidth="1"/>
    <col min="6" max="6" width="15.7109375" customWidth="1"/>
    <col min="7" max="7" width="15" customWidth="1"/>
    <col min="8" max="8" width="16.5703125" customWidth="1"/>
    <col min="257" max="257" width="13.7109375" customWidth="1"/>
    <col min="258" max="258" width="12.85546875" customWidth="1"/>
    <col min="259" max="259" width="14.42578125" customWidth="1"/>
    <col min="260" max="260" width="13.85546875" customWidth="1"/>
    <col min="261" max="261" width="11.28515625" customWidth="1"/>
    <col min="262" max="262" width="15.7109375" customWidth="1"/>
    <col min="263" max="263" width="15" customWidth="1"/>
    <col min="264" max="264" width="16.5703125" customWidth="1"/>
    <col min="513" max="513" width="13.7109375" customWidth="1"/>
    <col min="514" max="514" width="12.85546875" customWidth="1"/>
    <col min="515" max="515" width="14.42578125" customWidth="1"/>
    <col min="516" max="516" width="13.85546875" customWidth="1"/>
    <col min="517" max="517" width="11.28515625" customWidth="1"/>
    <col min="518" max="518" width="15.7109375" customWidth="1"/>
    <col min="519" max="519" width="15" customWidth="1"/>
    <col min="520" max="520" width="16.5703125" customWidth="1"/>
    <col min="769" max="769" width="13.7109375" customWidth="1"/>
    <col min="770" max="770" width="12.85546875" customWidth="1"/>
    <col min="771" max="771" width="14.42578125" customWidth="1"/>
    <col min="772" max="772" width="13.85546875" customWidth="1"/>
    <col min="773" max="773" width="11.28515625" customWidth="1"/>
    <col min="774" max="774" width="15.7109375" customWidth="1"/>
    <col min="775" max="775" width="15" customWidth="1"/>
    <col min="776" max="776" width="16.5703125" customWidth="1"/>
    <col min="1025" max="1025" width="13.7109375" customWidth="1"/>
    <col min="1026" max="1026" width="12.85546875" customWidth="1"/>
    <col min="1027" max="1027" width="14.42578125" customWidth="1"/>
    <col min="1028" max="1028" width="13.85546875" customWidth="1"/>
    <col min="1029" max="1029" width="11.28515625" customWidth="1"/>
    <col min="1030" max="1030" width="15.7109375" customWidth="1"/>
    <col min="1031" max="1031" width="15" customWidth="1"/>
    <col min="1032" max="1032" width="16.5703125" customWidth="1"/>
    <col min="1281" max="1281" width="13.7109375" customWidth="1"/>
    <col min="1282" max="1282" width="12.85546875" customWidth="1"/>
    <col min="1283" max="1283" width="14.42578125" customWidth="1"/>
    <col min="1284" max="1284" width="13.85546875" customWidth="1"/>
    <col min="1285" max="1285" width="11.28515625" customWidth="1"/>
    <col min="1286" max="1286" width="15.7109375" customWidth="1"/>
    <col min="1287" max="1287" width="15" customWidth="1"/>
    <col min="1288" max="1288" width="16.5703125" customWidth="1"/>
    <col min="1537" max="1537" width="13.7109375" customWidth="1"/>
    <col min="1538" max="1538" width="12.85546875" customWidth="1"/>
    <col min="1539" max="1539" width="14.42578125" customWidth="1"/>
    <col min="1540" max="1540" width="13.85546875" customWidth="1"/>
    <col min="1541" max="1541" width="11.28515625" customWidth="1"/>
    <col min="1542" max="1542" width="15.7109375" customWidth="1"/>
    <col min="1543" max="1543" width="15" customWidth="1"/>
    <col min="1544" max="1544" width="16.5703125" customWidth="1"/>
    <col min="1793" max="1793" width="13.7109375" customWidth="1"/>
    <col min="1794" max="1794" width="12.85546875" customWidth="1"/>
    <col min="1795" max="1795" width="14.42578125" customWidth="1"/>
    <col min="1796" max="1796" width="13.85546875" customWidth="1"/>
    <col min="1797" max="1797" width="11.28515625" customWidth="1"/>
    <col min="1798" max="1798" width="15.7109375" customWidth="1"/>
    <col min="1799" max="1799" width="15" customWidth="1"/>
    <col min="1800" max="1800" width="16.5703125" customWidth="1"/>
    <col min="2049" max="2049" width="13.7109375" customWidth="1"/>
    <col min="2050" max="2050" width="12.85546875" customWidth="1"/>
    <col min="2051" max="2051" width="14.42578125" customWidth="1"/>
    <col min="2052" max="2052" width="13.85546875" customWidth="1"/>
    <col min="2053" max="2053" width="11.28515625" customWidth="1"/>
    <col min="2054" max="2054" width="15.7109375" customWidth="1"/>
    <col min="2055" max="2055" width="15" customWidth="1"/>
    <col min="2056" max="2056" width="16.5703125" customWidth="1"/>
    <col min="2305" max="2305" width="13.7109375" customWidth="1"/>
    <col min="2306" max="2306" width="12.85546875" customWidth="1"/>
    <col min="2307" max="2307" width="14.42578125" customWidth="1"/>
    <col min="2308" max="2308" width="13.85546875" customWidth="1"/>
    <col min="2309" max="2309" width="11.28515625" customWidth="1"/>
    <col min="2310" max="2310" width="15.7109375" customWidth="1"/>
    <col min="2311" max="2311" width="15" customWidth="1"/>
    <col min="2312" max="2312" width="16.5703125" customWidth="1"/>
    <col min="2561" max="2561" width="13.7109375" customWidth="1"/>
    <col min="2562" max="2562" width="12.85546875" customWidth="1"/>
    <col min="2563" max="2563" width="14.42578125" customWidth="1"/>
    <col min="2564" max="2564" width="13.85546875" customWidth="1"/>
    <col min="2565" max="2565" width="11.28515625" customWidth="1"/>
    <col min="2566" max="2566" width="15.7109375" customWidth="1"/>
    <col min="2567" max="2567" width="15" customWidth="1"/>
    <col min="2568" max="2568" width="16.5703125" customWidth="1"/>
    <col min="2817" max="2817" width="13.7109375" customWidth="1"/>
    <col min="2818" max="2818" width="12.85546875" customWidth="1"/>
    <col min="2819" max="2819" width="14.42578125" customWidth="1"/>
    <col min="2820" max="2820" width="13.85546875" customWidth="1"/>
    <col min="2821" max="2821" width="11.28515625" customWidth="1"/>
    <col min="2822" max="2822" width="15.7109375" customWidth="1"/>
    <col min="2823" max="2823" width="15" customWidth="1"/>
    <col min="2824" max="2824" width="16.5703125" customWidth="1"/>
    <col min="3073" max="3073" width="13.7109375" customWidth="1"/>
    <col min="3074" max="3074" width="12.85546875" customWidth="1"/>
    <col min="3075" max="3075" width="14.42578125" customWidth="1"/>
    <col min="3076" max="3076" width="13.85546875" customWidth="1"/>
    <col min="3077" max="3077" width="11.28515625" customWidth="1"/>
    <col min="3078" max="3078" width="15.7109375" customWidth="1"/>
    <col min="3079" max="3079" width="15" customWidth="1"/>
    <col min="3080" max="3080" width="16.5703125" customWidth="1"/>
    <col min="3329" max="3329" width="13.7109375" customWidth="1"/>
    <col min="3330" max="3330" width="12.85546875" customWidth="1"/>
    <col min="3331" max="3331" width="14.42578125" customWidth="1"/>
    <col min="3332" max="3332" width="13.85546875" customWidth="1"/>
    <col min="3333" max="3333" width="11.28515625" customWidth="1"/>
    <col min="3334" max="3334" width="15.7109375" customWidth="1"/>
    <col min="3335" max="3335" width="15" customWidth="1"/>
    <col min="3336" max="3336" width="16.5703125" customWidth="1"/>
    <col min="3585" max="3585" width="13.7109375" customWidth="1"/>
    <col min="3586" max="3586" width="12.85546875" customWidth="1"/>
    <col min="3587" max="3587" width="14.42578125" customWidth="1"/>
    <col min="3588" max="3588" width="13.85546875" customWidth="1"/>
    <col min="3589" max="3589" width="11.28515625" customWidth="1"/>
    <col min="3590" max="3590" width="15.7109375" customWidth="1"/>
    <col min="3591" max="3591" width="15" customWidth="1"/>
    <col min="3592" max="3592" width="16.5703125" customWidth="1"/>
    <col min="3841" max="3841" width="13.7109375" customWidth="1"/>
    <col min="3842" max="3842" width="12.85546875" customWidth="1"/>
    <col min="3843" max="3843" width="14.42578125" customWidth="1"/>
    <col min="3844" max="3844" width="13.85546875" customWidth="1"/>
    <col min="3845" max="3845" width="11.28515625" customWidth="1"/>
    <col min="3846" max="3846" width="15.7109375" customWidth="1"/>
    <col min="3847" max="3847" width="15" customWidth="1"/>
    <col min="3848" max="3848" width="16.5703125" customWidth="1"/>
    <col min="4097" max="4097" width="13.7109375" customWidth="1"/>
    <col min="4098" max="4098" width="12.85546875" customWidth="1"/>
    <col min="4099" max="4099" width="14.42578125" customWidth="1"/>
    <col min="4100" max="4100" width="13.85546875" customWidth="1"/>
    <col min="4101" max="4101" width="11.28515625" customWidth="1"/>
    <col min="4102" max="4102" width="15.7109375" customWidth="1"/>
    <col min="4103" max="4103" width="15" customWidth="1"/>
    <col min="4104" max="4104" width="16.5703125" customWidth="1"/>
    <col min="4353" max="4353" width="13.7109375" customWidth="1"/>
    <col min="4354" max="4354" width="12.85546875" customWidth="1"/>
    <col min="4355" max="4355" width="14.42578125" customWidth="1"/>
    <col min="4356" max="4356" width="13.85546875" customWidth="1"/>
    <col min="4357" max="4357" width="11.28515625" customWidth="1"/>
    <col min="4358" max="4358" width="15.7109375" customWidth="1"/>
    <col min="4359" max="4359" width="15" customWidth="1"/>
    <col min="4360" max="4360" width="16.5703125" customWidth="1"/>
    <col min="4609" max="4609" width="13.7109375" customWidth="1"/>
    <col min="4610" max="4610" width="12.85546875" customWidth="1"/>
    <col min="4611" max="4611" width="14.42578125" customWidth="1"/>
    <col min="4612" max="4612" width="13.85546875" customWidth="1"/>
    <col min="4613" max="4613" width="11.28515625" customWidth="1"/>
    <col min="4614" max="4614" width="15.7109375" customWidth="1"/>
    <col min="4615" max="4615" width="15" customWidth="1"/>
    <col min="4616" max="4616" width="16.5703125" customWidth="1"/>
    <col min="4865" max="4865" width="13.7109375" customWidth="1"/>
    <col min="4866" max="4866" width="12.85546875" customWidth="1"/>
    <col min="4867" max="4867" width="14.42578125" customWidth="1"/>
    <col min="4868" max="4868" width="13.85546875" customWidth="1"/>
    <col min="4869" max="4869" width="11.28515625" customWidth="1"/>
    <col min="4870" max="4870" width="15.7109375" customWidth="1"/>
    <col min="4871" max="4871" width="15" customWidth="1"/>
    <col min="4872" max="4872" width="16.5703125" customWidth="1"/>
    <col min="5121" max="5121" width="13.7109375" customWidth="1"/>
    <col min="5122" max="5122" width="12.85546875" customWidth="1"/>
    <col min="5123" max="5123" width="14.42578125" customWidth="1"/>
    <col min="5124" max="5124" width="13.85546875" customWidth="1"/>
    <col min="5125" max="5125" width="11.28515625" customWidth="1"/>
    <col min="5126" max="5126" width="15.7109375" customWidth="1"/>
    <col min="5127" max="5127" width="15" customWidth="1"/>
    <col min="5128" max="5128" width="16.5703125" customWidth="1"/>
    <col min="5377" max="5377" width="13.7109375" customWidth="1"/>
    <col min="5378" max="5378" width="12.85546875" customWidth="1"/>
    <col min="5379" max="5379" width="14.42578125" customWidth="1"/>
    <col min="5380" max="5380" width="13.85546875" customWidth="1"/>
    <col min="5381" max="5381" width="11.28515625" customWidth="1"/>
    <col min="5382" max="5382" width="15.7109375" customWidth="1"/>
    <col min="5383" max="5383" width="15" customWidth="1"/>
    <col min="5384" max="5384" width="16.5703125" customWidth="1"/>
    <col min="5633" max="5633" width="13.7109375" customWidth="1"/>
    <col min="5634" max="5634" width="12.85546875" customWidth="1"/>
    <col min="5635" max="5635" width="14.42578125" customWidth="1"/>
    <col min="5636" max="5636" width="13.85546875" customWidth="1"/>
    <col min="5637" max="5637" width="11.28515625" customWidth="1"/>
    <col min="5638" max="5638" width="15.7109375" customWidth="1"/>
    <col min="5639" max="5639" width="15" customWidth="1"/>
    <col min="5640" max="5640" width="16.5703125" customWidth="1"/>
    <col min="5889" max="5889" width="13.7109375" customWidth="1"/>
    <col min="5890" max="5890" width="12.85546875" customWidth="1"/>
    <col min="5891" max="5891" width="14.42578125" customWidth="1"/>
    <col min="5892" max="5892" width="13.85546875" customWidth="1"/>
    <col min="5893" max="5893" width="11.28515625" customWidth="1"/>
    <col min="5894" max="5894" width="15.7109375" customWidth="1"/>
    <col min="5895" max="5895" width="15" customWidth="1"/>
    <col min="5896" max="5896" width="16.5703125" customWidth="1"/>
    <col min="6145" max="6145" width="13.7109375" customWidth="1"/>
    <col min="6146" max="6146" width="12.85546875" customWidth="1"/>
    <col min="6147" max="6147" width="14.42578125" customWidth="1"/>
    <col min="6148" max="6148" width="13.85546875" customWidth="1"/>
    <col min="6149" max="6149" width="11.28515625" customWidth="1"/>
    <col min="6150" max="6150" width="15.7109375" customWidth="1"/>
    <col min="6151" max="6151" width="15" customWidth="1"/>
    <col min="6152" max="6152" width="16.5703125" customWidth="1"/>
    <col min="6401" max="6401" width="13.7109375" customWidth="1"/>
    <col min="6402" max="6402" width="12.85546875" customWidth="1"/>
    <col min="6403" max="6403" width="14.42578125" customWidth="1"/>
    <col min="6404" max="6404" width="13.85546875" customWidth="1"/>
    <col min="6405" max="6405" width="11.28515625" customWidth="1"/>
    <col min="6406" max="6406" width="15.7109375" customWidth="1"/>
    <col min="6407" max="6407" width="15" customWidth="1"/>
    <col min="6408" max="6408" width="16.5703125" customWidth="1"/>
    <col min="6657" max="6657" width="13.7109375" customWidth="1"/>
    <col min="6658" max="6658" width="12.85546875" customWidth="1"/>
    <col min="6659" max="6659" width="14.42578125" customWidth="1"/>
    <col min="6660" max="6660" width="13.85546875" customWidth="1"/>
    <col min="6661" max="6661" width="11.28515625" customWidth="1"/>
    <col min="6662" max="6662" width="15.7109375" customWidth="1"/>
    <col min="6663" max="6663" width="15" customWidth="1"/>
    <col min="6664" max="6664" width="16.5703125" customWidth="1"/>
    <col min="6913" max="6913" width="13.7109375" customWidth="1"/>
    <col min="6914" max="6914" width="12.85546875" customWidth="1"/>
    <col min="6915" max="6915" width="14.42578125" customWidth="1"/>
    <col min="6916" max="6916" width="13.85546875" customWidth="1"/>
    <col min="6917" max="6917" width="11.28515625" customWidth="1"/>
    <col min="6918" max="6918" width="15.7109375" customWidth="1"/>
    <col min="6919" max="6919" width="15" customWidth="1"/>
    <col min="6920" max="6920" width="16.5703125" customWidth="1"/>
    <col min="7169" max="7169" width="13.7109375" customWidth="1"/>
    <col min="7170" max="7170" width="12.85546875" customWidth="1"/>
    <col min="7171" max="7171" width="14.42578125" customWidth="1"/>
    <col min="7172" max="7172" width="13.85546875" customWidth="1"/>
    <col min="7173" max="7173" width="11.28515625" customWidth="1"/>
    <col min="7174" max="7174" width="15.7109375" customWidth="1"/>
    <col min="7175" max="7175" width="15" customWidth="1"/>
    <col min="7176" max="7176" width="16.5703125" customWidth="1"/>
    <col min="7425" max="7425" width="13.7109375" customWidth="1"/>
    <col min="7426" max="7426" width="12.85546875" customWidth="1"/>
    <col min="7427" max="7427" width="14.42578125" customWidth="1"/>
    <col min="7428" max="7428" width="13.85546875" customWidth="1"/>
    <col min="7429" max="7429" width="11.28515625" customWidth="1"/>
    <col min="7430" max="7430" width="15.7109375" customWidth="1"/>
    <col min="7431" max="7431" width="15" customWidth="1"/>
    <col min="7432" max="7432" width="16.5703125" customWidth="1"/>
    <col min="7681" max="7681" width="13.7109375" customWidth="1"/>
    <col min="7682" max="7682" width="12.85546875" customWidth="1"/>
    <col min="7683" max="7683" width="14.42578125" customWidth="1"/>
    <col min="7684" max="7684" width="13.85546875" customWidth="1"/>
    <col min="7685" max="7685" width="11.28515625" customWidth="1"/>
    <col min="7686" max="7686" width="15.7109375" customWidth="1"/>
    <col min="7687" max="7687" width="15" customWidth="1"/>
    <col min="7688" max="7688" width="16.5703125" customWidth="1"/>
    <col min="7937" max="7937" width="13.7109375" customWidth="1"/>
    <col min="7938" max="7938" width="12.85546875" customWidth="1"/>
    <col min="7939" max="7939" width="14.42578125" customWidth="1"/>
    <col min="7940" max="7940" width="13.85546875" customWidth="1"/>
    <col min="7941" max="7941" width="11.28515625" customWidth="1"/>
    <col min="7942" max="7942" width="15.7109375" customWidth="1"/>
    <col min="7943" max="7943" width="15" customWidth="1"/>
    <col min="7944" max="7944" width="16.5703125" customWidth="1"/>
    <col min="8193" max="8193" width="13.7109375" customWidth="1"/>
    <col min="8194" max="8194" width="12.85546875" customWidth="1"/>
    <col min="8195" max="8195" width="14.42578125" customWidth="1"/>
    <col min="8196" max="8196" width="13.85546875" customWidth="1"/>
    <col min="8197" max="8197" width="11.28515625" customWidth="1"/>
    <col min="8198" max="8198" width="15.7109375" customWidth="1"/>
    <col min="8199" max="8199" width="15" customWidth="1"/>
    <col min="8200" max="8200" width="16.5703125" customWidth="1"/>
    <col min="8449" max="8449" width="13.7109375" customWidth="1"/>
    <col min="8450" max="8450" width="12.85546875" customWidth="1"/>
    <col min="8451" max="8451" width="14.42578125" customWidth="1"/>
    <col min="8452" max="8452" width="13.85546875" customWidth="1"/>
    <col min="8453" max="8453" width="11.28515625" customWidth="1"/>
    <col min="8454" max="8454" width="15.7109375" customWidth="1"/>
    <col min="8455" max="8455" width="15" customWidth="1"/>
    <col min="8456" max="8456" width="16.5703125" customWidth="1"/>
    <col min="8705" max="8705" width="13.7109375" customWidth="1"/>
    <col min="8706" max="8706" width="12.85546875" customWidth="1"/>
    <col min="8707" max="8707" width="14.42578125" customWidth="1"/>
    <col min="8708" max="8708" width="13.85546875" customWidth="1"/>
    <col min="8709" max="8709" width="11.28515625" customWidth="1"/>
    <col min="8710" max="8710" width="15.7109375" customWidth="1"/>
    <col min="8711" max="8711" width="15" customWidth="1"/>
    <col min="8712" max="8712" width="16.5703125" customWidth="1"/>
    <col min="8961" max="8961" width="13.7109375" customWidth="1"/>
    <col min="8962" max="8962" width="12.85546875" customWidth="1"/>
    <col min="8963" max="8963" width="14.42578125" customWidth="1"/>
    <col min="8964" max="8964" width="13.85546875" customWidth="1"/>
    <col min="8965" max="8965" width="11.28515625" customWidth="1"/>
    <col min="8966" max="8966" width="15.7109375" customWidth="1"/>
    <col min="8967" max="8967" width="15" customWidth="1"/>
    <col min="8968" max="8968" width="16.5703125" customWidth="1"/>
    <col min="9217" max="9217" width="13.7109375" customWidth="1"/>
    <col min="9218" max="9218" width="12.85546875" customWidth="1"/>
    <col min="9219" max="9219" width="14.42578125" customWidth="1"/>
    <col min="9220" max="9220" width="13.85546875" customWidth="1"/>
    <col min="9221" max="9221" width="11.28515625" customWidth="1"/>
    <col min="9222" max="9222" width="15.7109375" customWidth="1"/>
    <col min="9223" max="9223" width="15" customWidth="1"/>
    <col min="9224" max="9224" width="16.5703125" customWidth="1"/>
    <col min="9473" max="9473" width="13.7109375" customWidth="1"/>
    <col min="9474" max="9474" width="12.85546875" customWidth="1"/>
    <col min="9475" max="9475" width="14.42578125" customWidth="1"/>
    <col min="9476" max="9476" width="13.85546875" customWidth="1"/>
    <col min="9477" max="9477" width="11.28515625" customWidth="1"/>
    <col min="9478" max="9478" width="15.7109375" customWidth="1"/>
    <col min="9479" max="9479" width="15" customWidth="1"/>
    <col min="9480" max="9480" width="16.5703125" customWidth="1"/>
    <col min="9729" max="9729" width="13.7109375" customWidth="1"/>
    <col min="9730" max="9730" width="12.85546875" customWidth="1"/>
    <col min="9731" max="9731" width="14.42578125" customWidth="1"/>
    <col min="9732" max="9732" width="13.85546875" customWidth="1"/>
    <col min="9733" max="9733" width="11.28515625" customWidth="1"/>
    <col min="9734" max="9734" width="15.7109375" customWidth="1"/>
    <col min="9735" max="9735" width="15" customWidth="1"/>
    <col min="9736" max="9736" width="16.5703125" customWidth="1"/>
    <col min="9985" max="9985" width="13.7109375" customWidth="1"/>
    <col min="9986" max="9986" width="12.85546875" customWidth="1"/>
    <col min="9987" max="9987" width="14.42578125" customWidth="1"/>
    <col min="9988" max="9988" width="13.85546875" customWidth="1"/>
    <col min="9989" max="9989" width="11.28515625" customWidth="1"/>
    <col min="9990" max="9990" width="15.7109375" customWidth="1"/>
    <col min="9991" max="9991" width="15" customWidth="1"/>
    <col min="9992" max="9992" width="16.5703125" customWidth="1"/>
    <col min="10241" max="10241" width="13.7109375" customWidth="1"/>
    <col min="10242" max="10242" width="12.85546875" customWidth="1"/>
    <col min="10243" max="10243" width="14.42578125" customWidth="1"/>
    <col min="10244" max="10244" width="13.85546875" customWidth="1"/>
    <col min="10245" max="10245" width="11.28515625" customWidth="1"/>
    <col min="10246" max="10246" width="15.7109375" customWidth="1"/>
    <col min="10247" max="10247" width="15" customWidth="1"/>
    <col min="10248" max="10248" width="16.5703125" customWidth="1"/>
    <col min="10497" max="10497" width="13.7109375" customWidth="1"/>
    <col min="10498" max="10498" width="12.85546875" customWidth="1"/>
    <col min="10499" max="10499" width="14.42578125" customWidth="1"/>
    <col min="10500" max="10500" width="13.85546875" customWidth="1"/>
    <col min="10501" max="10501" width="11.28515625" customWidth="1"/>
    <col min="10502" max="10502" width="15.7109375" customWidth="1"/>
    <col min="10503" max="10503" width="15" customWidth="1"/>
    <col min="10504" max="10504" width="16.5703125" customWidth="1"/>
    <col min="10753" max="10753" width="13.7109375" customWidth="1"/>
    <col min="10754" max="10754" width="12.85546875" customWidth="1"/>
    <col min="10755" max="10755" width="14.42578125" customWidth="1"/>
    <col min="10756" max="10756" width="13.85546875" customWidth="1"/>
    <col min="10757" max="10757" width="11.28515625" customWidth="1"/>
    <col min="10758" max="10758" width="15.7109375" customWidth="1"/>
    <col min="10759" max="10759" width="15" customWidth="1"/>
    <col min="10760" max="10760" width="16.5703125" customWidth="1"/>
    <col min="11009" max="11009" width="13.7109375" customWidth="1"/>
    <col min="11010" max="11010" width="12.85546875" customWidth="1"/>
    <col min="11011" max="11011" width="14.42578125" customWidth="1"/>
    <col min="11012" max="11012" width="13.85546875" customWidth="1"/>
    <col min="11013" max="11013" width="11.28515625" customWidth="1"/>
    <col min="11014" max="11014" width="15.7109375" customWidth="1"/>
    <col min="11015" max="11015" width="15" customWidth="1"/>
    <col min="11016" max="11016" width="16.5703125" customWidth="1"/>
    <col min="11265" max="11265" width="13.7109375" customWidth="1"/>
    <col min="11266" max="11266" width="12.85546875" customWidth="1"/>
    <col min="11267" max="11267" width="14.42578125" customWidth="1"/>
    <col min="11268" max="11268" width="13.85546875" customWidth="1"/>
    <col min="11269" max="11269" width="11.28515625" customWidth="1"/>
    <col min="11270" max="11270" width="15.7109375" customWidth="1"/>
    <col min="11271" max="11271" width="15" customWidth="1"/>
    <col min="11272" max="11272" width="16.5703125" customWidth="1"/>
    <col min="11521" max="11521" width="13.7109375" customWidth="1"/>
    <col min="11522" max="11522" width="12.85546875" customWidth="1"/>
    <col min="11523" max="11523" width="14.42578125" customWidth="1"/>
    <col min="11524" max="11524" width="13.85546875" customWidth="1"/>
    <col min="11525" max="11525" width="11.28515625" customWidth="1"/>
    <col min="11526" max="11526" width="15.7109375" customWidth="1"/>
    <col min="11527" max="11527" width="15" customWidth="1"/>
    <col min="11528" max="11528" width="16.5703125" customWidth="1"/>
    <col min="11777" max="11777" width="13.7109375" customWidth="1"/>
    <col min="11778" max="11778" width="12.85546875" customWidth="1"/>
    <col min="11779" max="11779" width="14.42578125" customWidth="1"/>
    <col min="11780" max="11780" width="13.85546875" customWidth="1"/>
    <col min="11781" max="11781" width="11.28515625" customWidth="1"/>
    <col min="11782" max="11782" width="15.7109375" customWidth="1"/>
    <col min="11783" max="11783" width="15" customWidth="1"/>
    <col min="11784" max="11784" width="16.5703125" customWidth="1"/>
    <col min="12033" max="12033" width="13.7109375" customWidth="1"/>
    <col min="12034" max="12034" width="12.85546875" customWidth="1"/>
    <col min="12035" max="12035" width="14.42578125" customWidth="1"/>
    <col min="12036" max="12036" width="13.85546875" customWidth="1"/>
    <col min="12037" max="12037" width="11.28515625" customWidth="1"/>
    <col min="12038" max="12038" width="15.7109375" customWidth="1"/>
    <col min="12039" max="12039" width="15" customWidth="1"/>
    <col min="12040" max="12040" width="16.5703125" customWidth="1"/>
    <col min="12289" max="12289" width="13.7109375" customWidth="1"/>
    <col min="12290" max="12290" width="12.85546875" customWidth="1"/>
    <col min="12291" max="12291" width="14.42578125" customWidth="1"/>
    <col min="12292" max="12292" width="13.85546875" customWidth="1"/>
    <col min="12293" max="12293" width="11.28515625" customWidth="1"/>
    <col min="12294" max="12294" width="15.7109375" customWidth="1"/>
    <col min="12295" max="12295" width="15" customWidth="1"/>
    <col min="12296" max="12296" width="16.5703125" customWidth="1"/>
    <col min="12545" max="12545" width="13.7109375" customWidth="1"/>
    <col min="12546" max="12546" width="12.85546875" customWidth="1"/>
    <col min="12547" max="12547" width="14.42578125" customWidth="1"/>
    <col min="12548" max="12548" width="13.85546875" customWidth="1"/>
    <col min="12549" max="12549" width="11.28515625" customWidth="1"/>
    <col min="12550" max="12550" width="15.7109375" customWidth="1"/>
    <col min="12551" max="12551" width="15" customWidth="1"/>
    <col min="12552" max="12552" width="16.5703125" customWidth="1"/>
    <col min="12801" max="12801" width="13.7109375" customWidth="1"/>
    <col min="12802" max="12802" width="12.85546875" customWidth="1"/>
    <col min="12803" max="12803" width="14.42578125" customWidth="1"/>
    <col min="12804" max="12804" width="13.85546875" customWidth="1"/>
    <col min="12805" max="12805" width="11.28515625" customWidth="1"/>
    <col min="12806" max="12806" width="15.7109375" customWidth="1"/>
    <col min="12807" max="12807" width="15" customWidth="1"/>
    <col min="12808" max="12808" width="16.5703125" customWidth="1"/>
    <col min="13057" max="13057" width="13.7109375" customWidth="1"/>
    <col min="13058" max="13058" width="12.85546875" customWidth="1"/>
    <col min="13059" max="13059" width="14.42578125" customWidth="1"/>
    <col min="13060" max="13060" width="13.85546875" customWidth="1"/>
    <col min="13061" max="13061" width="11.28515625" customWidth="1"/>
    <col min="13062" max="13062" width="15.7109375" customWidth="1"/>
    <col min="13063" max="13063" width="15" customWidth="1"/>
    <col min="13064" max="13064" width="16.5703125" customWidth="1"/>
    <col min="13313" max="13313" width="13.7109375" customWidth="1"/>
    <col min="13314" max="13314" width="12.85546875" customWidth="1"/>
    <col min="13315" max="13315" width="14.42578125" customWidth="1"/>
    <col min="13316" max="13316" width="13.85546875" customWidth="1"/>
    <col min="13317" max="13317" width="11.28515625" customWidth="1"/>
    <col min="13318" max="13318" width="15.7109375" customWidth="1"/>
    <col min="13319" max="13319" width="15" customWidth="1"/>
    <col min="13320" max="13320" width="16.5703125" customWidth="1"/>
    <col min="13569" max="13569" width="13.7109375" customWidth="1"/>
    <col min="13570" max="13570" width="12.85546875" customWidth="1"/>
    <col min="13571" max="13571" width="14.42578125" customWidth="1"/>
    <col min="13572" max="13572" width="13.85546875" customWidth="1"/>
    <col min="13573" max="13573" width="11.28515625" customWidth="1"/>
    <col min="13574" max="13574" width="15.7109375" customWidth="1"/>
    <col min="13575" max="13575" width="15" customWidth="1"/>
    <col min="13576" max="13576" width="16.5703125" customWidth="1"/>
    <col min="13825" max="13825" width="13.7109375" customWidth="1"/>
    <col min="13826" max="13826" width="12.85546875" customWidth="1"/>
    <col min="13827" max="13827" width="14.42578125" customWidth="1"/>
    <col min="13828" max="13828" width="13.85546875" customWidth="1"/>
    <col min="13829" max="13829" width="11.28515625" customWidth="1"/>
    <col min="13830" max="13830" width="15.7109375" customWidth="1"/>
    <col min="13831" max="13831" width="15" customWidth="1"/>
    <col min="13832" max="13832" width="16.5703125" customWidth="1"/>
    <col min="14081" max="14081" width="13.7109375" customWidth="1"/>
    <col min="14082" max="14082" width="12.85546875" customWidth="1"/>
    <col min="14083" max="14083" width="14.42578125" customWidth="1"/>
    <col min="14084" max="14084" width="13.85546875" customWidth="1"/>
    <col min="14085" max="14085" width="11.28515625" customWidth="1"/>
    <col min="14086" max="14086" width="15.7109375" customWidth="1"/>
    <col min="14087" max="14087" width="15" customWidth="1"/>
    <col min="14088" max="14088" width="16.5703125" customWidth="1"/>
    <col min="14337" max="14337" width="13.7109375" customWidth="1"/>
    <col min="14338" max="14338" width="12.85546875" customWidth="1"/>
    <col min="14339" max="14339" width="14.42578125" customWidth="1"/>
    <col min="14340" max="14340" width="13.85546875" customWidth="1"/>
    <col min="14341" max="14341" width="11.28515625" customWidth="1"/>
    <col min="14342" max="14342" width="15.7109375" customWidth="1"/>
    <col min="14343" max="14343" width="15" customWidth="1"/>
    <col min="14344" max="14344" width="16.5703125" customWidth="1"/>
    <col min="14593" max="14593" width="13.7109375" customWidth="1"/>
    <col min="14594" max="14594" width="12.85546875" customWidth="1"/>
    <col min="14595" max="14595" width="14.42578125" customWidth="1"/>
    <col min="14596" max="14596" width="13.85546875" customWidth="1"/>
    <col min="14597" max="14597" width="11.28515625" customWidth="1"/>
    <col min="14598" max="14598" width="15.7109375" customWidth="1"/>
    <col min="14599" max="14599" width="15" customWidth="1"/>
    <col min="14600" max="14600" width="16.5703125" customWidth="1"/>
    <col min="14849" max="14849" width="13.7109375" customWidth="1"/>
    <col min="14850" max="14850" width="12.85546875" customWidth="1"/>
    <col min="14851" max="14851" width="14.42578125" customWidth="1"/>
    <col min="14852" max="14852" width="13.85546875" customWidth="1"/>
    <col min="14853" max="14853" width="11.28515625" customWidth="1"/>
    <col min="14854" max="14854" width="15.7109375" customWidth="1"/>
    <col min="14855" max="14855" width="15" customWidth="1"/>
    <col min="14856" max="14856" width="16.5703125" customWidth="1"/>
    <col min="15105" max="15105" width="13.7109375" customWidth="1"/>
    <col min="15106" max="15106" width="12.85546875" customWidth="1"/>
    <col min="15107" max="15107" width="14.42578125" customWidth="1"/>
    <col min="15108" max="15108" width="13.85546875" customWidth="1"/>
    <col min="15109" max="15109" width="11.28515625" customWidth="1"/>
    <col min="15110" max="15110" width="15.7109375" customWidth="1"/>
    <col min="15111" max="15111" width="15" customWidth="1"/>
    <col min="15112" max="15112" width="16.5703125" customWidth="1"/>
    <col min="15361" max="15361" width="13.7109375" customWidth="1"/>
    <col min="15362" max="15362" width="12.85546875" customWidth="1"/>
    <col min="15363" max="15363" width="14.42578125" customWidth="1"/>
    <col min="15364" max="15364" width="13.85546875" customWidth="1"/>
    <col min="15365" max="15365" width="11.28515625" customWidth="1"/>
    <col min="15366" max="15366" width="15.7109375" customWidth="1"/>
    <col min="15367" max="15367" width="15" customWidth="1"/>
    <col min="15368" max="15368" width="16.5703125" customWidth="1"/>
    <col min="15617" max="15617" width="13.7109375" customWidth="1"/>
    <col min="15618" max="15618" width="12.85546875" customWidth="1"/>
    <col min="15619" max="15619" width="14.42578125" customWidth="1"/>
    <col min="15620" max="15620" width="13.85546875" customWidth="1"/>
    <col min="15621" max="15621" width="11.28515625" customWidth="1"/>
    <col min="15622" max="15622" width="15.7109375" customWidth="1"/>
    <col min="15623" max="15623" width="15" customWidth="1"/>
    <col min="15624" max="15624" width="16.5703125" customWidth="1"/>
    <col min="15873" max="15873" width="13.7109375" customWidth="1"/>
    <col min="15874" max="15874" width="12.85546875" customWidth="1"/>
    <col min="15875" max="15875" width="14.42578125" customWidth="1"/>
    <col min="15876" max="15876" width="13.85546875" customWidth="1"/>
    <col min="15877" max="15877" width="11.28515625" customWidth="1"/>
    <col min="15878" max="15878" width="15.7109375" customWidth="1"/>
    <col min="15879" max="15879" width="15" customWidth="1"/>
    <col min="15880" max="15880" width="16.5703125" customWidth="1"/>
    <col min="16129" max="16129" width="13.7109375" customWidth="1"/>
    <col min="16130" max="16130" width="12.85546875" customWidth="1"/>
    <col min="16131" max="16131" width="14.42578125" customWidth="1"/>
    <col min="16132" max="16132" width="13.85546875" customWidth="1"/>
    <col min="16133" max="16133" width="11.28515625" customWidth="1"/>
    <col min="16134" max="16134" width="15.7109375" customWidth="1"/>
    <col min="16135" max="16135" width="15" customWidth="1"/>
    <col min="16136" max="16136" width="16.5703125" customWidth="1"/>
  </cols>
  <sheetData>
    <row r="1" spans="1:8" ht="18.75">
      <c r="A1" s="911" t="s">
        <v>328</v>
      </c>
      <c r="B1" s="911"/>
      <c r="C1" s="911"/>
      <c r="D1" s="911"/>
      <c r="E1" s="911"/>
      <c r="F1" s="911"/>
      <c r="G1" s="112"/>
      <c r="H1" s="112"/>
    </row>
    <row r="2" spans="1:8" ht="18" customHeight="1">
      <c r="A2" s="912" t="s">
        <v>508</v>
      </c>
      <c r="B2" s="912"/>
      <c r="C2" s="912"/>
      <c r="D2" s="912"/>
      <c r="E2" s="912"/>
      <c r="F2" s="912"/>
    </row>
    <row r="3" spans="1:8" ht="19.149999999999999" customHeight="1">
      <c r="A3" s="1091" t="s">
        <v>533</v>
      </c>
      <c r="B3" s="1091"/>
      <c r="C3" s="1091"/>
      <c r="D3" s="1091"/>
      <c r="E3" s="1091"/>
      <c r="F3" s="1091"/>
    </row>
    <row r="4" spans="1:8" ht="27" customHeight="1">
      <c r="A4" s="914" t="s">
        <v>330</v>
      </c>
      <c r="B4" s="914"/>
      <c r="C4" s="914"/>
      <c r="D4" s="914"/>
      <c r="E4" s="914"/>
      <c r="F4" s="914"/>
    </row>
    <row r="5" spans="1:8" ht="15.75">
      <c r="A5" s="915" t="s">
        <v>331</v>
      </c>
      <c r="B5" s="915"/>
      <c r="C5" s="915"/>
      <c r="D5" t="s">
        <v>332</v>
      </c>
    </row>
    <row r="7" spans="1:8" ht="25.9" customHeight="1">
      <c r="A7" s="113" t="s">
        <v>333</v>
      </c>
      <c r="B7" s="113" t="s">
        <v>334</v>
      </c>
      <c r="C7" s="910" t="s">
        <v>335</v>
      </c>
      <c r="D7" s="910"/>
      <c r="E7" s="910"/>
      <c r="F7" s="910"/>
    </row>
    <row r="8" spans="1:8" ht="15.6" customHeight="1">
      <c r="A8" s="113" t="s">
        <v>336</v>
      </c>
      <c r="B8" s="113" t="s">
        <v>334</v>
      </c>
      <c r="C8" s="917" t="s">
        <v>337</v>
      </c>
      <c r="D8" s="917"/>
      <c r="E8" s="917"/>
      <c r="F8" s="917"/>
    </row>
    <row r="9" spans="1:8" ht="18" customHeight="1">
      <c r="A9" s="113" t="s">
        <v>338</v>
      </c>
      <c r="B9" s="113" t="s">
        <v>334</v>
      </c>
      <c r="C9" s="917" t="s">
        <v>339</v>
      </c>
      <c r="D9" s="917"/>
      <c r="E9" s="917"/>
      <c r="F9" s="917"/>
    </row>
    <row r="10" spans="1:8">
      <c r="A10" s="113" t="s">
        <v>340</v>
      </c>
      <c r="B10" s="113" t="s">
        <v>334</v>
      </c>
      <c r="C10" s="917" t="s">
        <v>341</v>
      </c>
      <c r="D10" s="917"/>
      <c r="E10" s="917"/>
      <c r="F10" s="917"/>
    </row>
    <row r="11" spans="1:8">
      <c r="A11" s="113" t="s">
        <v>342</v>
      </c>
      <c r="B11" s="113" t="s">
        <v>334</v>
      </c>
      <c r="C11" s="917" t="s">
        <v>343</v>
      </c>
      <c r="D11" s="917"/>
      <c r="E11" s="917"/>
      <c r="F11" s="917"/>
    </row>
    <row r="13" spans="1:8" ht="24.6" customHeight="1">
      <c r="A13" s="914" t="s">
        <v>344</v>
      </c>
      <c r="B13" s="914"/>
      <c r="C13" s="914"/>
      <c r="D13" s="914"/>
      <c r="E13" s="914"/>
      <c r="F13" s="914"/>
    </row>
    <row r="14" spans="1:8" ht="19.149999999999999" customHeight="1">
      <c r="A14" s="918" t="s">
        <v>345</v>
      </c>
      <c r="B14" s="918"/>
      <c r="C14" s="918"/>
      <c r="D14" s="114" t="s">
        <v>332</v>
      </c>
    </row>
    <row r="15" spans="1:8">
      <c r="A15" s="115" t="s">
        <v>336</v>
      </c>
      <c r="B15" s="115" t="s">
        <v>334</v>
      </c>
      <c r="C15" s="1090" t="s">
        <v>337</v>
      </c>
      <c r="D15" s="1090"/>
      <c r="E15" s="1090"/>
      <c r="F15" s="1090"/>
    </row>
    <row r="16" spans="1:8" ht="25.15" customHeight="1">
      <c r="A16" s="115" t="s">
        <v>346</v>
      </c>
      <c r="B16" s="115" t="s">
        <v>334</v>
      </c>
      <c r="C16" s="1090" t="s">
        <v>347</v>
      </c>
      <c r="D16" s="1090"/>
      <c r="E16" s="1090"/>
      <c r="F16" s="1090"/>
    </row>
    <row r="17" spans="1:7">
      <c r="A17" s="115" t="s">
        <v>348</v>
      </c>
      <c r="B17" s="115" t="s">
        <v>334</v>
      </c>
      <c r="C17" s="1090" t="s">
        <v>349</v>
      </c>
      <c r="D17" s="1090"/>
      <c r="E17" s="1090"/>
      <c r="F17" s="1090"/>
    </row>
    <row r="18" spans="1:7">
      <c r="A18" s="115" t="s">
        <v>350</v>
      </c>
      <c r="B18" s="115" t="s">
        <v>334</v>
      </c>
      <c r="C18" s="919" t="s">
        <v>351</v>
      </c>
      <c r="D18" s="919"/>
      <c r="E18" s="919"/>
      <c r="F18" s="919"/>
    </row>
    <row r="20" spans="1:7" ht="25.15" customHeight="1">
      <c r="A20" s="920" t="s">
        <v>352</v>
      </c>
      <c r="B20" s="920"/>
      <c r="C20" s="920"/>
      <c r="D20" s="920"/>
      <c r="E20" s="920"/>
      <c r="F20" s="920"/>
    </row>
    <row r="21" spans="1:7" ht="13.9" customHeight="1">
      <c r="A21" s="916" t="s">
        <v>353</v>
      </c>
      <c r="B21" s="916"/>
      <c r="D21" s="114" t="s">
        <v>332</v>
      </c>
    </row>
    <row r="22" spans="1:7">
      <c r="A22" s="115" t="s">
        <v>338</v>
      </c>
      <c r="B22" s="115" t="s">
        <v>334</v>
      </c>
      <c r="C22" s="1090" t="s">
        <v>339</v>
      </c>
      <c r="D22" s="1090"/>
      <c r="E22" s="1090"/>
      <c r="F22" s="1090"/>
    </row>
    <row r="23" spans="1:7" ht="35.25" customHeight="1">
      <c r="A23" s="115" t="s">
        <v>354</v>
      </c>
      <c r="B23" s="115" t="s">
        <v>334</v>
      </c>
      <c r="C23" s="1090" t="s">
        <v>355</v>
      </c>
      <c r="D23" s="1090"/>
      <c r="E23" s="1090"/>
      <c r="F23" s="1090"/>
    </row>
    <row r="24" spans="1:7" ht="42" customHeight="1">
      <c r="A24" s="116" t="s">
        <v>356</v>
      </c>
      <c r="B24" s="116" t="s">
        <v>334</v>
      </c>
      <c r="C24" s="919" t="s">
        <v>357</v>
      </c>
      <c r="D24" s="919"/>
      <c r="E24" s="919"/>
      <c r="F24" s="919"/>
    </row>
    <row r="25" spans="1:7" ht="14.45" customHeight="1"/>
    <row r="26" spans="1:7">
      <c r="A26" s="117">
        <f>ЗВЕДЕНИЙ!V76</f>
        <v>132830.97775240001</v>
      </c>
      <c r="B26" s="118" t="s">
        <v>923</v>
      </c>
      <c r="D26" t="s">
        <v>1056</v>
      </c>
      <c r="E26" s="119"/>
      <c r="F26" s="120">
        <f>ROUND(A26/A27,4)</f>
        <v>5.8999999999999999E-3</v>
      </c>
    </row>
    <row r="27" spans="1:7">
      <c r="A27" s="121">
        <f>(ЗВЕДЕНИЙ!V78-ЗВЕДЕНИЙ!V34)+ЗВЕДЕНИЙ!V28+814000</f>
        <v>22376657.905571479</v>
      </c>
      <c r="B27" s="118" t="s">
        <v>1038</v>
      </c>
    </row>
    <row r="28" spans="1:7">
      <c r="B28" s="122"/>
      <c r="C28" s="923"/>
      <c r="D28" s="923"/>
      <c r="E28" s="123"/>
      <c r="F28" s="124"/>
    </row>
    <row r="29" spans="1:7">
      <c r="C29" s="125"/>
      <c r="F29" s="126"/>
    </row>
    <row r="30" spans="1:7">
      <c r="A30" s="127">
        <f>((ЗВЕДЕНИЙ!V34-ЗВЕДЕНИЙ!V28)*22%)+ЗВЕДЕНИЙ!V34-ЗВЕДЕНИЙ!V28</f>
        <v>5320405.4708892182</v>
      </c>
      <c r="B30" t="s">
        <v>783</v>
      </c>
      <c r="D30" t="s">
        <v>1057</v>
      </c>
      <c r="F30" s="128">
        <f>(A30*F26)/2088</f>
        <v>15.033712776937923</v>
      </c>
      <c r="G30">
        <f>F30/'[2]догляд вдома'!L10</f>
        <v>0.18848084601614953</v>
      </c>
    </row>
    <row r="31" spans="1:7">
      <c r="C31" s="125"/>
    </row>
    <row r="32" spans="1:7">
      <c r="A32" s="129"/>
      <c r="B32" s="130"/>
      <c r="C32" s="131"/>
      <c r="D32" s="130"/>
    </row>
    <row r="33" spans="1:6" ht="44.45" customHeight="1">
      <c r="A33" s="1088" t="s">
        <v>839</v>
      </c>
      <c r="B33" s="1088"/>
      <c r="C33" s="1088"/>
      <c r="D33" s="1088"/>
      <c r="E33" s="1088"/>
      <c r="F33" s="1088"/>
    </row>
    <row r="34" spans="1:6" ht="29.45" customHeight="1">
      <c r="A34" s="1088" t="s">
        <v>360</v>
      </c>
      <c r="B34" s="1088"/>
      <c r="C34" s="1088"/>
      <c r="D34" s="1088"/>
      <c r="E34" s="1088"/>
      <c r="F34" s="1088"/>
    </row>
    <row r="37" spans="1:6" ht="15.75">
      <c r="A37" s="295" t="s">
        <v>23</v>
      </c>
      <c r="B37" s="37"/>
      <c r="C37" s="51"/>
      <c r="D37" s="51" t="s">
        <v>51</v>
      </c>
      <c r="E37" s="90"/>
    </row>
  </sheetData>
  <mergeCells count="24">
    <mergeCell ref="C23:F23"/>
    <mergeCell ref="C24:F24"/>
    <mergeCell ref="C28:D28"/>
    <mergeCell ref="A33:F33"/>
    <mergeCell ref="A34:F34"/>
    <mergeCell ref="C22:F22"/>
    <mergeCell ref="C9:F9"/>
    <mergeCell ref="C10:F10"/>
    <mergeCell ref="C11:F11"/>
    <mergeCell ref="A13:F13"/>
    <mergeCell ref="A14:C14"/>
    <mergeCell ref="C15:F15"/>
    <mergeCell ref="C16:F16"/>
    <mergeCell ref="C17:F17"/>
    <mergeCell ref="C18:F18"/>
    <mergeCell ref="A20:F20"/>
    <mergeCell ref="A21:B21"/>
    <mergeCell ref="C8:F8"/>
    <mergeCell ref="A1:F1"/>
    <mergeCell ref="A2:F2"/>
    <mergeCell ref="A4:F4"/>
    <mergeCell ref="A5:C5"/>
    <mergeCell ref="C7:F7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colBreaks count="1" manualBreakCount="1">
    <brk id="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40"/>
  <sheetViews>
    <sheetView view="pageBreakPreview" zoomScale="90" zoomScaleNormal="100" zoomScaleSheetLayoutView="90" workbookViewId="0">
      <selection activeCell="A26" sqref="A26"/>
    </sheetView>
  </sheetViews>
  <sheetFormatPr defaultRowHeight="15"/>
  <cols>
    <col min="1" max="1" width="13.7109375" customWidth="1"/>
    <col min="2" max="2" width="12.85546875" customWidth="1"/>
    <col min="3" max="3" width="14.42578125" customWidth="1"/>
    <col min="4" max="4" width="13.85546875" customWidth="1"/>
    <col min="5" max="5" width="14.42578125" customWidth="1"/>
    <col min="6" max="6" width="20.140625" customWidth="1"/>
    <col min="7" max="7" width="15" customWidth="1"/>
    <col min="8" max="8" width="16.5703125" customWidth="1"/>
    <col min="257" max="257" width="13.7109375" customWidth="1"/>
    <col min="258" max="258" width="12.85546875" customWidth="1"/>
    <col min="259" max="259" width="14.42578125" customWidth="1"/>
    <col min="260" max="260" width="13.85546875" customWidth="1"/>
    <col min="261" max="261" width="11.28515625" customWidth="1"/>
    <col min="262" max="262" width="15.7109375" customWidth="1"/>
    <col min="263" max="263" width="15" customWidth="1"/>
    <col min="264" max="264" width="16.5703125" customWidth="1"/>
    <col min="513" max="513" width="13.7109375" customWidth="1"/>
    <col min="514" max="514" width="12.85546875" customWidth="1"/>
    <col min="515" max="515" width="14.42578125" customWidth="1"/>
    <col min="516" max="516" width="13.85546875" customWidth="1"/>
    <col min="517" max="517" width="11.28515625" customWidth="1"/>
    <col min="518" max="518" width="15.7109375" customWidth="1"/>
    <col min="519" max="519" width="15" customWidth="1"/>
    <col min="520" max="520" width="16.5703125" customWidth="1"/>
    <col min="769" max="769" width="13.7109375" customWidth="1"/>
    <col min="770" max="770" width="12.85546875" customWidth="1"/>
    <col min="771" max="771" width="14.42578125" customWidth="1"/>
    <col min="772" max="772" width="13.85546875" customWidth="1"/>
    <col min="773" max="773" width="11.28515625" customWidth="1"/>
    <col min="774" max="774" width="15.7109375" customWidth="1"/>
    <col min="775" max="775" width="15" customWidth="1"/>
    <col min="776" max="776" width="16.5703125" customWidth="1"/>
    <col min="1025" max="1025" width="13.7109375" customWidth="1"/>
    <col min="1026" max="1026" width="12.85546875" customWidth="1"/>
    <col min="1027" max="1027" width="14.42578125" customWidth="1"/>
    <col min="1028" max="1028" width="13.85546875" customWidth="1"/>
    <col min="1029" max="1029" width="11.28515625" customWidth="1"/>
    <col min="1030" max="1030" width="15.7109375" customWidth="1"/>
    <col min="1031" max="1031" width="15" customWidth="1"/>
    <col min="1032" max="1032" width="16.5703125" customWidth="1"/>
    <col min="1281" max="1281" width="13.7109375" customWidth="1"/>
    <col min="1282" max="1282" width="12.85546875" customWidth="1"/>
    <col min="1283" max="1283" width="14.42578125" customWidth="1"/>
    <col min="1284" max="1284" width="13.85546875" customWidth="1"/>
    <col min="1285" max="1285" width="11.28515625" customWidth="1"/>
    <col min="1286" max="1286" width="15.7109375" customWidth="1"/>
    <col min="1287" max="1287" width="15" customWidth="1"/>
    <col min="1288" max="1288" width="16.5703125" customWidth="1"/>
    <col min="1537" max="1537" width="13.7109375" customWidth="1"/>
    <col min="1538" max="1538" width="12.85546875" customWidth="1"/>
    <col min="1539" max="1539" width="14.42578125" customWidth="1"/>
    <col min="1540" max="1540" width="13.85546875" customWidth="1"/>
    <col min="1541" max="1541" width="11.28515625" customWidth="1"/>
    <col min="1542" max="1542" width="15.7109375" customWidth="1"/>
    <col min="1543" max="1543" width="15" customWidth="1"/>
    <col min="1544" max="1544" width="16.5703125" customWidth="1"/>
    <col min="1793" max="1793" width="13.7109375" customWidth="1"/>
    <col min="1794" max="1794" width="12.85546875" customWidth="1"/>
    <col min="1795" max="1795" width="14.42578125" customWidth="1"/>
    <col min="1796" max="1796" width="13.85546875" customWidth="1"/>
    <col min="1797" max="1797" width="11.28515625" customWidth="1"/>
    <col min="1798" max="1798" width="15.7109375" customWidth="1"/>
    <col min="1799" max="1799" width="15" customWidth="1"/>
    <col min="1800" max="1800" width="16.5703125" customWidth="1"/>
    <col min="2049" max="2049" width="13.7109375" customWidth="1"/>
    <col min="2050" max="2050" width="12.85546875" customWidth="1"/>
    <col min="2051" max="2051" width="14.42578125" customWidth="1"/>
    <col min="2052" max="2052" width="13.85546875" customWidth="1"/>
    <col min="2053" max="2053" width="11.28515625" customWidth="1"/>
    <col min="2054" max="2054" width="15.7109375" customWidth="1"/>
    <col min="2055" max="2055" width="15" customWidth="1"/>
    <col min="2056" max="2056" width="16.5703125" customWidth="1"/>
    <col min="2305" max="2305" width="13.7109375" customWidth="1"/>
    <col min="2306" max="2306" width="12.85546875" customWidth="1"/>
    <col min="2307" max="2307" width="14.42578125" customWidth="1"/>
    <col min="2308" max="2308" width="13.85546875" customWidth="1"/>
    <col min="2309" max="2309" width="11.28515625" customWidth="1"/>
    <col min="2310" max="2310" width="15.7109375" customWidth="1"/>
    <col min="2311" max="2311" width="15" customWidth="1"/>
    <col min="2312" max="2312" width="16.5703125" customWidth="1"/>
    <col min="2561" max="2561" width="13.7109375" customWidth="1"/>
    <col min="2562" max="2562" width="12.85546875" customWidth="1"/>
    <col min="2563" max="2563" width="14.42578125" customWidth="1"/>
    <col min="2564" max="2564" width="13.85546875" customWidth="1"/>
    <col min="2565" max="2565" width="11.28515625" customWidth="1"/>
    <col min="2566" max="2566" width="15.7109375" customWidth="1"/>
    <col min="2567" max="2567" width="15" customWidth="1"/>
    <col min="2568" max="2568" width="16.5703125" customWidth="1"/>
    <col min="2817" max="2817" width="13.7109375" customWidth="1"/>
    <col min="2818" max="2818" width="12.85546875" customWidth="1"/>
    <col min="2819" max="2819" width="14.42578125" customWidth="1"/>
    <col min="2820" max="2820" width="13.85546875" customWidth="1"/>
    <col min="2821" max="2821" width="11.28515625" customWidth="1"/>
    <col min="2822" max="2822" width="15.7109375" customWidth="1"/>
    <col min="2823" max="2823" width="15" customWidth="1"/>
    <col min="2824" max="2824" width="16.5703125" customWidth="1"/>
    <col min="3073" max="3073" width="13.7109375" customWidth="1"/>
    <col min="3074" max="3074" width="12.85546875" customWidth="1"/>
    <col min="3075" max="3075" width="14.42578125" customWidth="1"/>
    <col min="3076" max="3076" width="13.85546875" customWidth="1"/>
    <col min="3077" max="3077" width="11.28515625" customWidth="1"/>
    <col min="3078" max="3078" width="15.7109375" customWidth="1"/>
    <col min="3079" max="3079" width="15" customWidth="1"/>
    <col min="3080" max="3080" width="16.5703125" customWidth="1"/>
    <col min="3329" max="3329" width="13.7109375" customWidth="1"/>
    <col min="3330" max="3330" width="12.85546875" customWidth="1"/>
    <col min="3331" max="3331" width="14.42578125" customWidth="1"/>
    <col min="3332" max="3332" width="13.85546875" customWidth="1"/>
    <col min="3333" max="3333" width="11.28515625" customWidth="1"/>
    <col min="3334" max="3334" width="15.7109375" customWidth="1"/>
    <col min="3335" max="3335" width="15" customWidth="1"/>
    <col min="3336" max="3336" width="16.5703125" customWidth="1"/>
    <col min="3585" max="3585" width="13.7109375" customWidth="1"/>
    <col min="3586" max="3586" width="12.85546875" customWidth="1"/>
    <col min="3587" max="3587" width="14.42578125" customWidth="1"/>
    <col min="3588" max="3588" width="13.85546875" customWidth="1"/>
    <col min="3589" max="3589" width="11.28515625" customWidth="1"/>
    <col min="3590" max="3590" width="15.7109375" customWidth="1"/>
    <col min="3591" max="3591" width="15" customWidth="1"/>
    <col min="3592" max="3592" width="16.5703125" customWidth="1"/>
    <col min="3841" max="3841" width="13.7109375" customWidth="1"/>
    <col min="3842" max="3842" width="12.85546875" customWidth="1"/>
    <col min="3843" max="3843" width="14.42578125" customWidth="1"/>
    <col min="3844" max="3844" width="13.85546875" customWidth="1"/>
    <col min="3845" max="3845" width="11.28515625" customWidth="1"/>
    <col min="3846" max="3846" width="15.7109375" customWidth="1"/>
    <col min="3847" max="3847" width="15" customWidth="1"/>
    <col min="3848" max="3848" width="16.5703125" customWidth="1"/>
    <col min="4097" max="4097" width="13.7109375" customWidth="1"/>
    <col min="4098" max="4098" width="12.85546875" customWidth="1"/>
    <col min="4099" max="4099" width="14.42578125" customWidth="1"/>
    <col min="4100" max="4100" width="13.85546875" customWidth="1"/>
    <col min="4101" max="4101" width="11.28515625" customWidth="1"/>
    <col min="4102" max="4102" width="15.7109375" customWidth="1"/>
    <col min="4103" max="4103" width="15" customWidth="1"/>
    <col min="4104" max="4104" width="16.5703125" customWidth="1"/>
    <col min="4353" max="4353" width="13.7109375" customWidth="1"/>
    <col min="4354" max="4354" width="12.85546875" customWidth="1"/>
    <col min="4355" max="4355" width="14.42578125" customWidth="1"/>
    <col min="4356" max="4356" width="13.85546875" customWidth="1"/>
    <col min="4357" max="4357" width="11.28515625" customWidth="1"/>
    <col min="4358" max="4358" width="15.7109375" customWidth="1"/>
    <col min="4359" max="4359" width="15" customWidth="1"/>
    <col min="4360" max="4360" width="16.5703125" customWidth="1"/>
    <col min="4609" max="4609" width="13.7109375" customWidth="1"/>
    <col min="4610" max="4610" width="12.85546875" customWidth="1"/>
    <col min="4611" max="4611" width="14.42578125" customWidth="1"/>
    <col min="4612" max="4612" width="13.85546875" customWidth="1"/>
    <col min="4613" max="4613" width="11.28515625" customWidth="1"/>
    <col min="4614" max="4614" width="15.7109375" customWidth="1"/>
    <col min="4615" max="4615" width="15" customWidth="1"/>
    <col min="4616" max="4616" width="16.5703125" customWidth="1"/>
    <col min="4865" max="4865" width="13.7109375" customWidth="1"/>
    <col min="4866" max="4866" width="12.85546875" customWidth="1"/>
    <col min="4867" max="4867" width="14.42578125" customWidth="1"/>
    <col min="4868" max="4868" width="13.85546875" customWidth="1"/>
    <col min="4869" max="4869" width="11.28515625" customWidth="1"/>
    <col min="4870" max="4870" width="15.7109375" customWidth="1"/>
    <col min="4871" max="4871" width="15" customWidth="1"/>
    <col min="4872" max="4872" width="16.5703125" customWidth="1"/>
    <col min="5121" max="5121" width="13.7109375" customWidth="1"/>
    <col min="5122" max="5122" width="12.85546875" customWidth="1"/>
    <col min="5123" max="5123" width="14.42578125" customWidth="1"/>
    <col min="5124" max="5124" width="13.85546875" customWidth="1"/>
    <col min="5125" max="5125" width="11.28515625" customWidth="1"/>
    <col min="5126" max="5126" width="15.7109375" customWidth="1"/>
    <col min="5127" max="5127" width="15" customWidth="1"/>
    <col min="5128" max="5128" width="16.5703125" customWidth="1"/>
    <col min="5377" max="5377" width="13.7109375" customWidth="1"/>
    <col min="5378" max="5378" width="12.85546875" customWidth="1"/>
    <col min="5379" max="5379" width="14.42578125" customWidth="1"/>
    <col min="5380" max="5380" width="13.85546875" customWidth="1"/>
    <col min="5381" max="5381" width="11.28515625" customWidth="1"/>
    <col min="5382" max="5382" width="15.7109375" customWidth="1"/>
    <col min="5383" max="5383" width="15" customWidth="1"/>
    <col min="5384" max="5384" width="16.5703125" customWidth="1"/>
    <col min="5633" max="5633" width="13.7109375" customWidth="1"/>
    <col min="5634" max="5634" width="12.85546875" customWidth="1"/>
    <col min="5635" max="5635" width="14.42578125" customWidth="1"/>
    <col min="5636" max="5636" width="13.85546875" customWidth="1"/>
    <col min="5637" max="5637" width="11.28515625" customWidth="1"/>
    <col min="5638" max="5638" width="15.7109375" customWidth="1"/>
    <col min="5639" max="5639" width="15" customWidth="1"/>
    <col min="5640" max="5640" width="16.5703125" customWidth="1"/>
    <col min="5889" max="5889" width="13.7109375" customWidth="1"/>
    <col min="5890" max="5890" width="12.85546875" customWidth="1"/>
    <col min="5891" max="5891" width="14.42578125" customWidth="1"/>
    <col min="5892" max="5892" width="13.85546875" customWidth="1"/>
    <col min="5893" max="5893" width="11.28515625" customWidth="1"/>
    <col min="5894" max="5894" width="15.7109375" customWidth="1"/>
    <col min="5895" max="5895" width="15" customWidth="1"/>
    <col min="5896" max="5896" width="16.5703125" customWidth="1"/>
    <col min="6145" max="6145" width="13.7109375" customWidth="1"/>
    <col min="6146" max="6146" width="12.85546875" customWidth="1"/>
    <col min="6147" max="6147" width="14.42578125" customWidth="1"/>
    <col min="6148" max="6148" width="13.85546875" customWidth="1"/>
    <col min="6149" max="6149" width="11.28515625" customWidth="1"/>
    <col min="6150" max="6150" width="15.7109375" customWidth="1"/>
    <col min="6151" max="6151" width="15" customWidth="1"/>
    <col min="6152" max="6152" width="16.5703125" customWidth="1"/>
    <col min="6401" max="6401" width="13.7109375" customWidth="1"/>
    <col min="6402" max="6402" width="12.85546875" customWidth="1"/>
    <col min="6403" max="6403" width="14.42578125" customWidth="1"/>
    <col min="6404" max="6404" width="13.85546875" customWidth="1"/>
    <col min="6405" max="6405" width="11.28515625" customWidth="1"/>
    <col min="6406" max="6406" width="15.7109375" customWidth="1"/>
    <col min="6407" max="6407" width="15" customWidth="1"/>
    <col min="6408" max="6408" width="16.5703125" customWidth="1"/>
    <col min="6657" max="6657" width="13.7109375" customWidth="1"/>
    <col min="6658" max="6658" width="12.85546875" customWidth="1"/>
    <col min="6659" max="6659" width="14.42578125" customWidth="1"/>
    <col min="6660" max="6660" width="13.85546875" customWidth="1"/>
    <col min="6661" max="6661" width="11.28515625" customWidth="1"/>
    <col min="6662" max="6662" width="15.7109375" customWidth="1"/>
    <col min="6663" max="6663" width="15" customWidth="1"/>
    <col min="6664" max="6664" width="16.5703125" customWidth="1"/>
    <col min="6913" max="6913" width="13.7109375" customWidth="1"/>
    <col min="6914" max="6914" width="12.85546875" customWidth="1"/>
    <col min="6915" max="6915" width="14.42578125" customWidth="1"/>
    <col min="6916" max="6916" width="13.85546875" customWidth="1"/>
    <col min="6917" max="6917" width="11.28515625" customWidth="1"/>
    <col min="6918" max="6918" width="15.7109375" customWidth="1"/>
    <col min="6919" max="6919" width="15" customWidth="1"/>
    <col min="6920" max="6920" width="16.5703125" customWidth="1"/>
    <col min="7169" max="7169" width="13.7109375" customWidth="1"/>
    <col min="7170" max="7170" width="12.85546875" customWidth="1"/>
    <col min="7171" max="7171" width="14.42578125" customWidth="1"/>
    <col min="7172" max="7172" width="13.85546875" customWidth="1"/>
    <col min="7173" max="7173" width="11.28515625" customWidth="1"/>
    <col min="7174" max="7174" width="15.7109375" customWidth="1"/>
    <col min="7175" max="7175" width="15" customWidth="1"/>
    <col min="7176" max="7176" width="16.5703125" customWidth="1"/>
    <col min="7425" max="7425" width="13.7109375" customWidth="1"/>
    <col min="7426" max="7426" width="12.85546875" customWidth="1"/>
    <col min="7427" max="7427" width="14.42578125" customWidth="1"/>
    <col min="7428" max="7428" width="13.85546875" customWidth="1"/>
    <col min="7429" max="7429" width="11.28515625" customWidth="1"/>
    <col min="7430" max="7430" width="15.7109375" customWidth="1"/>
    <col min="7431" max="7431" width="15" customWidth="1"/>
    <col min="7432" max="7432" width="16.5703125" customWidth="1"/>
    <col min="7681" max="7681" width="13.7109375" customWidth="1"/>
    <col min="7682" max="7682" width="12.85546875" customWidth="1"/>
    <col min="7683" max="7683" width="14.42578125" customWidth="1"/>
    <col min="7684" max="7684" width="13.85546875" customWidth="1"/>
    <col min="7685" max="7685" width="11.28515625" customWidth="1"/>
    <col min="7686" max="7686" width="15.7109375" customWidth="1"/>
    <col min="7687" max="7687" width="15" customWidth="1"/>
    <col min="7688" max="7688" width="16.5703125" customWidth="1"/>
    <col min="7937" max="7937" width="13.7109375" customWidth="1"/>
    <col min="7938" max="7938" width="12.85546875" customWidth="1"/>
    <col min="7939" max="7939" width="14.42578125" customWidth="1"/>
    <col min="7940" max="7940" width="13.85546875" customWidth="1"/>
    <col min="7941" max="7941" width="11.28515625" customWidth="1"/>
    <col min="7942" max="7942" width="15.7109375" customWidth="1"/>
    <col min="7943" max="7943" width="15" customWidth="1"/>
    <col min="7944" max="7944" width="16.5703125" customWidth="1"/>
    <col min="8193" max="8193" width="13.7109375" customWidth="1"/>
    <col min="8194" max="8194" width="12.85546875" customWidth="1"/>
    <col min="8195" max="8195" width="14.42578125" customWidth="1"/>
    <col min="8196" max="8196" width="13.85546875" customWidth="1"/>
    <col min="8197" max="8197" width="11.28515625" customWidth="1"/>
    <col min="8198" max="8198" width="15.7109375" customWidth="1"/>
    <col min="8199" max="8199" width="15" customWidth="1"/>
    <col min="8200" max="8200" width="16.5703125" customWidth="1"/>
    <col min="8449" max="8449" width="13.7109375" customWidth="1"/>
    <col min="8450" max="8450" width="12.85546875" customWidth="1"/>
    <col min="8451" max="8451" width="14.42578125" customWidth="1"/>
    <col min="8452" max="8452" width="13.85546875" customWidth="1"/>
    <col min="8453" max="8453" width="11.28515625" customWidth="1"/>
    <col min="8454" max="8454" width="15.7109375" customWidth="1"/>
    <col min="8455" max="8455" width="15" customWidth="1"/>
    <col min="8456" max="8456" width="16.5703125" customWidth="1"/>
    <col min="8705" max="8705" width="13.7109375" customWidth="1"/>
    <col min="8706" max="8706" width="12.85546875" customWidth="1"/>
    <col min="8707" max="8707" width="14.42578125" customWidth="1"/>
    <col min="8708" max="8708" width="13.85546875" customWidth="1"/>
    <col min="8709" max="8709" width="11.28515625" customWidth="1"/>
    <col min="8710" max="8710" width="15.7109375" customWidth="1"/>
    <col min="8711" max="8711" width="15" customWidth="1"/>
    <col min="8712" max="8712" width="16.5703125" customWidth="1"/>
    <col min="8961" max="8961" width="13.7109375" customWidth="1"/>
    <col min="8962" max="8962" width="12.85546875" customWidth="1"/>
    <col min="8963" max="8963" width="14.42578125" customWidth="1"/>
    <col min="8964" max="8964" width="13.85546875" customWidth="1"/>
    <col min="8965" max="8965" width="11.28515625" customWidth="1"/>
    <col min="8966" max="8966" width="15.7109375" customWidth="1"/>
    <col min="8967" max="8967" width="15" customWidth="1"/>
    <col min="8968" max="8968" width="16.5703125" customWidth="1"/>
    <col min="9217" max="9217" width="13.7109375" customWidth="1"/>
    <col min="9218" max="9218" width="12.85546875" customWidth="1"/>
    <col min="9219" max="9219" width="14.42578125" customWidth="1"/>
    <col min="9220" max="9220" width="13.85546875" customWidth="1"/>
    <col min="9221" max="9221" width="11.28515625" customWidth="1"/>
    <col min="9222" max="9222" width="15.7109375" customWidth="1"/>
    <col min="9223" max="9223" width="15" customWidth="1"/>
    <col min="9224" max="9224" width="16.5703125" customWidth="1"/>
    <col min="9473" max="9473" width="13.7109375" customWidth="1"/>
    <col min="9474" max="9474" width="12.85546875" customWidth="1"/>
    <col min="9475" max="9475" width="14.42578125" customWidth="1"/>
    <col min="9476" max="9476" width="13.85546875" customWidth="1"/>
    <col min="9477" max="9477" width="11.28515625" customWidth="1"/>
    <col min="9478" max="9478" width="15.7109375" customWidth="1"/>
    <col min="9479" max="9479" width="15" customWidth="1"/>
    <col min="9480" max="9480" width="16.5703125" customWidth="1"/>
    <col min="9729" max="9729" width="13.7109375" customWidth="1"/>
    <col min="9730" max="9730" width="12.85546875" customWidth="1"/>
    <col min="9731" max="9731" width="14.42578125" customWidth="1"/>
    <col min="9732" max="9732" width="13.85546875" customWidth="1"/>
    <col min="9733" max="9733" width="11.28515625" customWidth="1"/>
    <col min="9734" max="9734" width="15.7109375" customWidth="1"/>
    <col min="9735" max="9735" width="15" customWidth="1"/>
    <col min="9736" max="9736" width="16.5703125" customWidth="1"/>
    <col min="9985" max="9985" width="13.7109375" customWidth="1"/>
    <col min="9986" max="9986" width="12.85546875" customWidth="1"/>
    <col min="9987" max="9987" width="14.42578125" customWidth="1"/>
    <col min="9988" max="9988" width="13.85546875" customWidth="1"/>
    <col min="9989" max="9989" width="11.28515625" customWidth="1"/>
    <col min="9990" max="9990" width="15.7109375" customWidth="1"/>
    <col min="9991" max="9991" width="15" customWidth="1"/>
    <col min="9992" max="9992" width="16.5703125" customWidth="1"/>
    <col min="10241" max="10241" width="13.7109375" customWidth="1"/>
    <col min="10242" max="10242" width="12.85546875" customWidth="1"/>
    <col min="10243" max="10243" width="14.42578125" customWidth="1"/>
    <col min="10244" max="10244" width="13.85546875" customWidth="1"/>
    <col min="10245" max="10245" width="11.28515625" customWidth="1"/>
    <col min="10246" max="10246" width="15.7109375" customWidth="1"/>
    <col min="10247" max="10247" width="15" customWidth="1"/>
    <col min="10248" max="10248" width="16.5703125" customWidth="1"/>
    <col min="10497" max="10497" width="13.7109375" customWidth="1"/>
    <col min="10498" max="10498" width="12.85546875" customWidth="1"/>
    <col min="10499" max="10499" width="14.42578125" customWidth="1"/>
    <col min="10500" max="10500" width="13.85546875" customWidth="1"/>
    <col min="10501" max="10501" width="11.28515625" customWidth="1"/>
    <col min="10502" max="10502" width="15.7109375" customWidth="1"/>
    <col min="10503" max="10503" width="15" customWidth="1"/>
    <col min="10504" max="10504" width="16.5703125" customWidth="1"/>
    <col min="10753" max="10753" width="13.7109375" customWidth="1"/>
    <col min="10754" max="10754" width="12.85546875" customWidth="1"/>
    <col min="10755" max="10755" width="14.42578125" customWidth="1"/>
    <col min="10756" max="10756" width="13.85546875" customWidth="1"/>
    <col min="10757" max="10757" width="11.28515625" customWidth="1"/>
    <col min="10758" max="10758" width="15.7109375" customWidth="1"/>
    <col min="10759" max="10759" width="15" customWidth="1"/>
    <col min="10760" max="10760" width="16.5703125" customWidth="1"/>
    <col min="11009" max="11009" width="13.7109375" customWidth="1"/>
    <col min="11010" max="11010" width="12.85546875" customWidth="1"/>
    <col min="11011" max="11011" width="14.42578125" customWidth="1"/>
    <col min="11012" max="11012" width="13.85546875" customWidth="1"/>
    <col min="11013" max="11013" width="11.28515625" customWidth="1"/>
    <col min="11014" max="11014" width="15.7109375" customWidth="1"/>
    <col min="11015" max="11015" width="15" customWidth="1"/>
    <col min="11016" max="11016" width="16.5703125" customWidth="1"/>
    <col min="11265" max="11265" width="13.7109375" customWidth="1"/>
    <col min="11266" max="11266" width="12.85546875" customWidth="1"/>
    <col min="11267" max="11267" width="14.42578125" customWidth="1"/>
    <col min="11268" max="11268" width="13.85546875" customWidth="1"/>
    <col min="11269" max="11269" width="11.28515625" customWidth="1"/>
    <col min="11270" max="11270" width="15.7109375" customWidth="1"/>
    <col min="11271" max="11271" width="15" customWidth="1"/>
    <col min="11272" max="11272" width="16.5703125" customWidth="1"/>
    <col min="11521" max="11521" width="13.7109375" customWidth="1"/>
    <col min="11522" max="11522" width="12.85546875" customWidth="1"/>
    <col min="11523" max="11523" width="14.42578125" customWidth="1"/>
    <col min="11524" max="11524" width="13.85546875" customWidth="1"/>
    <col min="11525" max="11525" width="11.28515625" customWidth="1"/>
    <col min="11526" max="11526" width="15.7109375" customWidth="1"/>
    <col min="11527" max="11527" width="15" customWidth="1"/>
    <col min="11528" max="11528" width="16.5703125" customWidth="1"/>
    <col min="11777" max="11777" width="13.7109375" customWidth="1"/>
    <col min="11778" max="11778" width="12.85546875" customWidth="1"/>
    <col min="11779" max="11779" width="14.42578125" customWidth="1"/>
    <col min="11780" max="11780" width="13.85546875" customWidth="1"/>
    <col min="11781" max="11781" width="11.28515625" customWidth="1"/>
    <col min="11782" max="11782" width="15.7109375" customWidth="1"/>
    <col min="11783" max="11783" width="15" customWidth="1"/>
    <col min="11784" max="11784" width="16.5703125" customWidth="1"/>
    <col min="12033" max="12033" width="13.7109375" customWidth="1"/>
    <col min="12034" max="12034" width="12.85546875" customWidth="1"/>
    <col min="12035" max="12035" width="14.42578125" customWidth="1"/>
    <col min="12036" max="12036" width="13.85546875" customWidth="1"/>
    <col min="12037" max="12037" width="11.28515625" customWidth="1"/>
    <col min="12038" max="12038" width="15.7109375" customWidth="1"/>
    <col min="12039" max="12039" width="15" customWidth="1"/>
    <col min="12040" max="12040" width="16.5703125" customWidth="1"/>
    <col min="12289" max="12289" width="13.7109375" customWidth="1"/>
    <col min="12290" max="12290" width="12.85546875" customWidth="1"/>
    <col min="12291" max="12291" width="14.42578125" customWidth="1"/>
    <col min="12292" max="12292" width="13.85546875" customWidth="1"/>
    <col min="12293" max="12293" width="11.28515625" customWidth="1"/>
    <col min="12294" max="12294" width="15.7109375" customWidth="1"/>
    <col min="12295" max="12295" width="15" customWidth="1"/>
    <col min="12296" max="12296" width="16.5703125" customWidth="1"/>
    <col min="12545" max="12545" width="13.7109375" customWidth="1"/>
    <col min="12546" max="12546" width="12.85546875" customWidth="1"/>
    <col min="12547" max="12547" width="14.42578125" customWidth="1"/>
    <col min="12548" max="12548" width="13.85546875" customWidth="1"/>
    <col min="12549" max="12549" width="11.28515625" customWidth="1"/>
    <col min="12550" max="12550" width="15.7109375" customWidth="1"/>
    <col min="12551" max="12551" width="15" customWidth="1"/>
    <col min="12552" max="12552" width="16.5703125" customWidth="1"/>
    <col min="12801" max="12801" width="13.7109375" customWidth="1"/>
    <col min="12802" max="12802" width="12.85546875" customWidth="1"/>
    <col min="12803" max="12803" width="14.42578125" customWidth="1"/>
    <col min="12804" max="12804" width="13.85546875" customWidth="1"/>
    <col min="12805" max="12805" width="11.28515625" customWidth="1"/>
    <col min="12806" max="12806" width="15.7109375" customWidth="1"/>
    <col min="12807" max="12807" width="15" customWidth="1"/>
    <col min="12808" max="12808" width="16.5703125" customWidth="1"/>
    <col min="13057" max="13057" width="13.7109375" customWidth="1"/>
    <col min="13058" max="13058" width="12.85546875" customWidth="1"/>
    <col min="13059" max="13059" width="14.42578125" customWidth="1"/>
    <col min="13060" max="13060" width="13.85546875" customWidth="1"/>
    <col min="13061" max="13061" width="11.28515625" customWidth="1"/>
    <col min="13062" max="13062" width="15.7109375" customWidth="1"/>
    <col min="13063" max="13063" width="15" customWidth="1"/>
    <col min="13064" max="13064" width="16.5703125" customWidth="1"/>
    <col min="13313" max="13313" width="13.7109375" customWidth="1"/>
    <col min="13314" max="13314" width="12.85546875" customWidth="1"/>
    <col min="13315" max="13315" width="14.42578125" customWidth="1"/>
    <col min="13316" max="13316" width="13.85546875" customWidth="1"/>
    <col min="13317" max="13317" width="11.28515625" customWidth="1"/>
    <col min="13318" max="13318" width="15.7109375" customWidth="1"/>
    <col min="13319" max="13319" width="15" customWidth="1"/>
    <col min="13320" max="13320" width="16.5703125" customWidth="1"/>
    <col min="13569" max="13569" width="13.7109375" customWidth="1"/>
    <col min="13570" max="13570" width="12.85546875" customWidth="1"/>
    <col min="13571" max="13571" width="14.42578125" customWidth="1"/>
    <col min="13572" max="13572" width="13.85546875" customWidth="1"/>
    <col min="13573" max="13573" width="11.28515625" customWidth="1"/>
    <col min="13574" max="13574" width="15.7109375" customWidth="1"/>
    <col min="13575" max="13575" width="15" customWidth="1"/>
    <col min="13576" max="13576" width="16.5703125" customWidth="1"/>
    <col min="13825" max="13825" width="13.7109375" customWidth="1"/>
    <col min="13826" max="13826" width="12.85546875" customWidth="1"/>
    <col min="13827" max="13827" width="14.42578125" customWidth="1"/>
    <col min="13828" max="13828" width="13.85546875" customWidth="1"/>
    <col min="13829" max="13829" width="11.28515625" customWidth="1"/>
    <col min="13830" max="13830" width="15.7109375" customWidth="1"/>
    <col min="13831" max="13831" width="15" customWidth="1"/>
    <col min="13832" max="13832" width="16.5703125" customWidth="1"/>
    <col min="14081" max="14081" width="13.7109375" customWidth="1"/>
    <col min="14082" max="14082" width="12.85546875" customWidth="1"/>
    <col min="14083" max="14083" width="14.42578125" customWidth="1"/>
    <col min="14084" max="14084" width="13.85546875" customWidth="1"/>
    <col min="14085" max="14085" width="11.28515625" customWidth="1"/>
    <col min="14086" max="14086" width="15.7109375" customWidth="1"/>
    <col min="14087" max="14087" width="15" customWidth="1"/>
    <col min="14088" max="14088" width="16.5703125" customWidth="1"/>
    <col min="14337" max="14337" width="13.7109375" customWidth="1"/>
    <col min="14338" max="14338" width="12.85546875" customWidth="1"/>
    <col min="14339" max="14339" width="14.42578125" customWidth="1"/>
    <col min="14340" max="14340" width="13.85546875" customWidth="1"/>
    <col min="14341" max="14341" width="11.28515625" customWidth="1"/>
    <col min="14342" max="14342" width="15.7109375" customWidth="1"/>
    <col min="14343" max="14343" width="15" customWidth="1"/>
    <col min="14344" max="14344" width="16.5703125" customWidth="1"/>
    <col min="14593" max="14593" width="13.7109375" customWidth="1"/>
    <col min="14594" max="14594" width="12.85546875" customWidth="1"/>
    <col min="14595" max="14595" width="14.42578125" customWidth="1"/>
    <col min="14596" max="14596" width="13.85546875" customWidth="1"/>
    <col min="14597" max="14597" width="11.28515625" customWidth="1"/>
    <col min="14598" max="14598" width="15.7109375" customWidth="1"/>
    <col min="14599" max="14599" width="15" customWidth="1"/>
    <col min="14600" max="14600" width="16.5703125" customWidth="1"/>
    <col min="14849" max="14849" width="13.7109375" customWidth="1"/>
    <col min="14850" max="14850" width="12.85546875" customWidth="1"/>
    <col min="14851" max="14851" width="14.42578125" customWidth="1"/>
    <col min="14852" max="14852" width="13.85546875" customWidth="1"/>
    <col min="14853" max="14853" width="11.28515625" customWidth="1"/>
    <col min="14854" max="14854" width="15.7109375" customWidth="1"/>
    <col min="14855" max="14855" width="15" customWidth="1"/>
    <col min="14856" max="14856" width="16.5703125" customWidth="1"/>
    <col min="15105" max="15105" width="13.7109375" customWidth="1"/>
    <col min="15106" max="15106" width="12.85546875" customWidth="1"/>
    <col min="15107" max="15107" width="14.42578125" customWidth="1"/>
    <col min="15108" max="15108" width="13.85546875" customWidth="1"/>
    <col min="15109" max="15109" width="11.28515625" customWidth="1"/>
    <col min="15110" max="15110" width="15.7109375" customWidth="1"/>
    <col min="15111" max="15111" width="15" customWidth="1"/>
    <col min="15112" max="15112" width="16.5703125" customWidth="1"/>
    <col min="15361" max="15361" width="13.7109375" customWidth="1"/>
    <col min="15362" max="15362" width="12.85546875" customWidth="1"/>
    <col min="15363" max="15363" width="14.42578125" customWidth="1"/>
    <col min="15364" max="15364" width="13.85546875" customWidth="1"/>
    <col min="15365" max="15365" width="11.28515625" customWidth="1"/>
    <col min="15366" max="15366" width="15.7109375" customWidth="1"/>
    <col min="15367" max="15367" width="15" customWidth="1"/>
    <col min="15368" max="15368" width="16.5703125" customWidth="1"/>
    <col min="15617" max="15617" width="13.7109375" customWidth="1"/>
    <col min="15618" max="15618" width="12.85546875" customWidth="1"/>
    <col min="15619" max="15619" width="14.42578125" customWidth="1"/>
    <col min="15620" max="15620" width="13.85546875" customWidth="1"/>
    <col min="15621" max="15621" width="11.28515625" customWidth="1"/>
    <col min="15622" max="15622" width="15.7109375" customWidth="1"/>
    <col min="15623" max="15623" width="15" customWidth="1"/>
    <col min="15624" max="15624" width="16.5703125" customWidth="1"/>
    <col min="15873" max="15873" width="13.7109375" customWidth="1"/>
    <col min="15874" max="15874" width="12.85546875" customWidth="1"/>
    <col min="15875" max="15875" width="14.42578125" customWidth="1"/>
    <col min="15876" max="15876" width="13.85546875" customWidth="1"/>
    <col min="15877" max="15877" width="11.28515625" customWidth="1"/>
    <col min="15878" max="15878" width="15.7109375" customWidth="1"/>
    <col min="15879" max="15879" width="15" customWidth="1"/>
    <col min="15880" max="15880" width="16.5703125" customWidth="1"/>
    <col min="16129" max="16129" width="13.7109375" customWidth="1"/>
    <col min="16130" max="16130" width="12.85546875" customWidth="1"/>
    <col min="16131" max="16131" width="14.42578125" customWidth="1"/>
    <col min="16132" max="16132" width="13.85546875" customWidth="1"/>
    <col min="16133" max="16133" width="11.28515625" customWidth="1"/>
    <col min="16134" max="16134" width="15.7109375" customWidth="1"/>
    <col min="16135" max="16135" width="15" customWidth="1"/>
    <col min="16136" max="16136" width="16.5703125" customWidth="1"/>
  </cols>
  <sheetData>
    <row r="1" spans="1:8" ht="18.75">
      <c r="A1" s="911" t="s">
        <v>328</v>
      </c>
      <c r="B1" s="911"/>
      <c r="C1" s="911"/>
      <c r="D1" s="911"/>
      <c r="E1" s="911"/>
      <c r="F1" s="911"/>
      <c r="G1" s="112"/>
      <c r="H1" s="112"/>
    </row>
    <row r="2" spans="1:8" ht="17.45" customHeight="1">
      <c r="A2" s="912" t="s">
        <v>508</v>
      </c>
      <c r="B2" s="912"/>
      <c r="C2" s="912"/>
      <c r="D2" s="912"/>
      <c r="E2" s="912"/>
      <c r="F2" s="912"/>
    </row>
    <row r="3" spans="1:8" ht="18.600000000000001" customHeight="1">
      <c r="A3" s="1091" t="s">
        <v>509</v>
      </c>
      <c r="B3" s="1091"/>
      <c r="C3" s="1091"/>
      <c r="D3" s="1091"/>
      <c r="E3" s="1091"/>
      <c r="F3" s="1091"/>
    </row>
    <row r="4" spans="1:8" ht="27" customHeight="1">
      <c r="A4" s="914" t="s">
        <v>330</v>
      </c>
      <c r="B4" s="914"/>
      <c r="C4" s="914"/>
      <c r="D4" s="914"/>
      <c r="E4" s="914"/>
      <c r="F4" s="914"/>
    </row>
    <row r="5" spans="1:8" ht="15.75">
      <c r="A5" s="915" t="s">
        <v>331</v>
      </c>
      <c r="B5" s="915"/>
      <c r="C5" s="915"/>
      <c r="D5" t="s">
        <v>332</v>
      </c>
    </row>
    <row r="7" spans="1:8" ht="25.9" customHeight="1">
      <c r="A7" s="113" t="s">
        <v>333</v>
      </c>
      <c r="B7" s="113" t="s">
        <v>334</v>
      </c>
      <c r="C7" s="910" t="s">
        <v>335</v>
      </c>
      <c r="D7" s="910"/>
      <c r="E7" s="910"/>
      <c r="F7" s="910"/>
    </row>
    <row r="8" spans="1:8" ht="15.6" customHeight="1">
      <c r="A8" s="113" t="s">
        <v>336</v>
      </c>
      <c r="B8" s="113" t="s">
        <v>334</v>
      </c>
      <c r="C8" s="917" t="s">
        <v>337</v>
      </c>
      <c r="D8" s="917"/>
      <c r="E8" s="917"/>
      <c r="F8" s="917"/>
    </row>
    <row r="9" spans="1:8" ht="18" customHeight="1">
      <c r="A9" s="113" t="s">
        <v>338</v>
      </c>
      <c r="B9" s="113" t="s">
        <v>334</v>
      </c>
      <c r="C9" s="917" t="s">
        <v>339</v>
      </c>
      <c r="D9" s="917"/>
      <c r="E9" s="917"/>
      <c r="F9" s="917"/>
    </row>
    <row r="10" spans="1:8">
      <c r="A10" s="113" t="s">
        <v>340</v>
      </c>
      <c r="B10" s="113" t="s">
        <v>334</v>
      </c>
      <c r="C10" s="917" t="s">
        <v>341</v>
      </c>
      <c r="D10" s="917"/>
      <c r="E10" s="917"/>
      <c r="F10" s="917"/>
    </row>
    <row r="11" spans="1:8">
      <c r="A11" s="113" t="s">
        <v>342</v>
      </c>
      <c r="B11" s="113" t="s">
        <v>334</v>
      </c>
      <c r="C11" s="917" t="s">
        <v>343</v>
      </c>
      <c r="D11" s="917"/>
      <c r="E11" s="917"/>
      <c r="F11" s="917"/>
    </row>
    <row r="13" spans="1:8" ht="24.6" customHeight="1">
      <c r="A13" s="914" t="s">
        <v>344</v>
      </c>
      <c r="B13" s="914"/>
      <c r="C13" s="914"/>
      <c r="D13" s="914"/>
      <c r="E13" s="914"/>
      <c r="F13" s="914"/>
    </row>
    <row r="14" spans="1:8" ht="19.149999999999999" customHeight="1">
      <c r="A14" s="918" t="s">
        <v>345</v>
      </c>
      <c r="B14" s="918"/>
      <c r="C14" s="918"/>
      <c r="D14" s="114" t="s">
        <v>332</v>
      </c>
    </row>
    <row r="15" spans="1:8">
      <c r="A15" s="115" t="s">
        <v>336</v>
      </c>
      <c r="B15" s="115" t="s">
        <v>334</v>
      </c>
      <c r="C15" s="1090" t="s">
        <v>337</v>
      </c>
      <c r="D15" s="1090"/>
      <c r="E15" s="1090"/>
      <c r="F15" s="1090"/>
    </row>
    <row r="16" spans="1:8" ht="25.15" customHeight="1">
      <c r="A16" s="115" t="s">
        <v>346</v>
      </c>
      <c r="B16" s="115" t="s">
        <v>334</v>
      </c>
      <c r="C16" s="1090" t="s">
        <v>347</v>
      </c>
      <c r="D16" s="1090"/>
      <c r="E16" s="1090"/>
      <c r="F16" s="1090"/>
    </row>
    <row r="17" spans="1:7">
      <c r="A17" s="115" t="s">
        <v>348</v>
      </c>
      <c r="B17" s="115" t="s">
        <v>334</v>
      </c>
      <c r="C17" s="1090" t="s">
        <v>349</v>
      </c>
      <c r="D17" s="1090"/>
      <c r="E17" s="1090"/>
      <c r="F17" s="1090"/>
    </row>
    <row r="18" spans="1:7">
      <c r="A18" s="115" t="s">
        <v>350</v>
      </c>
      <c r="B18" s="115" t="s">
        <v>334</v>
      </c>
      <c r="C18" s="919" t="s">
        <v>351</v>
      </c>
      <c r="D18" s="919"/>
      <c r="E18" s="919"/>
      <c r="F18" s="919"/>
    </row>
    <row r="20" spans="1:7" ht="25.15" customHeight="1">
      <c r="A20" s="920" t="s">
        <v>352</v>
      </c>
      <c r="B20" s="920"/>
      <c r="C20" s="920"/>
      <c r="D20" s="920"/>
      <c r="E20" s="920"/>
      <c r="F20" s="920"/>
    </row>
    <row r="21" spans="1:7" ht="13.9" customHeight="1">
      <c r="A21" s="916" t="s">
        <v>353</v>
      </c>
      <c r="B21" s="916"/>
      <c r="D21" s="114" t="s">
        <v>332</v>
      </c>
    </row>
    <row r="22" spans="1:7">
      <c r="A22" s="115" t="s">
        <v>338</v>
      </c>
      <c r="B22" s="115" t="s">
        <v>334</v>
      </c>
      <c r="C22" s="1090" t="s">
        <v>339</v>
      </c>
      <c r="D22" s="1090"/>
      <c r="E22" s="1090"/>
      <c r="F22" s="1090"/>
    </row>
    <row r="23" spans="1:7" ht="35.25" customHeight="1">
      <c r="A23" s="115" t="s">
        <v>354</v>
      </c>
      <c r="B23" s="115" t="s">
        <v>334</v>
      </c>
      <c r="C23" s="1090" t="s">
        <v>355</v>
      </c>
      <c r="D23" s="1090"/>
      <c r="E23" s="1090"/>
      <c r="F23" s="1090"/>
    </row>
    <row r="24" spans="1:7" ht="42" customHeight="1">
      <c r="A24" s="116" t="s">
        <v>356</v>
      </c>
      <c r="B24" s="116" t="s">
        <v>334</v>
      </c>
      <c r="C24" s="919" t="s">
        <v>357</v>
      </c>
      <c r="D24" s="919"/>
      <c r="E24" s="919"/>
      <c r="F24" s="919"/>
    </row>
    <row r="25" spans="1:7" ht="14.45" customHeight="1"/>
    <row r="26" spans="1:7">
      <c r="A26" s="117">
        <f>ЗВЕДЕНИЙ!W71</f>
        <v>147141.71772595998</v>
      </c>
      <c r="B26" s="118" t="s">
        <v>924</v>
      </c>
      <c r="D26" t="s">
        <v>1054</v>
      </c>
      <c r="E26" s="119"/>
      <c r="F26" s="120">
        <f>ROUND(A26/A27,4)</f>
        <v>6.6E-3</v>
      </c>
    </row>
    <row r="27" spans="1:7">
      <c r="A27" s="121">
        <f>25923646-ЗВЕДЕНИЙ!V34+ЗВЕДЕНИЙ!V28+814000</f>
        <v>22376657.909107201</v>
      </c>
      <c r="B27" s="118" t="s">
        <v>1038</v>
      </c>
    </row>
    <row r="28" spans="1:7">
      <c r="B28" s="122"/>
      <c r="C28" s="923"/>
      <c r="D28" s="923"/>
      <c r="E28" s="123"/>
      <c r="F28" s="124"/>
    </row>
    <row r="29" spans="1:7">
      <c r="C29" s="125"/>
      <c r="F29" s="126"/>
    </row>
    <row r="30" spans="1:7">
      <c r="A30" s="127">
        <f>((ЗВЕДЕНИЙ!V34-ЗВЕДЕНИЙ!V28)*22%)+ЗВЕДЕНИЙ!V34-ЗВЕДЕНИЙ!V28</f>
        <v>5320405.4708892182</v>
      </c>
      <c r="B30" t="s">
        <v>783</v>
      </c>
      <c r="D30" t="s">
        <v>1055</v>
      </c>
      <c r="F30" s="547">
        <f>(A30*F26)/2088</f>
        <v>16.817373614879713</v>
      </c>
      <c r="G30">
        <f>F30/'[2]догляд вдома'!L10</f>
        <v>0.21084298028925205</v>
      </c>
    </row>
    <row r="31" spans="1:7">
      <c r="C31" s="125"/>
    </row>
    <row r="32" spans="1:7">
      <c r="A32" s="129"/>
      <c r="B32" s="130"/>
      <c r="C32" s="131"/>
      <c r="D32" s="130"/>
    </row>
    <row r="33" spans="1:6" ht="44.45" customHeight="1">
      <c r="A33" s="1088" t="s">
        <v>839</v>
      </c>
      <c r="B33" s="1088"/>
      <c r="C33" s="1088"/>
      <c r="D33" s="1088"/>
      <c r="E33" s="1088"/>
      <c r="F33" s="1088"/>
    </row>
    <row r="34" spans="1:6" ht="29.45" customHeight="1">
      <c r="A34" s="1088" t="s">
        <v>360</v>
      </c>
      <c r="B34" s="1088"/>
      <c r="C34" s="1088"/>
      <c r="D34" s="1088"/>
      <c r="E34" s="1088"/>
      <c r="F34" s="1088"/>
    </row>
    <row r="40" spans="1:6" ht="15.75">
      <c r="A40" s="295" t="s">
        <v>23</v>
      </c>
      <c r="B40" s="37"/>
      <c r="C40" s="51"/>
      <c r="D40" s="51" t="s">
        <v>51</v>
      </c>
      <c r="E40" s="90"/>
    </row>
  </sheetData>
  <mergeCells count="24">
    <mergeCell ref="C23:F23"/>
    <mergeCell ref="C24:F24"/>
    <mergeCell ref="C28:D28"/>
    <mergeCell ref="A33:F33"/>
    <mergeCell ref="A34:F34"/>
    <mergeCell ref="C22:F22"/>
    <mergeCell ref="C9:F9"/>
    <mergeCell ref="C10:F10"/>
    <mergeCell ref="C11:F11"/>
    <mergeCell ref="A13:F13"/>
    <mergeCell ref="A14:C14"/>
    <mergeCell ref="C15:F15"/>
    <mergeCell ref="C16:F16"/>
    <mergeCell ref="C17:F17"/>
    <mergeCell ref="C18:F18"/>
    <mergeCell ref="A20:F20"/>
    <mergeCell ref="A21:B21"/>
    <mergeCell ref="C8:F8"/>
    <mergeCell ref="A1:F1"/>
    <mergeCell ref="A2:F2"/>
    <mergeCell ref="A4:F4"/>
    <mergeCell ref="A5:C5"/>
    <mergeCell ref="C7:F7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colBreaks count="1" manualBreakCount="1">
    <brk id="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8"/>
  <sheetViews>
    <sheetView view="pageBreakPreview" topLeftCell="A70" zoomScale="86" zoomScaleNormal="115" zoomScaleSheetLayoutView="86" workbookViewId="0">
      <selection activeCell="E71" sqref="E71:F71"/>
    </sheetView>
  </sheetViews>
  <sheetFormatPr defaultRowHeight="12.75"/>
  <cols>
    <col min="1" max="1" width="6" style="134" customWidth="1"/>
    <col min="2" max="2" width="39.28515625" style="134" customWidth="1"/>
    <col min="3" max="3" width="13" style="134" customWidth="1"/>
    <col min="4" max="4" width="14.28515625" style="134" customWidth="1"/>
    <col min="5" max="5" width="10.140625" style="134" customWidth="1"/>
    <col min="6" max="6" width="17.5703125" style="134" customWidth="1"/>
    <col min="7" max="7" width="6.7109375" style="134" customWidth="1"/>
    <col min="8" max="8" width="9.7109375" style="134" customWidth="1"/>
    <col min="9" max="9" width="10.42578125" style="134" customWidth="1"/>
    <col min="10" max="248" width="9.140625" style="134"/>
    <col min="249" max="249" width="4.42578125" style="134" customWidth="1"/>
    <col min="250" max="250" width="3.5703125" style="134" customWidth="1"/>
    <col min="251" max="251" width="57" style="134" customWidth="1"/>
    <col min="252" max="252" width="0" style="134" hidden="1" customWidth="1"/>
    <col min="253" max="253" width="12" style="134" customWidth="1"/>
    <col min="254" max="254" width="19.140625" style="134" customWidth="1"/>
    <col min="255" max="255" width="16.7109375" style="134" customWidth="1"/>
    <col min="256" max="256" width="1.42578125" style="134" customWidth="1"/>
    <col min="257" max="257" width="6" style="134" customWidth="1"/>
    <col min="258" max="258" width="39.28515625" style="134" customWidth="1"/>
    <col min="259" max="259" width="13" style="134" customWidth="1"/>
    <col min="260" max="260" width="9.5703125" style="134" customWidth="1"/>
    <col min="261" max="261" width="9.140625" style="134"/>
    <col min="262" max="262" width="17.5703125" style="134" customWidth="1"/>
    <col min="263" max="263" width="6.7109375" style="134" customWidth="1"/>
    <col min="264" max="264" width="10.5703125" style="134" customWidth="1"/>
    <col min="265" max="504" width="9.140625" style="134"/>
    <col min="505" max="505" width="4.42578125" style="134" customWidth="1"/>
    <col min="506" max="506" width="3.5703125" style="134" customWidth="1"/>
    <col min="507" max="507" width="57" style="134" customWidth="1"/>
    <col min="508" max="508" width="0" style="134" hidden="1" customWidth="1"/>
    <col min="509" max="509" width="12" style="134" customWidth="1"/>
    <col min="510" max="510" width="19.140625" style="134" customWidth="1"/>
    <col min="511" max="511" width="16.7109375" style="134" customWidth="1"/>
    <col min="512" max="512" width="1.42578125" style="134" customWidth="1"/>
    <col min="513" max="513" width="6" style="134" customWidth="1"/>
    <col min="514" max="514" width="39.28515625" style="134" customWidth="1"/>
    <col min="515" max="515" width="13" style="134" customWidth="1"/>
    <col min="516" max="516" width="9.5703125" style="134" customWidth="1"/>
    <col min="517" max="517" width="9.140625" style="134"/>
    <col min="518" max="518" width="17.5703125" style="134" customWidth="1"/>
    <col min="519" max="519" width="6.7109375" style="134" customWidth="1"/>
    <col min="520" max="520" width="10.5703125" style="134" customWidth="1"/>
    <col min="521" max="760" width="9.140625" style="134"/>
    <col min="761" max="761" width="4.42578125" style="134" customWidth="1"/>
    <col min="762" max="762" width="3.5703125" style="134" customWidth="1"/>
    <col min="763" max="763" width="57" style="134" customWidth="1"/>
    <col min="764" max="764" width="0" style="134" hidden="1" customWidth="1"/>
    <col min="765" max="765" width="12" style="134" customWidth="1"/>
    <col min="766" max="766" width="19.140625" style="134" customWidth="1"/>
    <col min="767" max="767" width="16.7109375" style="134" customWidth="1"/>
    <col min="768" max="768" width="1.42578125" style="134" customWidth="1"/>
    <col min="769" max="769" width="6" style="134" customWidth="1"/>
    <col min="770" max="770" width="39.28515625" style="134" customWidth="1"/>
    <col min="771" max="771" width="13" style="134" customWidth="1"/>
    <col min="772" max="772" width="9.5703125" style="134" customWidth="1"/>
    <col min="773" max="773" width="9.140625" style="134"/>
    <col min="774" max="774" width="17.5703125" style="134" customWidth="1"/>
    <col min="775" max="775" width="6.7109375" style="134" customWidth="1"/>
    <col min="776" max="776" width="10.5703125" style="134" customWidth="1"/>
    <col min="777" max="1016" width="9.140625" style="134"/>
    <col min="1017" max="1017" width="4.42578125" style="134" customWidth="1"/>
    <col min="1018" max="1018" width="3.5703125" style="134" customWidth="1"/>
    <col min="1019" max="1019" width="57" style="134" customWidth="1"/>
    <col min="1020" max="1020" width="0" style="134" hidden="1" customWidth="1"/>
    <col min="1021" max="1021" width="12" style="134" customWidth="1"/>
    <col min="1022" max="1022" width="19.140625" style="134" customWidth="1"/>
    <col min="1023" max="1023" width="16.7109375" style="134" customWidth="1"/>
    <col min="1024" max="1024" width="1.42578125" style="134" customWidth="1"/>
    <col min="1025" max="1025" width="6" style="134" customWidth="1"/>
    <col min="1026" max="1026" width="39.28515625" style="134" customWidth="1"/>
    <col min="1027" max="1027" width="13" style="134" customWidth="1"/>
    <col min="1028" max="1028" width="9.5703125" style="134" customWidth="1"/>
    <col min="1029" max="1029" width="9.140625" style="134"/>
    <col min="1030" max="1030" width="17.5703125" style="134" customWidth="1"/>
    <col min="1031" max="1031" width="6.7109375" style="134" customWidth="1"/>
    <col min="1032" max="1032" width="10.5703125" style="134" customWidth="1"/>
    <col min="1033" max="1272" width="9.140625" style="134"/>
    <col min="1273" max="1273" width="4.42578125" style="134" customWidth="1"/>
    <col min="1274" max="1274" width="3.5703125" style="134" customWidth="1"/>
    <col min="1275" max="1275" width="57" style="134" customWidth="1"/>
    <col min="1276" max="1276" width="0" style="134" hidden="1" customWidth="1"/>
    <col min="1277" max="1277" width="12" style="134" customWidth="1"/>
    <col min="1278" max="1278" width="19.140625" style="134" customWidth="1"/>
    <col min="1279" max="1279" width="16.7109375" style="134" customWidth="1"/>
    <col min="1280" max="1280" width="1.42578125" style="134" customWidth="1"/>
    <col min="1281" max="1281" width="6" style="134" customWidth="1"/>
    <col min="1282" max="1282" width="39.28515625" style="134" customWidth="1"/>
    <col min="1283" max="1283" width="13" style="134" customWidth="1"/>
    <col min="1284" max="1284" width="9.5703125" style="134" customWidth="1"/>
    <col min="1285" max="1285" width="9.140625" style="134"/>
    <col min="1286" max="1286" width="17.5703125" style="134" customWidth="1"/>
    <col min="1287" max="1287" width="6.7109375" style="134" customWidth="1"/>
    <col min="1288" max="1288" width="10.5703125" style="134" customWidth="1"/>
    <col min="1289" max="1528" width="9.140625" style="134"/>
    <col min="1529" max="1529" width="4.42578125" style="134" customWidth="1"/>
    <col min="1530" max="1530" width="3.5703125" style="134" customWidth="1"/>
    <col min="1531" max="1531" width="57" style="134" customWidth="1"/>
    <col min="1532" max="1532" width="0" style="134" hidden="1" customWidth="1"/>
    <col min="1533" max="1533" width="12" style="134" customWidth="1"/>
    <col min="1534" max="1534" width="19.140625" style="134" customWidth="1"/>
    <col min="1535" max="1535" width="16.7109375" style="134" customWidth="1"/>
    <col min="1536" max="1536" width="1.42578125" style="134" customWidth="1"/>
    <col min="1537" max="1537" width="6" style="134" customWidth="1"/>
    <col min="1538" max="1538" width="39.28515625" style="134" customWidth="1"/>
    <col min="1539" max="1539" width="13" style="134" customWidth="1"/>
    <col min="1540" max="1540" width="9.5703125" style="134" customWidth="1"/>
    <col min="1541" max="1541" width="9.140625" style="134"/>
    <col min="1542" max="1542" width="17.5703125" style="134" customWidth="1"/>
    <col min="1543" max="1543" width="6.7109375" style="134" customWidth="1"/>
    <col min="1544" max="1544" width="10.5703125" style="134" customWidth="1"/>
    <col min="1545" max="1784" width="9.140625" style="134"/>
    <col min="1785" max="1785" width="4.42578125" style="134" customWidth="1"/>
    <col min="1786" max="1786" width="3.5703125" style="134" customWidth="1"/>
    <col min="1787" max="1787" width="57" style="134" customWidth="1"/>
    <col min="1788" max="1788" width="0" style="134" hidden="1" customWidth="1"/>
    <col min="1789" max="1789" width="12" style="134" customWidth="1"/>
    <col min="1790" max="1790" width="19.140625" style="134" customWidth="1"/>
    <col min="1791" max="1791" width="16.7109375" style="134" customWidth="1"/>
    <col min="1792" max="1792" width="1.42578125" style="134" customWidth="1"/>
    <col min="1793" max="1793" width="6" style="134" customWidth="1"/>
    <col min="1794" max="1794" width="39.28515625" style="134" customWidth="1"/>
    <col min="1795" max="1795" width="13" style="134" customWidth="1"/>
    <col min="1796" max="1796" width="9.5703125" style="134" customWidth="1"/>
    <col min="1797" max="1797" width="9.140625" style="134"/>
    <col min="1798" max="1798" width="17.5703125" style="134" customWidth="1"/>
    <col min="1799" max="1799" width="6.7109375" style="134" customWidth="1"/>
    <col min="1800" max="1800" width="10.5703125" style="134" customWidth="1"/>
    <col min="1801" max="2040" width="9.140625" style="134"/>
    <col min="2041" max="2041" width="4.42578125" style="134" customWidth="1"/>
    <col min="2042" max="2042" width="3.5703125" style="134" customWidth="1"/>
    <col min="2043" max="2043" width="57" style="134" customWidth="1"/>
    <col min="2044" max="2044" width="0" style="134" hidden="1" customWidth="1"/>
    <col min="2045" max="2045" width="12" style="134" customWidth="1"/>
    <col min="2046" max="2046" width="19.140625" style="134" customWidth="1"/>
    <col min="2047" max="2047" width="16.7109375" style="134" customWidth="1"/>
    <col min="2048" max="2048" width="1.42578125" style="134" customWidth="1"/>
    <col min="2049" max="2049" width="6" style="134" customWidth="1"/>
    <col min="2050" max="2050" width="39.28515625" style="134" customWidth="1"/>
    <col min="2051" max="2051" width="13" style="134" customWidth="1"/>
    <col min="2052" max="2052" width="9.5703125" style="134" customWidth="1"/>
    <col min="2053" max="2053" width="9.140625" style="134"/>
    <col min="2054" max="2054" width="17.5703125" style="134" customWidth="1"/>
    <col min="2055" max="2055" width="6.7109375" style="134" customWidth="1"/>
    <col min="2056" max="2056" width="10.5703125" style="134" customWidth="1"/>
    <col min="2057" max="2296" width="9.140625" style="134"/>
    <col min="2297" max="2297" width="4.42578125" style="134" customWidth="1"/>
    <col min="2298" max="2298" width="3.5703125" style="134" customWidth="1"/>
    <col min="2299" max="2299" width="57" style="134" customWidth="1"/>
    <col min="2300" max="2300" width="0" style="134" hidden="1" customWidth="1"/>
    <col min="2301" max="2301" width="12" style="134" customWidth="1"/>
    <col min="2302" max="2302" width="19.140625" style="134" customWidth="1"/>
    <col min="2303" max="2303" width="16.7109375" style="134" customWidth="1"/>
    <col min="2304" max="2304" width="1.42578125" style="134" customWidth="1"/>
    <col min="2305" max="2305" width="6" style="134" customWidth="1"/>
    <col min="2306" max="2306" width="39.28515625" style="134" customWidth="1"/>
    <col min="2307" max="2307" width="13" style="134" customWidth="1"/>
    <col min="2308" max="2308" width="9.5703125" style="134" customWidth="1"/>
    <col min="2309" max="2309" width="9.140625" style="134"/>
    <col min="2310" max="2310" width="17.5703125" style="134" customWidth="1"/>
    <col min="2311" max="2311" width="6.7109375" style="134" customWidth="1"/>
    <col min="2312" max="2312" width="10.5703125" style="134" customWidth="1"/>
    <col min="2313" max="2552" width="9.140625" style="134"/>
    <col min="2553" max="2553" width="4.42578125" style="134" customWidth="1"/>
    <col min="2554" max="2554" width="3.5703125" style="134" customWidth="1"/>
    <col min="2555" max="2555" width="57" style="134" customWidth="1"/>
    <col min="2556" max="2556" width="0" style="134" hidden="1" customWidth="1"/>
    <col min="2557" max="2557" width="12" style="134" customWidth="1"/>
    <col min="2558" max="2558" width="19.140625" style="134" customWidth="1"/>
    <col min="2559" max="2559" width="16.7109375" style="134" customWidth="1"/>
    <col min="2560" max="2560" width="1.42578125" style="134" customWidth="1"/>
    <col min="2561" max="2561" width="6" style="134" customWidth="1"/>
    <col min="2562" max="2562" width="39.28515625" style="134" customWidth="1"/>
    <col min="2563" max="2563" width="13" style="134" customWidth="1"/>
    <col min="2564" max="2564" width="9.5703125" style="134" customWidth="1"/>
    <col min="2565" max="2565" width="9.140625" style="134"/>
    <col min="2566" max="2566" width="17.5703125" style="134" customWidth="1"/>
    <col min="2567" max="2567" width="6.7109375" style="134" customWidth="1"/>
    <col min="2568" max="2568" width="10.5703125" style="134" customWidth="1"/>
    <col min="2569" max="2808" width="9.140625" style="134"/>
    <col min="2809" max="2809" width="4.42578125" style="134" customWidth="1"/>
    <col min="2810" max="2810" width="3.5703125" style="134" customWidth="1"/>
    <col min="2811" max="2811" width="57" style="134" customWidth="1"/>
    <col min="2812" max="2812" width="0" style="134" hidden="1" customWidth="1"/>
    <col min="2813" max="2813" width="12" style="134" customWidth="1"/>
    <col min="2814" max="2814" width="19.140625" style="134" customWidth="1"/>
    <col min="2815" max="2815" width="16.7109375" style="134" customWidth="1"/>
    <col min="2816" max="2816" width="1.42578125" style="134" customWidth="1"/>
    <col min="2817" max="2817" width="6" style="134" customWidth="1"/>
    <col min="2818" max="2818" width="39.28515625" style="134" customWidth="1"/>
    <col min="2819" max="2819" width="13" style="134" customWidth="1"/>
    <col min="2820" max="2820" width="9.5703125" style="134" customWidth="1"/>
    <col min="2821" max="2821" width="9.140625" style="134"/>
    <col min="2822" max="2822" width="17.5703125" style="134" customWidth="1"/>
    <col min="2823" max="2823" width="6.7109375" style="134" customWidth="1"/>
    <col min="2824" max="2824" width="10.5703125" style="134" customWidth="1"/>
    <col min="2825" max="3064" width="9.140625" style="134"/>
    <col min="3065" max="3065" width="4.42578125" style="134" customWidth="1"/>
    <col min="3066" max="3066" width="3.5703125" style="134" customWidth="1"/>
    <col min="3067" max="3067" width="57" style="134" customWidth="1"/>
    <col min="3068" max="3068" width="0" style="134" hidden="1" customWidth="1"/>
    <col min="3069" max="3069" width="12" style="134" customWidth="1"/>
    <col min="3070" max="3070" width="19.140625" style="134" customWidth="1"/>
    <col min="3071" max="3071" width="16.7109375" style="134" customWidth="1"/>
    <col min="3072" max="3072" width="1.42578125" style="134" customWidth="1"/>
    <col min="3073" max="3073" width="6" style="134" customWidth="1"/>
    <col min="3074" max="3074" width="39.28515625" style="134" customWidth="1"/>
    <col min="3075" max="3075" width="13" style="134" customWidth="1"/>
    <col min="3076" max="3076" width="9.5703125" style="134" customWidth="1"/>
    <col min="3077" max="3077" width="9.140625" style="134"/>
    <col min="3078" max="3078" width="17.5703125" style="134" customWidth="1"/>
    <col min="3079" max="3079" width="6.7109375" style="134" customWidth="1"/>
    <col min="3080" max="3080" width="10.5703125" style="134" customWidth="1"/>
    <col min="3081" max="3320" width="9.140625" style="134"/>
    <col min="3321" max="3321" width="4.42578125" style="134" customWidth="1"/>
    <col min="3322" max="3322" width="3.5703125" style="134" customWidth="1"/>
    <col min="3323" max="3323" width="57" style="134" customWidth="1"/>
    <col min="3324" max="3324" width="0" style="134" hidden="1" customWidth="1"/>
    <col min="3325" max="3325" width="12" style="134" customWidth="1"/>
    <col min="3326" max="3326" width="19.140625" style="134" customWidth="1"/>
    <col min="3327" max="3327" width="16.7109375" style="134" customWidth="1"/>
    <col min="3328" max="3328" width="1.42578125" style="134" customWidth="1"/>
    <col min="3329" max="3329" width="6" style="134" customWidth="1"/>
    <col min="3330" max="3330" width="39.28515625" style="134" customWidth="1"/>
    <col min="3331" max="3331" width="13" style="134" customWidth="1"/>
    <col min="3332" max="3332" width="9.5703125" style="134" customWidth="1"/>
    <col min="3333" max="3333" width="9.140625" style="134"/>
    <col min="3334" max="3334" width="17.5703125" style="134" customWidth="1"/>
    <col min="3335" max="3335" width="6.7109375" style="134" customWidth="1"/>
    <col min="3336" max="3336" width="10.5703125" style="134" customWidth="1"/>
    <col min="3337" max="3576" width="9.140625" style="134"/>
    <col min="3577" max="3577" width="4.42578125" style="134" customWidth="1"/>
    <col min="3578" max="3578" width="3.5703125" style="134" customWidth="1"/>
    <col min="3579" max="3579" width="57" style="134" customWidth="1"/>
    <col min="3580" max="3580" width="0" style="134" hidden="1" customWidth="1"/>
    <col min="3581" max="3581" width="12" style="134" customWidth="1"/>
    <col min="3582" max="3582" width="19.140625" style="134" customWidth="1"/>
    <col min="3583" max="3583" width="16.7109375" style="134" customWidth="1"/>
    <col min="3584" max="3584" width="1.42578125" style="134" customWidth="1"/>
    <col min="3585" max="3585" width="6" style="134" customWidth="1"/>
    <col min="3586" max="3586" width="39.28515625" style="134" customWidth="1"/>
    <col min="3587" max="3587" width="13" style="134" customWidth="1"/>
    <col min="3588" max="3588" width="9.5703125" style="134" customWidth="1"/>
    <col min="3589" max="3589" width="9.140625" style="134"/>
    <col min="3590" max="3590" width="17.5703125" style="134" customWidth="1"/>
    <col min="3591" max="3591" width="6.7109375" style="134" customWidth="1"/>
    <col min="3592" max="3592" width="10.5703125" style="134" customWidth="1"/>
    <col min="3593" max="3832" width="9.140625" style="134"/>
    <col min="3833" max="3833" width="4.42578125" style="134" customWidth="1"/>
    <col min="3834" max="3834" width="3.5703125" style="134" customWidth="1"/>
    <col min="3835" max="3835" width="57" style="134" customWidth="1"/>
    <col min="3836" max="3836" width="0" style="134" hidden="1" customWidth="1"/>
    <col min="3837" max="3837" width="12" style="134" customWidth="1"/>
    <col min="3838" max="3838" width="19.140625" style="134" customWidth="1"/>
    <col min="3839" max="3839" width="16.7109375" style="134" customWidth="1"/>
    <col min="3840" max="3840" width="1.42578125" style="134" customWidth="1"/>
    <col min="3841" max="3841" width="6" style="134" customWidth="1"/>
    <col min="3842" max="3842" width="39.28515625" style="134" customWidth="1"/>
    <col min="3843" max="3843" width="13" style="134" customWidth="1"/>
    <col min="3844" max="3844" width="9.5703125" style="134" customWidth="1"/>
    <col min="3845" max="3845" width="9.140625" style="134"/>
    <col min="3846" max="3846" width="17.5703125" style="134" customWidth="1"/>
    <col min="3847" max="3847" width="6.7109375" style="134" customWidth="1"/>
    <col min="3848" max="3848" width="10.5703125" style="134" customWidth="1"/>
    <col min="3849" max="4088" width="9.140625" style="134"/>
    <col min="4089" max="4089" width="4.42578125" style="134" customWidth="1"/>
    <col min="4090" max="4090" width="3.5703125" style="134" customWidth="1"/>
    <col min="4091" max="4091" width="57" style="134" customWidth="1"/>
    <col min="4092" max="4092" width="0" style="134" hidden="1" customWidth="1"/>
    <col min="4093" max="4093" width="12" style="134" customWidth="1"/>
    <col min="4094" max="4094" width="19.140625" style="134" customWidth="1"/>
    <col min="4095" max="4095" width="16.7109375" style="134" customWidth="1"/>
    <col min="4096" max="4096" width="1.42578125" style="134" customWidth="1"/>
    <col min="4097" max="4097" width="6" style="134" customWidth="1"/>
    <col min="4098" max="4098" width="39.28515625" style="134" customWidth="1"/>
    <col min="4099" max="4099" width="13" style="134" customWidth="1"/>
    <col min="4100" max="4100" width="9.5703125" style="134" customWidth="1"/>
    <col min="4101" max="4101" width="9.140625" style="134"/>
    <col min="4102" max="4102" width="17.5703125" style="134" customWidth="1"/>
    <col min="4103" max="4103" width="6.7109375" style="134" customWidth="1"/>
    <col min="4104" max="4104" width="10.5703125" style="134" customWidth="1"/>
    <col min="4105" max="4344" width="9.140625" style="134"/>
    <col min="4345" max="4345" width="4.42578125" style="134" customWidth="1"/>
    <col min="4346" max="4346" width="3.5703125" style="134" customWidth="1"/>
    <col min="4347" max="4347" width="57" style="134" customWidth="1"/>
    <col min="4348" max="4348" width="0" style="134" hidden="1" customWidth="1"/>
    <col min="4349" max="4349" width="12" style="134" customWidth="1"/>
    <col min="4350" max="4350" width="19.140625" style="134" customWidth="1"/>
    <col min="4351" max="4351" width="16.7109375" style="134" customWidth="1"/>
    <col min="4352" max="4352" width="1.42578125" style="134" customWidth="1"/>
    <col min="4353" max="4353" width="6" style="134" customWidth="1"/>
    <col min="4354" max="4354" width="39.28515625" style="134" customWidth="1"/>
    <col min="4355" max="4355" width="13" style="134" customWidth="1"/>
    <col min="4356" max="4356" width="9.5703125" style="134" customWidth="1"/>
    <col min="4357" max="4357" width="9.140625" style="134"/>
    <col min="4358" max="4358" width="17.5703125" style="134" customWidth="1"/>
    <col min="4359" max="4359" width="6.7109375" style="134" customWidth="1"/>
    <col min="4360" max="4360" width="10.5703125" style="134" customWidth="1"/>
    <col min="4361" max="4600" width="9.140625" style="134"/>
    <col min="4601" max="4601" width="4.42578125" style="134" customWidth="1"/>
    <col min="4602" max="4602" width="3.5703125" style="134" customWidth="1"/>
    <col min="4603" max="4603" width="57" style="134" customWidth="1"/>
    <col min="4604" max="4604" width="0" style="134" hidden="1" customWidth="1"/>
    <col min="4605" max="4605" width="12" style="134" customWidth="1"/>
    <col min="4606" max="4606" width="19.140625" style="134" customWidth="1"/>
    <col min="4607" max="4607" width="16.7109375" style="134" customWidth="1"/>
    <col min="4608" max="4608" width="1.42578125" style="134" customWidth="1"/>
    <col min="4609" max="4609" width="6" style="134" customWidth="1"/>
    <col min="4610" max="4610" width="39.28515625" style="134" customWidth="1"/>
    <col min="4611" max="4611" width="13" style="134" customWidth="1"/>
    <col min="4612" max="4612" width="9.5703125" style="134" customWidth="1"/>
    <col min="4613" max="4613" width="9.140625" style="134"/>
    <col min="4614" max="4614" width="17.5703125" style="134" customWidth="1"/>
    <col min="4615" max="4615" width="6.7109375" style="134" customWidth="1"/>
    <col min="4616" max="4616" width="10.5703125" style="134" customWidth="1"/>
    <col min="4617" max="4856" width="9.140625" style="134"/>
    <col min="4857" max="4857" width="4.42578125" style="134" customWidth="1"/>
    <col min="4858" max="4858" width="3.5703125" style="134" customWidth="1"/>
    <col min="4859" max="4859" width="57" style="134" customWidth="1"/>
    <col min="4860" max="4860" width="0" style="134" hidden="1" customWidth="1"/>
    <col min="4861" max="4861" width="12" style="134" customWidth="1"/>
    <col min="4862" max="4862" width="19.140625" style="134" customWidth="1"/>
    <col min="4863" max="4863" width="16.7109375" style="134" customWidth="1"/>
    <col min="4864" max="4864" width="1.42578125" style="134" customWidth="1"/>
    <col min="4865" max="4865" width="6" style="134" customWidth="1"/>
    <col min="4866" max="4866" width="39.28515625" style="134" customWidth="1"/>
    <col min="4867" max="4867" width="13" style="134" customWidth="1"/>
    <col min="4868" max="4868" width="9.5703125" style="134" customWidth="1"/>
    <col min="4869" max="4869" width="9.140625" style="134"/>
    <col min="4870" max="4870" width="17.5703125" style="134" customWidth="1"/>
    <col min="4871" max="4871" width="6.7109375" style="134" customWidth="1"/>
    <col min="4872" max="4872" width="10.5703125" style="134" customWidth="1"/>
    <col min="4873" max="5112" width="9.140625" style="134"/>
    <col min="5113" max="5113" width="4.42578125" style="134" customWidth="1"/>
    <col min="5114" max="5114" width="3.5703125" style="134" customWidth="1"/>
    <col min="5115" max="5115" width="57" style="134" customWidth="1"/>
    <col min="5116" max="5116" width="0" style="134" hidden="1" customWidth="1"/>
    <col min="5117" max="5117" width="12" style="134" customWidth="1"/>
    <col min="5118" max="5118" width="19.140625" style="134" customWidth="1"/>
    <col min="5119" max="5119" width="16.7109375" style="134" customWidth="1"/>
    <col min="5120" max="5120" width="1.42578125" style="134" customWidth="1"/>
    <col min="5121" max="5121" width="6" style="134" customWidth="1"/>
    <col min="5122" max="5122" width="39.28515625" style="134" customWidth="1"/>
    <col min="5123" max="5123" width="13" style="134" customWidth="1"/>
    <col min="5124" max="5124" width="9.5703125" style="134" customWidth="1"/>
    <col min="5125" max="5125" width="9.140625" style="134"/>
    <col min="5126" max="5126" width="17.5703125" style="134" customWidth="1"/>
    <col min="5127" max="5127" width="6.7109375" style="134" customWidth="1"/>
    <col min="5128" max="5128" width="10.5703125" style="134" customWidth="1"/>
    <col min="5129" max="5368" width="9.140625" style="134"/>
    <col min="5369" max="5369" width="4.42578125" style="134" customWidth="1"/>
    <col min="5370" max="5370" width="3.5703125" style="134" customWidth="1"/>
    <col min="5371" max="5371" width="57" style="134" customWidth="1"/>
    <col min="5372" max="5372" width="0" style="134" hidden="1" customWidth="1"/>
    <col min="5373" max="5373" width="12" style="134" customWidth="1"/>
    <col min="5374" max="5374" width="19.140625" style="134" customWidth="1"/>
    <col min="5375" max="5375" width="16.7109375" style="134" customWidth="1"/>
    <col min="5376" max="5376" width="1.42578125" style="134" customWidth="1"/>
    <col min="5377" max="5377" width="6" style="134" customWidth="1"/>
    <col min="5378" max="5378" width="39.28515625" style="134" customWidth="1"/>
    <col min="5379" max="5379" width="13" style="134" customWidth="1"/>
    <col min="5380" max="5380" width="9.5703125" style="134" customWidth="1"/>
    <col min="5381" max="5381" width="9.140625" style="134"/>
    <col min="5382" max="5382" width="17.5703125" style="134" customWidth="1"/>
    <col min="5383" max="5383" width="6.7109375" style="134" customWidth="1"/>
    <col min="5384" max="5384" width="10.5703125" style="134" customWidth="1"/>
    <col min="5385" max="5624" width="9.140625" style="134"/>
    <col min="5625" max="5625" width="4.42578125" style="134" customWidth="1"/>
    <col min="5626" max="5626" width="3.5703125" style="134" customWidth="1"/>
    <col min="5627" max="5627" width="57" style="134" customWidth="1"/>
    <col min="5628" max="5628" width="0" style="134" hidden="1" customWidth="1"/>
    <col min="5629" max="5629" width="12" style="134" customWidth="1"/>
    <col min="5630" max="5630" width="19.140625" style="134" customWidth="1"/>
    <col min="5631" max="5631" width="16.7109375" style="134" customWidth="1"/>
    <col min="5632" max="5632" width="1.42578125" style="134" customWidth="1"/>
    <col min="5633" max="5633" width="6" style="134" customWidth="1"/>
    <col min="5634" max="5634" width="39.28515625" style="134" customWidth="1"/>
    <col min="5635" max="5635" width="13" style="134" customWidth="1"/>
    <col min="5636" max="5636" width="9.5703125" style="134" customWidth="1"/>
    <col min="5637" max="5637" width="9.140625" style="134"/>
    <col min="5638" max="5638" width="17.5703125" style="134" customWidth="1"/>
    <col min="5639" max="5639" width="6.7109375" style="134" customWidth="1"/>
    <col min="5640" max="5640" width="10.5703125" style="134" customWidth="1"/>
    <col min="5641" max="5880" width="9.140625" style="134"/>
    <col min="5881" max="5881" width="4.42578125" style="134" customWidth="1"/>
    <col min="5882" max="5882" width="3.5703125" style="134" customWidth="1"/>
    <col min="5883" max="5883" width="57" style="134" customWidth="1"/>
    <col min="5884" max="5884" width="0" style="134" hidden="1" customWidth="1"/>
    <col min="5885" max="5885" width="12" style="134" customWidth="1"/>
    <col min="5886" max="5886" width="19.140625" style="134" customWidth="1"/>
    <col min="5887" max="5887" width="16.7109375" style="134" customWidth="1"/>
    <col min="5888" max="5888" width="1.42578125" style="134" customWidth="1"/>
    <col min="5889" max="5889" width="6" style="134" customWidth="1"/>
    <col min="5890" max="5890" width="39.28515625" style="134" customWidth="1"/>
    <col min="5891" max="5891" width="13" style="134" customWidth="1"/>
    <col min="5892" max="5892" width="9.5703125" style="134" customWidth="1"/>
    <col min="5893" max="5893" width="9.140625" style="134"/>
    <col min="5894" max="5894" width="17.5703125" style="134" customWidth="1"/>
    <col min="5895" max="5895" width="6.7109375" style="134" customWidth="1"/>
    <col min="5896" max="5896" width="10.5703125" style="134" customWidth="1"/>
    <col min="5897" max="6136" width="9.140625" style="134"/>
    <col min="6137" max="6137" width="4.42578125" style="134" customWidth="1"/>
    <col min="6138" max="6138" width="3.5703125" style="134" customWidth="1"/>
    <col min="6139" max="6139" width="57" style="134" customWidth="1"/>
    <col min="6140" max="6140" width="0" style="134" hidden="1" customWidth="1"/>
    <col min="6141" max="6141" width="12" style="134" customWidth="1"/>
    <col min="6142" max="6142" width="19.140625" style="134" customWidth="1"/>
    <col min="6143" max="6143" width="16.7109375" style="134" customWidth="1"/>
    <col min="6144" max="6144" width="1.42578125" style="134" customWidth="1"/>
    <col min="6145" max="6145" width="6" style="134" customWidth="1"/>
    <col min="6146" max="6146" width="39.28515625" style="134" customWidth="1"/>
    <col min="6147" max="6147" width="13" style="134" customWidth="1"/>
    <col min="6148" max="6148" width="9.5703125" style="134" customWidth="1"/>
    <col min="6149" max="6149" width="9.140625" style="134"/>
    <col min="6150" max="6150" width="17.5703125" style="134" customWidth="1"/>
    <col min="6151" max="6151" width="6.7109375" style="134" customWidth="1"/>
    <col min="6152" max="6152" width="10.5703125" style="134" customWidth="1"/>
    <col min="6153" max="6392" width="9.140625" style="134"/>
    <col min="6393" max="6393" width="4.42578125" style="134" customWidth="1"/>
    <col min="6394" max="6394" width="3.5703125" style="134" customWidth="1"/>
    <col min="6395" max="6395" width="57" style="134" customWidth="1"/>
    <col min="6396" max="6396" width="0" style="134" hidden="1" customWidth="1"/>
    <col min="6397" max="6397" width="12" style="134" customWidth="1"/>
    <col min="6398" max="6398" width="19.140625" style="134" customWidth="1"/>
    <col min="6399" max="6399" width="16.7109375" style="134" customWidth="1"/>
    <col min="6400" max="6400" width="1.42578125" style="134" customWidth="1"/>
    <col min="6401" max="6401" width="6" style="134" customWidth="1"/>
    <col min="6402" max="6402" width="39.28515625" style="134" customWidth="1"/>
    <col min="6403" max="6403" width="13" style="134" customWidth="1"/>
    <col min="6404" max="6404" width="9.5703125" style="134" customWidth="1"/>
    <col min="6405" max="6405" width="9.140625" style="134"/>
    <col min="6406" max="6406" width="17.5703125" style="134" customWidth="1"/>
    <col min="6407" max="6407" width="6.7109375" style="134" customWidth="1"/>
    <col min="6408" max="6408" width="10.5703125" style="134" customWidth="1"/>
    <col min="6409" max="6648" width="9.140625" style="134"/>
    <col min="6649" max="6649" width="4.42578125" style="134" customWidth="1"/>
    <col min="6650" max="6650" width="3.5703125" style="134" customWidth="1"/>
    <col min="6651" max="6651" width="57" style="134" customWidth="1"/>
    <col min="6652" max="6652" width="0" style="134" hidden="1" customWidth="1"/>
    <col min="6653" max="6653" width="12" style="134" customWidth="1"/>
    <col min="6654" max="6654" width="19.140625" style="134" customWidth="1"/>
    <col min="6655" max="6655" width="16.7109375" style="134" customWidth="1"/>
    <col min="6656" max="6656" width="1.42578125" style="134" customWidth="1"/>
    <col min="6657" max="6657" width="6" style="134" customWidth="1"/>
    <col min="6658" max="6658" width="39.28515625" style="134" customWidth="1"/>
    <col min="6659" max="6659" width="13" style="134" customWidth="1"/>
    <col min="6660" max="6660" width="9.5703125" style="134" customWidth="1"/>
    <col min="6661" max="6661" width="9.140625" style="134"/>
    <col min="6662" max="6662" width="17.5703125" style="134" customWidth="1"/>
    <col min="6663" max="6663" width="6.7109375" style="134" customWidth="1"/>
    <col min="6664" max="6664" width="10.5703125" style="134" customWidth="1"/>
    <col min="6665" max="6904" width="9.140625" style="134"/>
    <col min="6905" max="6905" width="4.42578125" style="134" customWidth="1"/>
    <col min="6906" max="6906" width="3.5703125" style="134" customWidth="1"/>
    <col min="6907" max="6907" width="57" style="134" customWidth="1"/>
    <col min="6908" max="6908" width="0" style="134" hidden="1" customWidth="1"/>
    <col min="6909" max="6909" width="12" style="134" customWidth="1"/>
    <col min="6910" max="6910" width="19.140625" style="134" customWidth="1"/>
    <col min="6911" max="6911" width="16.7109375" style="134" customWidth="1"/>
    <col min="6912" max="6912" width="1.42578125" style="134" customWidth="1"/>
    <col min="6913" max="6913" width="6" style="134" customWidth="1"/>
    <col min="6914" max="6914" width="39.28515625" style="134" customWidth="1"/>
    <col min="6915" max="6915" width="13" style="134" customWidth="1"/>
    <col min="6916" max="6916" width="9.5703125" style="134" customWidth="1"/>
    <col min="6917" max="6917" width="9.140625" style="134"/>
    <col min="6918" max="6918" width="17.5703125" style="134" customWidth="1"/>
    <col min="6919" max="6919" width="6.7109375" style="134" customWidth="1"/>
    <col min="6920" max="6920" width="10.5703125" style="134" customWidth="1"/>
    <col min="6921" max="7160" width="9.140625" style="134"/>
    <col min="7161" max="7161" width="4.42578125" style="134" customWidth="1"/>
    <col min="7162" max="7162" width="3.5703125" style="134" customWidth="1"/>
    <col min="7163" max="7163" width="57" style="134" customWidth="1"/>
    <col min="7164" max="7164" width="0" style="134" hidden="1" customWidth="1"/>
    <col min="7165" max="7165" width="12" style="134" customWidth="1"/>
    <col min="7166" max="7166" width="19.140625" style="134" customWidth="1"/>
    <col min="7167" max="7167" width="16.7109375" style="134" customWidth="1"/>
    <col min="7168" max="7168" width="1.42578125" style="134" customWidth="1"/>
    <col min="7169" max="7169" width="6" style="134" customWidth="1"/>
    <col min="7170" max="7170" width="39.28515625" style="134" customWidth="1"/>
    <col min="7171" max="7171" width="13" style="134" customWidth="1"/>
    <col min="7172" max="7172" width="9.5703125" style="134" customWidth="1"/>
    <col min="7173" max="7173" width="9.140625" style="134"/>
    <col min="7174" max="7174" width="17.5703125" style="134" customWidth="1"/>
    <col min="7175" max="7175" width="6.7109375" style="134" customWidth="1"/>
    <col min="7176" max="7176" width="10.5703125" style="134" customWidth="1"/>
    <col min="7177" max="7416" width="9.140625" style="134"/>
    <col min="7417" max="7417" width="4.42578125" style="134" customWidth="1"/>
    <col min="7418" max="7418" width="3.5703125" style="134" customWidth="1"/>
    <col min="7419" max="7419" width="57" style="134" customWidth="1"/>
    <col min="7420" max="7420" width="0" style="134" hidden="1" customWidth="1"/>
    <col min="7421" max="7421" width="12" style="134" customWidth="1"/>
    <col min="7422" max="7422" width="19.140625" style="134" customWidth="1"/>
    <col min="7423" max="7423" width="16.7109375" style="134" customWidth="1"/>
    <col min="7424" max="7424" width="1.42578125" style="134" customWidth="1"/>
    <col min="7425" max="7425" width="6" style="134" customWidth="1"/>
    <col min="7426" max="7426" width="39.28515625" style="134" customWidth="1"/>
    <col min="7427" max="7427" width="13" style="134" customWidth="1"/>
    <col min="7428" max="7428" width="9.5703125" style="134" customWidth="1"/>
    <col min="7429" max="7429" width="9.140625" style="134"/>
    <col min="7430" max="7430" width="17.5703125" style="134" customWidth="1"/>
    <col min="7431" max="7431" width="6.7109375" style="134" customWidth="1"/>
    <col min="7432" max="7432" width="10.5703125" style="134" customWidth="1"/>
    <col min="7433" max="7672" width="9.140625" style="134"/>
    <col min="7673" max="7673" width="4.42578125" style="134" customWidth="1"/>
    <col min="7674" max="7674" width="3.5703125" style="134" customWidth="1"/>
    <col min="7675" max="7675" width="57" style="134" customWidth="1"/>
    <col min="7676" max="7676" width="0" style="134" hidden="1" customWidth="1"/>
    <col min="7677" max="7677" width="12" style="134" customWidth="1"/>
    <col min="7678" max="7678" width="19.140625" style="134" customWidth="1"/>
    <col min="7679" max="7679" width="16.7109375" style="134" customWidth="1"/>
    <col min="7680" max="7680" width="1.42578125" style="134" customWidth="1"/>
    <col min="7681" max="7681" width="6" style="134" customWidth="1"/>
    <col min="7682" max="7682" width="39.28515625" style="134" customWidth="1"/>
    <col min="7683" max="7683" width="13" style="134" customWidth="1"/>
    <col min="7684" max="7684" width="9.5703125" style="134" customWidth="1"/>
    <col min="7685" max="7685" width="9.140625" style="134"/>
    <col min="7686" max="7686" width="17.5703125" style="134" customWidth="1"/>
    <col min="7687" max="7687" width="6.7109375" style="134" customWidth="1"/>
    <col min="7688" max="7688" width="10.5703125" style="134" customWidth="1"/>
    <col min="7689" max="7928" width="9.140625" style="134"/>
    <col min="7929" max="7929" width="4.42578125" style="134" customWidth="1"/>
    <col min="7930" max="7930" width="3.5703125" style="134" customWidth="1"/>
    <col min="7931" max="7931" width="57" style="134" customWidth="1"/>
    <col min="7932" max="7932" width="0" style="134" hidden="1" customWidth="1"/>
    <col min="7933" max="7933" width="12" style="134" customWidth="1"/>
    <col min="7934" max="7934" width="19.140625" style="134" customWidth="1"/>
    <col min="7935" max="7935" width="16.7109375" style="134" customWidth="1"/>
    <col min="7936" max="7936" width="1.42578125" style="134" customWidth="1"/>
    <col min="7937" max="7937" width="6" style="134" customWidth="1"/>
    <col min="7938" max="7938" width="39.28515625" style="134" customWidth="1"/>
    <col min="7939" max="7939" width="13" style="134" customWidth="1"/>
    <col min="7940" max="7940" width="9.5703125" style="134" customWidth="1"/>
    <col min="7941" max="7941" width="9.140625" style="134"/>
    <col min="7942" max="7942" width="17.5703125" style="134" customWidth="1"/>
    <col min="7943" max="7943" width="6.7109375" style="134" customWidth="1"/>
    <col min="7944" max="7944" width="10.5703125" style="134" customWidth="1"/>
    <col min="7945" max="8184" width="9.140625" style="134"/>
    <col min="8185" max="8185" width="4.42578125" style="134" customWidth="1"/>
    <col min="8186" max="8186" width="3.5703125" style="134" customWidth="1"/>
    <col min="8187" max="8187" width="57" style="134" customWidth="1"/>
    <col min="8188" max="8188" width="0" style="134" hidden="1" customWidth="1"/>
    <col min="8189" max="8189" width="12" style="134" customWidth="1"/>
    <col min="8190" max="8190" width="19.140625" style="134" customWidth="1"/>
    <col min="8191" max="8191" width="16.7109375" style="134" customWidth="1"/>
    <col min="8192" max="8192" width="1.42578125" style="134" customWidth="1"/>
    <col min="8193" max="8193" width="6" style="134" customWidth="1"/>
    <col min="8194" max="8194" width="39.28515625" style="134" customWidth="1"/>
    <col min="8195" max="8195" width="13" style="134" customWidth="1"/>
    <col min="8196" max="8196" width="9.5703125" style="134" customWidth="1"/>
    <col min="8197" max="8197" width="9.140625" style="134"/>
    <col min="8198" max="8198" width="17.5703125" style="134" customWidth="1"/>
    <col min="8199" max="8199" width="6.7109375" style="134" customWidth="1"/>
    <col min="8200" max="8200" width="10.5703125" style="134" customWidth="1"/>
    <col min="8201" max="8440" width="9.140625" style="134"/>
    <col min="8441" max="8441" width="4.42578125" style="134" customWidth="1"/>
    <col min="8442" max="8442" width="3.5703125" style="134" customWidth="1"/>
    <col min="8443" max="8443" width="57" style="134" customWidth="1"/>
    <col min="8444" max="8444" width="0" style="134" hidden="1" customWidth="1"/>
    <col min="8445" max="8445" width="12" style="134" customWidth="1"/>
    <col min="8446" max="8446" width="19.140625" style="134" customWidth="1"/>
    <col min="8447" max="8447" width="16.7109375" style="134" customWidth="1"/>
    <col min="8448" max="8448" width="1.42578125" style="134" customWidth="1"/>
    <col min="8449" max="8449" width="6" style="134" customWidth="1"/>
    <col min="8450" max="8450" width="39.28515625" style="134" customWidth="1"/>
    <col min="8451" max="8451" width="13" style="134" customWidth="1"/>
    <col min="8452" max="8452" width="9.5703125" style="134" customWidth="1"/>
    <col min="8453" max="8453" width="9.140625" style="134"/>
    <col min="8454" max="8454" width="17.5703125" style="134" customWidth="1"/>
    <col min="8455" max="8455" width="6.7109375" style="134" customWidth="1"/>
    <col min="8456" max="8456" width="10.5703125" style="134" customWidth="1"/>
    <col min="8457" max="8696" width="9.140625" style="134"/>
    <col min="8697" max="8697" width="4.42578125" style="134" customWidth="1"/>
    <col min="8698" max="8698" width="3.5703125" style="134" customWidth="1"/>
    <col min="8699" max="8699" width="57" style="134" customWidth="1"/>
    <col min="8700" max="8700" width="0" style="134" hidden="1" customWidth="1"/>
    <col min="8701" max="8701" width="12" style="134" customWidth="1"/>
    <col min="8702" max="8702" width="19.140625" style="134" customWidth="1"/>
    <col min="8703" max="8703" width="16.7109375" style="134" customWidth="1"/>
    <col min="8704" max="8704" width="1.42578125" style="134" customWidth="1"/>
    <col min="8705" max="8705" width="6" style="134" customWidth="1"/>
    <col min="8706" max="8706" width="39.28515625" style="134" customWidth="1"/>
    <col min="8707" max="8707" width="13" style="134" customWidth="1"/>
    <col min="8708" max="8708" width="9.5703125" style="134" customWidth="1"/>
    <col min="8709" max="8709" width="9.140625" style="134"/>
    <col min="8710" max="8710" width="17.5703125" style="134" customWidth="1"/>
    <col min="8711" max="8711" width="6.7109375" style="134" customWidth="1"/>
    <col min="8712" max="8712" width="10.5703125" style="134" customWidth="1"/>
    <col min="8713" max="8952" width="9.140625" style="134"/>
    <col min="8953" max="8953" width="4.42578125" style="134" customWidth="1"/>
    <col min="8954" max="8954" width="3.5703125" style="134" customWidth="1"/>
    <col min="8955" max="8955" width="57" style="134" customWidth="1"/>
    <col min="8956" max="8956" width="0" style="134" hidden="1" customWidth="1"/>
    <col min="8957" max="8957" width="12" style="134" customWidth="1"/>
    <col min="8958" max="8958" width="19.140625" style="134" customWidth="1"/>
    <col min="8959" max="8959" width="16.7109375" style="134" customWidth="1"/>
    <col min="8960" max="8960" width="1.42578125" style="134" customWidth="1"/>
    <col min="8961" max="8961" width="6" style="134" customWidth="1"/>
    <col min="8962" max="8962" width="39.28515625" style="134" customWidth="1"/>
    <col min="8963" max="8963" width="13" style="134" customWidth="1"/>
    <col min="8964" max="8964" width="9.5703125" style="134" customWidth="1"/>
    <col min="8965" max="8965" width="9.140625" style="134"/>
    <col min="8966" max="8966" width="17.5703125" style="134" customWidth="1"/>
    <col min="8967" max="8967" width="6.7109375" style="134" customWidth="1"/>
    <col min="8968" max="8968" width="10.5703125" style="134" customWidth="1"/>
    <col min="8969" max="9208" width="9.140625" style="134"/>
    <col min="9209" max="9209" width="4.42578125" style="134" customWidth="1"/>
    <col min="9210" max="9210" width="3.5703125" style="134" customWidth="1"/>
    <col min="9211" max="9211" width="57" style="134" customWidth="1"/>
    <col min="9212" max="9212" width="0" style="134" hidden="1" customWidth="1"/>
    <col min="9213" max="9213" width="12" style="134" customWidth="1"/>
    <col min="9214" max="9214" width="19.140625" style="134" customWidth="1"/>
    <col min="9215" max="9215" width="16.7109375" style="134" customWidth="1"/>
    <col min="9216" max="9216" width="1.42578125" style="134" customWidth="1"/>
    <col min="9217" max="9217" width="6" style="134" customWidth="1"/>
    <col min="9218" max="9218" width="39.28515625" style="134" customWidth="1"/>
    <col min="9219" max="9219" width="13" style="134" customWidth="1"/>
    <col min="9220" max="9220" width="9.5703125" style="134" customWidth="1"/>
    <col min="9221" max="9221" width="9.140625" style="134"/>
    <col min="9222" max="9222" width="17.5703125" style="134" customWidth="1"/>
    <col min="9223" max="9223" width="6.7109375" style="134" customWidth="1"/>
    <col min="9224" max="9224" width="10.5703125" style="134" customWidth="1"/>
    <col min="9225" max="9464" width="9.140625" style="134"/>
    <col min="9465" max="9465" width="4.42578125" style="134" customWidth="1"/>
    <col min="9466" max="9466" width="3.5703125" style="134" customWidth="1"/>
    <col min="9467" max="9467" width="57" style="134" customWidth="1"/>
    <col min="9468" max="9468" width="0" style="134" hidden="1" customWidth="1"/>
    <col min="9469" max="9469" width="12" style="134" customWidth="1"/>
    <col min="9470" max="9470" width="19.140625" style="134" customWidth="1"/>
    <col min="9471" max="9471" width="16.7109375" style="134" customWidth="1"/>
    <col min="9472" max="9472" width="1.42578125" style="134" customWidth="1"/>
    <col min="9473" max="9473" width="6" style="134" customWidth="1"/>
    <col min="9474" max="9474" width="39.28515625" style="134" customWidth="1"/>
    <col min="9475" max="9475" width="13" style="134" customWidth="1"/>
    <col min="9476" max="9476" width="9.5703125" style="134" customWidth="1"/>
    <col min="9477" max="9477" width="9.140625" style="134"/>
    <col min="9478" max="9478" width="17.5703125" style="134" customWidth="1"/>
    <col min="9479" max="9479" width="6.7109375" style="134" customWidth="1"/>
    <col min="9480" max="9480" width="10.5703125" style="134" customWidth="1"/>
    <col min="9481" max="9720" width="9.140625" style="134"/>
    <col min="9721" max="9721" width="4.42578125" style="134" customWidth="1"/>
    <col min="9722" max="9722" width="3.5703125" style="134" customWidth="1"/>
    <col min="9723" max="9723" width="57" style="134" customWidth="1"/>
    <col min="9724" max="9724" width="0" style="134" hidden="1" customWidth="1"/>
    <col min="9725" max="9725" width="12" style="134" customWidth="1"/>
    <col min="9726" max="9726" width="19.140625" style="134" customWidth="1"/>
    <col min="9727" max="9727" width="16.7109375" style="134" customWidth="1"/>
    <col min="9728" max="9728" width="1.42578125" style="134" customWidth="1"/>
    <col min="9729" max="9729" width="6" style="134" customWidth="1"/>
    <col min="9730" max="9730" width="39.28515625" style="134" customWidth="1"/>
    <col min="9731" max="9731" width="13" style="134" customWidth="1"/>
    <col min="9732" max="9732" width="9.5703125" style="134" customWidth="1"/>
    <col min="9733" max="9733" width="9.140625" style="134"/>
    <col min="9734" max="9734" width="17.5703125" style="134" customWidth="1"/>
    <col min="9735" max="9735" width="6.7109375" style="134" customWidth="1"/>
    <col min="9736" max="9736" width="10.5703125" style="134" customWidth="1"/>
    <col min="9737" max="9976" width="9.140625" style="134"/>
    <col min="9977" max="9977" width="4.42578125" style="134" customWidth="1"/>
    <col min="9978" max="9978" width="3.5703125" style="134" customWidth="1"/>
    <col min="9979" max="9979" width="57" style="134" customWidth="1"/>
    <col min="9980" max="9980" width="0" style="134" hidden="1" customWidth="1"/>
    <col min="9981" max="9981" width="12" style="134" customWidth="1"/>
    <col min="9982" max="9982" width="19.140625" style="134" customWidth="1"/>
    <col min="9983" max="9983" width="16.7109375" style="134" customWidth="1"/>
    <col min="9984" max="9984" width="1.42578125" style="134" customWidth="1"/>
    <col min="9985" max="9985" width="6" style="134" customWidth="1"/>
    <col min="9986" max="9986" width="39.28515625" style="134" customWidth="1"/>
    <col min="9987" max="9987" width="13" style="134" customWidth="1"/>
    <col min="9988" max="9988" width="9.5703125" style="134" customWidth="1"/>
    <col min="9989" max="9989" width="9.140625" style="134"/>
    <col min="9990" max="9990" width="17.5703125" style="134" customWidth="1"/>
    <col min="9991" max="9991" width="6.7109375" style="134" customWidth="1"/>
    <col min="9992" max="9992" width="10.5703125" style="134" customWidth="1"/>
    <col min="9993" max="10232" width="9.140625" style="134"/>
    <col min="10233" max="10233" width="4.42578125" style="134" customWidth="1"/>
    <col min="10234" max="10234" width="3.5703125" style="134" customWidth="1"/>
    <col min="10235" max="10235" width="57" style="134" customWidth="1"/>
    <col min="10236" max="10236" width="0" style="134" hidden="1" customWidth="1"/>
    <col min="10237" max="10237" width="12" style="134" customWidth="1"/>
    <col min="10238" max="10238" width="19.140625" style="134" customWidth="1"/>
    <col min="10239" max="10239" width="16.7109375" style="134" customWidth="1"/>
    <col min="10240" max="10240" width="1.42578125" style="134" customWidth="1"/>
    <col min="10241" max="10241" width="6" style="134" customWidth="1"/>
    <col min="10242" max="10242" width="39.28515625" style="134" customWidth="1"/>
    <col min="10243" max="10243" width="13" style="134" customWidth="1"/>
    <col min="10244" max="10244" width="9.5703125" style="134" customWidth="1"/>
    <col min="10245" max="10245" width="9.140625" style="134"/>
    <col min="10246" max="10246" width="17.5703125" style="134" customWidth="1"/>
    <col min="10247" max="10247" width="6.7109375" style="134" customWidth="1"/>
    <col min="10248" max="10248" width="10.5703125" style="134" customWidth="1"/>
    <col min="10249" max="10488" width="9.140625" style="134"/>
    <col min="10489" max="10489" width="4.42578125" style="134" customWidth="1"/>
    <col min="10490" max="10490" width="3.5703125" style="134" customWidth="1"/>
    <col min="10491" max="10491" width="57" style="134" customWidth="1"/>
    <col min="10492" max="10492" width="0" style="134" hidden="1" customWidth="1"/>
    <col min="10493" max="10493" width="12" style="134" customWidth="1"/>
    <col min="10494" max="10494" width="19.140625" style="134" customWidth="1"/>
    <col min="10495" max="10495" width="16.7109375" style="134" customWidth="1"/>
    <col min="10496" max="10496" width="1.42578125" style="134" customWidth="1"/>
    <col min="10497" max="10497" width="6" style="134" customWidth="1"/>
    <col min="10498" max="10498" width="39.28515625" style="134" customWidth="1"/>
    <col min="10499" max="10499" width="13" style="134" customWidth="1"/>
    <col min="10500" max="10500" width="9.5703125" style="134" customWidth="1"/>
    <col min="10501" max="10501" width="9.140625" style="134"/>
    <col min="10502" max="10502" width="17.5703125" style="134" customWidth="1"/>
    <col min="10503" max="10503" width="6.7109375" style="134" customWidth="1"/>
    <col min="10504" max="10504" width="10.5703125" style="134" customWidth="1"/>
    <col min="10505" max="10744" width="9.140625" style="134"/>
    <col min="10745" max="10745" width="4.42578125" style="134" customWidth="1"/>
    <col min="10746" max="10746" width="3.5703125" style="134" customWidth="1"/>
    <col min="10747" max="10747" width="57" style="134" customWidth="1"/>
    <col min="10748" max="10748" width="0" style="134" hidden="1" customWidth="1"/>
    <col min="10749" max="10749" width="12" style="134" customWidth="1"/>
    <col min="10750" max="10750" width="19.140625" style="134" customWidth="1"/>
    <col min="10751" max="10751" width="16.7109375" style="134" customWidth="1"/>
    <col min="10752" max="10752" width="1.42578125" style="134" customWidth="1"/>
    <col min="10753" max="10753" width="6" style="134" customWidth="1"/>
    <col min="10754" max="10754" width="39.28515625" style="134" customWidth="1"/>
    <col min="10755" max="10755" width="13" style="134" customWidth="1"/>
    <col min="10756" max="10756" width="9.5703125" style="134" customWidth="1"/>
    <col min="10757" max="10757" width="9.140625" style="134"/>
    <col min="10758" max="10758" width="17.5703125" style="134" customWidth="1"/>
    <col min="10759" max="10759" width="6.7109375" style="134" customWidth="1"/>
    <col min="10760" max="10760" width="10.5703125" style="134" customWidth="1"/>
    <col min="10761" max="11000" width="9.140625" style="134"/>
    <col min="11001" max="11001" width="4.42578125" style="134" customWidth="1"/>
    <col min="11002" max="11002" width="3.5703125" style="134" customWidth="1"/>
    <col min="11003" max="11003" width="57" style="134" customWidth="1"/>
    <col min="11004" max="11004" width="0" style="134" hidden="1" customWidth="1"/>
    <col min="11005" max="11005" width="12" style="134" customWidth="1"/>
    <col min="11006" max="11006" width="19.140625" style="134" customWidth="1"/>
    <col min="11007" max="11007" width="16.7109375" style="134" customWidth="1"/>
    <col min="11008" max="11008" width="1.42578125" style="134" customWidth="1"/>
    <col min="11009" max="11009" width="6" style="134" customWidth="1"/>
    <col min="11010" max="11010" width="39.28515625" style="134" customWidth="1"/>
    <col min="11011" max="11011" width="13" style="134" customWidth="1"/>
    <col min="11012" max="11012" width="9.5703125" style="134" customWidth="1"/>
    <col min="11013" max="11013" width="9.140625" style="134"/>
    <col min="11014" max="11014" width="17.5703125" style="134" customWidth="1"/>
    <col min="11015" max="11015" width="6.7109375" style="134" customWidth="1"/>
    <col min="11016" max="11016" width="10.5703125" style="134" customWidth="1"/>
    <col min="11017" max="11256" width="9.140625" style="134"/>
    <col min="11257" max="11257" width="4.42578125" style="134" customWidth="1"/>
    <col min="11258" max="11258" width="3.5703125" style="134" customWidth="1"/>
    <col min="11259" max="11259" width="57" style="134" customWidth="1"/>
    <col min="11260" max="11260" width="0" style="134" hidden="1" customWidth="1"/>
    <col min="11261" max="11261" width="12" style="134" customWidth="1"/>
    <col min="11262" max="11262" width="19.140625" style="134" customWidth="1"/>
    <col min="11263" max="11263" width="16.7109375" style="134" customWidth="1"/>
    <col min="11264" max="11264" width="1.42578125" style="134" customWidth="1"/>
    <col min="11265" max="11265" width="6" style="134" customWidth="1"/>
    <col min="11266" max="11266" width="39.28515625" style="134" customWidth="1"/>
    <col min="11267" max="11267" width="13" style="134" customWidth="1"/>
    <col min="11268" max="11268" width="9.5703125" style="134" customWidth="1"/>
    <col min="11269" max="11269" width="9.140625" style="134"/>
    <col min="11270" max="11270" width="17.5703125" style="134" customWidth="1"/>
    <col min="11271" max="11271" width="6.7109375" style="134" customWidth="1"/>
    <col min="11272" max="11272" width="10.5703125" style="134" customWidth="1"/>
    <col min="11273" max="11512" width="9.140625" style="134"/>
    <col min="11513" max="11513" width="4.42578125" style="134" customWidth="1"/>
    <col min="11514" max="11514" width="3.5703125" style="134" customWidth="1"/>
    <col min="11515" max="11515" width="57" style="134" customWidth="1"/>
    <col min="11516" max="11516" width="0" style="134" hidden="1" customWidth="1"/>
    <col min="11517" max="11517" width="12" style="134" customWidth="1"/>
    <col min="11518" max="11518" width="19.140625" style="134" customWidth="1"/>
    <col min="11519" max="11519" width="16.7109375" style="134" customWidth="1"/>
    <col min="11520" max="11520" width="1.42578125" style="134" customWidth="1"/>
    <col min="11521" max="11521" width="6" style="134" customWidth="1"/>
    <col min="11522" max="11522" width="39.28515625" style="134" customWidth="1"/>
    <col min="11523" max="11523" width="13" style="134" customWidth="1"/>
    <col min="11524" max="11524" width="9.5703125" style="134" customWidth="1"/>
    <col min="11525" max="11525" width="9.140625" style="134"/>
    <col min="11526" max="11526" width="17.5703125" style="134" customWidth="1"/>
    <col min="11527" max="11527" width="6.7109375" style="134" customWidth="1"/>
    <col min="11528" max="11528" width="10.5703125" style="134" customWidth="1"/>
    <col min="11529" max="11768" width="9.140625" style="134"/>
    <col min="11769" max="11769" width="4.42578125" style="134" customWidth="1"/>
    <col min="11770" max="11770" width="3.5703125" style="134" customWidth="1"/>
    <col min="11771" max="11771" width="57" style="134" customWidth="1"/>
    <col min="11772" max="11772" width="0" style="134" hidden="1" customWidth="1"/>
    <col min="11773" max="11773" width="12" style="134" customWidth="1"/>
    <col min="11774" max="11774" width="19.140625" style="134" customWidth="1"/>
    <col min="11775" max="11775" width="16.7109375" style="134" customWidth="1"/>
    <col min="11776" max="11776" width="1.42578125" style="134" customWidth="1"/>
    <col min="11777" max="11777" width="6" style="134" customWidth="1"/>
    <col min="11778" max="11778" width="39.28515625" style="134" customWidth="1"/>
    <col min="11779" max="11779" width="13" style="134" customWidth="1"/>
    <col min="11780" max="11780" width="9.5703125" style="134" customWidth="1"/>
    <col min="11781" max="11781" width="9.140625" style="134"/>
    <col min="11782" max="11782" width="17.5703125" style="134" customWidth="1"/>
    <col min="11783" max="11783" width="6.7109375" style="134" customWidth="1"/>
    <col min="11784" max="11784" width="10.5703125" style="134" customWidth="1"/>
    <col min="11785" max="12024" width="9.140625" style="134"/>
    <col min="12025" max="12025" width="4.42578125" style="134" customWidth="1"/>
    <col min="12026" max="12026" width="3.5703125" style="134" customWidth="1"/>
    <col min="12027" max="12027" width="57" style="134" customWidth="1"/>
    <col min="12028" max="12028" width="0" style="134" hidden="1" customWidth="1"/>
    <col min="12029" max="12029" width="12" style="134" customWidth="1"/>
    <col min="12030" max="12030" width="19.140625" style="134" customWidth="1"/>
    <col min="12031" max="12031" width="16.7109375" style="134" customWidth="1"/>
    <col min="12032" max="12032" width="1.42578125" style="134" customWidth="1"/>
    <col min="12033" max="12033" width="6" style="134" customWidth="1"/>
    <col min="12034" max="12034" width="39.28515625" style="134" customWidth="1"/>
    <col min="12035" max="12035" width="13" style="134" customWidth="1"/>
    <col min="12036" max="12036" width="9.5703125" style="134" customWidth="1"/>
    <col min="12037" max="12037" width="9.140625" style="134"/>
    <col min="12038" max="12038" width="17.5703125" style="134" customWidth="1"/>
    <col min="12039" max="12039" width="6.7109375" style="134" customWidth="1"/>
    <col min="12040" max="12040" width="10.5703125" style="134" customWidth="1"/>
    <col min="12041" max="12280" width="9.140625" style="134"/>
    <col min="12281" max="12281" width="4.42578125" style="134" customWidth="1"/>
    <col min="12282" max="12282" width="3.5703125" style="134" customWidth="1"/>
    <col min="12283" max="12283" width="57" style="134" customWidth="1"/>
    <col min="12284" max="12284" width="0" style="134" hidden="1" customWidth="1"/>
    <col min="12285" max="12285" width="12" style="134" customWidth="1"/>
    <col min="12286" max="12286" width="19.140625" style="134" customWidth="1"/>
    <col min="12287" max="12287" width="16.7109375" style="134" customWidth="1"/>
    <col min="12288" max="12288" width="1.42578125" style="134" customWidth="1"/>
    <col min="12289" max="12289" width="6" style="134" customWidth="1"/>
    <col min="12290" max="12290" width="39.28515625" style="134" customWidth="1"/>
    <col min="12291" max="12291" width="13" style="134" customWidth="1"/>
    <col min="12292" max="12292" width="9.5703125" style="134" customWidth="1"/>
    <col min="12293" max="12293" width="9.140625" style="134"/>
    <col min="12294" max="12294" width="17.5703125" style="134" customWidth="1"/>
    <col min="12295" max="12295" width="6.7109375" style="134" customWidth="1"/>
    <col min="12296" max="12296" width="10.5703125" style="134" customWidth="1"/>
    <col min="12297" max="12536" width="9.140625" style="134"/>
    <col min="12537" max="12537" width="4.42578125" style="134" customWidth="1"/>
    <col min="12538" max="12538" width="3.5703125" style="134" customWidth="1"/>
    <col min="12539" max="12539" width="57" style="134" customWidth="1"/>
    <col min="12540" max="12540" width="0" style="134" hidden="1" customWidth="1"/>
    <col min="12541" max="12541" width="12" style="134" customWidth="1"/>
    <col min="12542" max="12542" width="19.140625" style="134" customWidth="1"/>
    <col min="12543" max="12543" width="16.7109375" style="134" customWidth="1"/>
    <col min="12544" max="12544" width="1.42578125" style="134" customWidth="1"/>
    <col min="12545" max="12545" width="6" style="134" customWidth="1"/>
    <col min="12546" max="12546" width="39.28515625" style="134" customWidth="1"/>
    <col min="12547" max="12547" width="13" style="134" customWidth="1"/>
    <col min="12548" max="12548" width="9.5703125" style="134" customWidth="1"/>
    <col min="12549" max="12549" width="9.140625" style="134"/>
    <col min="12550" max="12550" width="17.5703125" style="134" customWidth="1"/>
    <col min="12551" max="12551" width="6.7109375" style="134" customWidth="1"/>
    <col min="12552" max="12552" width="10.5703125" style="134" customWidth="1"/>
    <col min="12553" max="12792" width="9.140625" style="134"/>
    <col min="12793" max="12793" width="4.42578125" style="134" customWidth="1"/>
    <col min="12794" max="12794" width="3.5703125" style="134" customWidth="1"/>
    <col min="12795" max="12795" width="57" style="134" customWidth="1"/>
    <col min="12796" max="12796" width="0" style="134" hidden="1" customWidth="1"/>
    <col min="12797" max="12797" width="12" style="134" customWidth="1"/>
    <col min="12798" max="12798" width="19.140625" style="134" customWidth="1"/>
    <col min="12799" max="12799" width="16.7109375" style="134" customWidth="1"/>
    <col min="12800" max="12800" width="1.42578125" style="134" customWidth="1"/>
    <col min="12801" max="12801" width="6" style="134" customWidth="1"/>
    <col min="12802" max="12802" width="39.28515625" style="134" customWidth="1"/>
    <col min="12803" max="12803" width="13" style="134" customWidth="1"/>
    <col min="12804" max="12804" width="9.5703125" style="134" customWidth="1"/>
    <col min="12805" max="12805" width="9.140625" style="134"/>
    <col min="12806" max="12806" width="17.5703125" style="134" customWidth="1"/>
    <col min="12807" max="12807" width="6.7109375" style="134" customWidth="1"/>
    <col min="12808" max="12808" width="10.5703125" style="134" customWidth="1"/>
    <col min="12809" max="13048" width="9.140625" style="134"/>
    <col min="13049" max="13049" width="4.42578125" style="134" customWidth="1"/>
    <col min="13050" max="13050" width="3.5703125" style="134" customWidth="1"/>
    <col min="13051" max="13051" width="57" style="134" customWidth="1"/>
    <col min="13052" max="13052" width="0" style="134" hidden="1" customWidth="1"/>
    <col min="13053" max="13053" width="12" style="134" customWidth="1"/>
    <col min="13054" max="13054" width="19.140625" style="134" customWidth="1"/>
    <col min="13055" max="13055" width="16.7109375" style="134" customWidth="1"/>
    <col min="13056" max="13056" width="1.42578125" style="134" customWidth="1"/>
    <col min="13057" max="13057" width="6" style="134" customWidth="1"/>
    <col min="13058" max="13058" width="39.28515625" style="134" customWidth="1"/>
    <col min="13059" max="13059" width="13" style="134" customWidth="1"/>
    <col min="13060" max="13060" width="9.5703125" style="134" customWidth="1"/>
    <col min="13061" max="13061" width="9.140625" style="134"/>
    <col min="13062" max="13062" width="17.5703125" style="134" customWidth="1"/>
    <col min="13063" max="13063" width="6.7109375" style="134" customWidth="1"/>
    <col min="13064" max="13064" width="10.5703125" style="134" customWidth="1"/>
    <col min="13065" max="13304" width="9.140625" style="134"/>
    <col min="13305" max="13305" width="4.42578125" style="134" customWidth="1"/>
    <col min="13306" max="13306" width="3.5703125" style="134" customWidth="1"/>
    <col min="13307" max="13307" width="57" style="134" customWidth="1"/>
    <col min="13308" max="13308" width="0" style="134" hidden="1" customWidth="1"/>
    <col min="13309" max="13309" width="12" style="134" customWidth="1"/>
    <col min="13310" max="13310" width="19.140625" style="134" customWidth="1"/>
    <col min="13311" max="13311" width="16.7109375" style="134" customWidth="1"/>
    <col min="13312" max="13312" width="1.42578125" style="134" customWidth="1"/>
    <col min="13313" max="13313" width="6" style="134" customWidth="1"/>
    <col min="13314" max="13314" width="39.28515625" style="134" customWidth="1"/>
    <col min="13315" max="13315" width="13" style="134" customWidth="1"/>
    <col min="13316" max="13316" width="9.5703125" style="134" customWidth="1"/>
    <col min="13317" max="13317" width="9.140625" style="134"/>
    <col min="13318" max="13318" width="17.5703125" style="134" customWidth="1"/>
    <col min="13319" max="13319" width="6.7109375" style="134" customWidth="1"/>
    <col min="13320" max="13320" width="10.5703125" style="134" customWidth="1"/>
    <col min="13321" max="13560" width="9.140625" style="134"/>
    <col min="13561" max="13561" width="4.42578125" style="134" customWidth="1"/>
    <col min="13562" max="13562" width="3.5703125" style="134" customWidth="1"/>
    <col min="13563" max="13563" width="57" style="134" customWidth="1"/>
    <col min="13564" max="13564" width="0" style="134" hidden="1" customWidth="1"/>
    <col min="13565" max="13565" width="12" style="134" customWidth="1"/>
    <col min="13566" max="13566" width="19.140625" style="134" customWidth="1"/>
    <col min="13567" max="13567" width="16.7109375" style="134" customWidth="1"/>
    <col min="13568" max="13568" width="1.42578125" style="134" customWidth="1"/>
    <col min="13569" max="13569" width="6" style="134" customWidth="1"/>
    <col min="13570" max="13570" width="39.28515625" style="134" customWidth="1"/>
    <col min="13571" max="13571" width="13" style="134" customWidth="1"/>
    <col min="13572" max="13572" width="9.5703125" style="134" customWidth="1"/>
    <col min="13573" max="13573" width="9.140625" style="134"/>
    <col min="13574" max="13574" width="17.5703125" style="134" customWidth="1"/>
    <col min="13575" max="13575" width="6.7109375" style="134" customWidth="1"/>
    <col min="13576" max="13576" width="10.5703125" style="134" customWidth="1"/>
    <col min="13577" max="13816" width="9.140625" style="134"/>
    <col min="13817" max="13817" width="4.42578125" style="134" customWidth="1"/>
    <col min="13818" max="13818" width="3.5703125" style="134" customWidth="1"/>
    <col min="13819" max="13819" width="57" style="134" customWidth="1"/>
    <col min="13820" max="13820" width="0" style="134" hidden="1" customWidth="1"/>
    <col min="13821" max="13821" width="12" style="134" customWidth="1"/>
    <col min="13822" max="13822" width="19.140625" style="134" customWidth="1"/>
    <col min="13823" max="13823" width="16.7109375" style="134" customWidth="1"/>
    <col min="13824" max="13824" width="1.42578125" style="134" customWidth="1"/>
    <col min="13825" max="13825" width="6" style="134" customWidth="1"/>
    <col min="13826" max="13826" width="39.28515625" style="134" customWidth="1"/>
    <col min="13827" max="13827" width="13" style="134" customWidth="1"/>
    <col min="13828" max="13828" width="9.5703125" style="134" customWidth="1"/>
    <col min="13829" max="13829" width="9.140625" style="134"/>
    <col min="13830" max="13830" width="17.5703125" style="134" customWidth="1"/>
    <col min="13831" max="13831" width="6.7109375" style="134" customWidth="1"/>
    <col min="13832" max="13832" width="10.5703125" style="134" customWidth="1"/>
    <col min="13833" max="14072" width="9.140625" style="134"/>
    <col min="14073" max="14073" width="4.42578125" style="134" customWidth="1"/>
    <col min="14074" max="14074" width="3.5703125" style="134" customWidth="1"/>
    <col min="14075" max="14075" width="57" style="134" customWidth="1"/>
    <col min="14076" max="14076" width="0" style="134" hidden="1" customWidth="1"/>
    <col min="14077" max="14077" width="12" style="134" customWidth="1"/>
    <col min="14078" max="14078" width="19.140625" style="134" customWidth="1"/>
    <col min="14079" max="14079" width="16.7109375" style="134" customWidth="1"/>
    <col min="14080" max="14080" width="1.42578125" style="134" customWidth="1"/>
    <col min="14081" max="14081" width="6" style="134" customWidth="1"/>
    <col min="14082" max="14082" width="39.28515625" style="134" customWidth="1"/>
    <col min="14083" max="14083" width="13" style="134" customWidth="1"/>
    <col min="14084" max="14084" width="9.5703125" style="134" customWidth="1"/>
    <col min="14085" max="14085" width="9.140625" style="134"/>
    <col min="14086" max="14086" width="17.5703125" style="134" customWidth="1"/>
    <col min="14087" max="14087" width="6.7109375" style="134" customWidth="1"/>
    <col min="14088" max="14088" width="10.5703125" style="134" customWidth="1"/>
    <col min="14089" max="14328" width="9.140625" style="134"/>
    <col min="14329" max="14329" width="4.42578125" style="134" customWidth="1"/>
    <col min="14330" max="14330" width="3.5703125" style="134" customWidth="1"/>
    <col min="14331" max="14331" width="57" style="134" customWidth="1"/>
    <col min="14332" max="14332" width="0" style="134" hidden="1" customWidth="1"/>
    <col min="14333" max="14333" width="12" style="134" customWidth="1"/>
    <col min="14334" max="14334" width="19.140625" style="134" customWidth="1"/>
    <col min="14335" max="14335" width="16.7109375" style="134" customWidth="1"/>
    <col min="14336" max="14336" width="1.42578125" style="134" customWidth="1"/>
    <col min="14337" max="14337" width="6" style="134" customWidth="1"/>
    <col min="14338" max="14338" width="39.28515625" style="134" customWidth="1"/>
    <col min="14339" max="14339" width="13" style="134" customWidth="1"/>
    <col min="14340" max="14340" width="9.5703125" style="134" customWidth="1"/>
    <col min="14341" max="14341" width="9.140625" style="134"/>
    <col min="14342" max="14342" width="17.5703125" style="134" customWidth="1"/>
    <col min="14343" max="14343" width="6.7109375" style="134" customWidth="1"/>
    <col min="14344" max="14344" width="10.5703125" style="134" customWidth="1"/>
    <col min="14345" max="14584" width="9.140625" style="134"/>
    <col min="14585" max="14585" width="4.42578125" style="134" customWidth="1"/>
    <col min="14586" max="14586" width="3.5703125" style="134" customWidth="1"/>
    <col min="14587" max="14587" width="57" style="134" customWidth="1"/>
    <col min="14588" max="14588" width="0" style="134" hidden="1" customWidth="1"/>
    <col min="14589" max="14589" width="12" style="134" customWidth="1"/>
    <col min="14590" max="14590" width="19.140625" style="134" customWidth="1"/>
    <col min="14591" max="14591" width="16.7109375" style="134" customWidth="1"/>
    <col min="14592" max="14592" width="1.42578125" style="134" customWidth="1"/>
    <col min="14593" max="14593" width="6" style="134" customWidth="1"/>
    <col min="14594" max="14594" width="39.28515625" style="134" customWidth="1"/>
    <col min="14595" max="14595" width="13" style="134" customWidth="1"/>
    <col min="14596" max="14596" width="9.5703125" style="134" customWidth="1"/>
    <col min="14597" max="14597" width="9.140625" style="134"/>
    <col min="14598" max="14598" width="17.5703125" style="134" customWidth="1"/>
    <col min="14599" max="14599" width="6.7109375" style="134" customWidth="1"/>
    <col min="14600" max="14600" width="10.5703125" style="134" customWidth="1"/>
    <col min="14601" max="14840" width="9.140625" style="134"/>
    <col min="14841" max="14841" width="4.42578125" style="134" customWidth="1"/>
    <col min="14842" max="14842" width="3.5703125" style="134" customWidth="1"/>
    <col min="14843" max="14843" width="57" style="134" customWidth="1"/>
    <col min="14844" max="14844" width="0" style="134" hidden="1" customWidth="1"/>
    <col min="14845" max="14845" width="12" style="134" customWidth="1"/>
    <col min="14846" max="14846" width="19.140625" style="134" customWidth="1"/>
    <col min="14847" max="14847" width="16.7109375" style="134" customWidth="1"/>
    <col min="14848" max="14848" width="1.42578125" style="134" customWidth="1"/>
    <col min="14849" max="14849" width="6" style="134" customWidth="1"/>
    <col min="14850" max="14850" width="39.28515625" style="134" customWidth="1"/>
    <col min="14851" max="14851" width="13" style="134" customWidth="1"/>
    <col min="14852" max="14852" width="9.5703125" style="134" customWidth="1"/>
    <col min="14853" max="14853" width="9.140625" style="134"/>
    <col min="14854" max="14854" width="17.5703125" style="134" customWidth="1"/>
    <col min="14855" max="14855" width="6.7109375" style="134" customWidth="1"/>
    <col min="14856" max="14856" width="10.5703125" style="134" customWidth="1"/>
    <col min="14857" max="15096" width="9.140625" style="134"/>
    <col min="15097" max="15097" width="4.42578125" style="134" customWidth="1"/>
    <col min="15098" max="15098" width="3.5703125" style="134" customWidth="1"/>
    <col min="15099" max="15099" width="57" style="134" customWidth="1"/>
    <col min="15100" max="15100" width="0" style="134" hidden="1" customWidth="1"/>
    <col min="15101" max="15101" width="12" style="134" customWidth="1"/>
    <col min="15102" max="15102" width="19.140625" style="134" customWidth="1"/>
    <col min="15103" max="15103" width="16.7109375" style="134" customWidth="1"/>
    <col min="15104" max="15104" width="1.42578125" style="134" customWidth="1"/>
    <col min="15105" max="15105" width="6" style="134" customWidth="1"/>
    <col min="15106" max="15106" width="39.28515625" style="134" customWidth="1"/>
    <col min="15107" max="15107" width="13" style="134" customWidth="1"/>
    <col min="15108" max="15108" width="9.5703125" style="134" customWidth="1"/>
    <col min="15109" max="15109" width="9.140625" style="134"/>
    <col min="15110" max="15110" width="17.5703125" style="134" customWidth="1"/>
    <col min="15111" max="15111" width="6.7109375" style="134" customWidth="1"/>
    <col min="15112" max="15112" width="10.5703125" style="134" customWidth="1"/>
    <col min="15113" max="15352" width="9.140625" style="134"/>
    <col min="15353" max="15353" width="4.42578125" style="134" customWidth="1"/>
    <col min="15354" max="15354" width="3.5703125" style="134" customWidth="1"/>
    <col min="15355" max="15355" width="57" style="134" customWidth="1"/>
    <col min="15356" max="15356" width="0" style="134" hidden="1" customWidth="1"/>
    <col min="15357" max="15357" width="12" style="134" customWidth="1"/>
    <col min="15358" max="15358" width="19.140625" style="134" customWidth="1"/>
    <col min="15359" max="15359" width="16.7109375" style="134" customWidth="1"/>
    <col min="15360" max="15360" width="1.42578125" style="134" customWidth="1"/>
    <col min="15361" max="15361" width="6" style="134" customWidth="1"/>
    <col min="15362" max="15362" width="39.28515625" style="134" customWidth="1"/>
    <col min="15363" max="15363" width="13" style="134" customWidth="1"/>
    <col min="15364" max="15364" width="9.5703125" style="134" customWidth="1"/>
    <col min="15365" max="15365" width="9.140625" style="134"/>
    <col min="15366" max="15366" width="17.5703125" style="134" customWidth="1"/>
    <col min="15367" max="15367" width="6.7109375" style="134" customWidth="1"/>
    <col min="15368" max="15368" width="10.5703125" style="134" customWidth="1"/>
    <col min="15369" max="15608" width="9.140625" style="134"/>
    <col min="15609" max="15609" width="4.42578125" style="134" customWidth="1"/>
    <col min="15610" max="15610" width="3.5703125" style="134" customWidth="1"/>
    <col min="15611" max="15611" width="57" style="134" customWidth="1"/>
    <col min="15612" max="15612" width="0" style="134" hidden="1" customWidth="1"/>
    <col min="15613" max="15613" width="12" style="134" customWidth="1"/>
    <col min="15614" max="15614" width="19.140625" style="134" customWidth="1"/>
    <col min="15615" max="15615" width="16.7109375" style="134" customWidth="1"/>
    <col min="15616" max="15616" width="1.42578125" style="134" customWidth="1"/>
    <col min="15617" max="15617" width="6" style="134" customWidth="1"/>
    <col min="15618" max="15618" width="39.28515625" style="134" customWidth="1"/>
    <col min="15619" max="15619" width="13" style="134" customWidth="1"/>
    <col min="15620" max="15620" width="9.5703125" style="134" customWidth="1"/>
    <col min="15621" max="15621" width="9.140625" style="134"/>
    <col min="15622" max="15622" width="17.5703125" style="134" customWidth="1"/>
    <col min="15623" max="15623" width="6.7109375" style="134" customWidth="1"/>
    <col min="15624" max="15624" width="10.5703125" style="134" customWidth="1"/>
    <col min="15625" max="15864" width="9.140625" style="134"/>
    <col min="15865" max="15865" width="4.42578125" style="134" customWidth="1"/>
    <col min="15866" max="15866" width="3.5703125" style="134" customWidth="1"/>
    <col min="15867" max="15867" width="57" style="134" customWidth="1"/>
    <col min="15868" max="15868" width="0" style="134" hidden="1" customWidth="1"/>
    <col min="15869" max="15869" width="12" style="134" customWidth="1"/>
    <col min="15870" max="15870" width="19.140625" style="134" customWidth="1"/>
    <col min="15871" max="15871" width="16.7109375" style="134" customWidth="1"/>
    <col min="15872" max="15872" width="1.42578125" style="134" customWidth="1"/>
    <col min="15873" max="15873" width="6" style="134" customWidth="1"/>
    <col min="15874" max="15874" width="39.28515625" style="134" customWidth="1"/>
    <col min="15875" max="15875" width="13" style="134" customWidth="1"/>
    <col min="15876" max="15876" width="9.5703125" style="134" customWidth="1"/>
    <col min="15877" max="15877" width="9.140625" style="134"/>
    <col min="15878" max="15878" width="17.5703125" style="134" customWidth="1"/>
    <col min="15879" max="15879" width="6.7109375" style="134" customWidth="1"/>
    <col min="15880" max="15880" width="10.5703125" style="134" customWidth="1"/>
    <col min="15881" max="16120" width="9.140625" style="134"/>
    <col min="16121" max="16121" width="4.42578125" style="134" customWidth="1"/>
    <col min="16122" max="16122" width="3.5703125" style="134" customWidth="1"/>
    <col min="16123" max="16123" width="57" style="134" customWidth="1"/>
    <col min="16124" max="16124" width="0" style="134" hidden="1" customWidth="1"/>
    <col min="16125" max="16125" width="12" style="134" customWidth="1"/>
    <col min="16126" max="16126" width="19.140625" style="134" customWidth="1"/>
    <col min="16127" max="16127" width="16.7109375" style="134" customWidth="1"/>
    <col min="16128" max="16128" width="1.42578125" style="134" customWidth="1"/>
    <col min="16129" max="16129" width="6" style="134" customWidth="1"/>
    <col min="16130" max="16130" width="39.28515625" style="134" customWidth="1"/>
    <col min="16131" max="16131" width="13" style="134" customWidth="1"/>
    <col min="16132" max="16132" width="9.5703125" style="134" customWidth="1"/>
    <col min="16133" max="16133" width="9.140625" style="134"/>
    <col min="16134" max="16134" width="17.5703125" style="134" customWidth="1"/>
    <col min="16135" max="16135" width="6.7109375" style="134" customWidth="1"/>
    <col min="16136" max="16136" width="10.5703125" style="134" customWidth="1"/>
    <col min="16137" max="16384" width="9.140625" style="134"/>
  </cols>
  <sheetData>
    <row r="1" spans="1:10">
      <c r="A1" s="1188" t="s">
        <v>367</v>
      </c>
      <c r="B1" s="1188"/>
      <c r="C1" s="1188"/>
      <c r="D1" s="1188"/>
      <c r="E1" s="1188"/>
      <c r="F1" s="1188"/>
      <c r="G1" s="1188"/>
    </row>
    <row r="2" spans="1:10">
      <c r="A2" s="135" t="s">
        <v>286</v>
      </c>
      <c r="B2" s="136"/>
      <c r="C2" s="136"/>
      <c r="D2" s="136"/>
      <c r="E2" s="136"/>
      <c r="F2" s="136"/>
      <c r="G2" s="136"/>
    </row>
    <row r="3" spans="1:10">
      <c r="A3" s="136"/>
      <c r="B3" s="136"/>
      <c r="C3" s="136"/>
      <c r="D3" s="136"/>
      <c r="E3" s="136"/>
      <c r="F3" s="136"/>
      <c r="G3" s="136"/>
    </row>
    <row r="4" spans="1:10" ht="14.45" customHeight="1">
      <c r="A4" s="138"/>
      <c r="B4" s="1183" t="s">
        <v>368</v>
      </c>
      <c r="C4" s="1183"/>
      <c r="D4" s="1183"/>
      <c r="E4" s="1183"/>
      <c r="F4" s="1183"/>
      <c r="G4" s="1183"/>
      <c r="H4" s="1183"/>
    </row>
    <row r="5" spans="1:10" ht="15">
      <c r="A5" s="138"/>
      <c r="B5" s="1183"/>
      <c r="C5" s="1183"/>
      <c r="D5" s="1183"/>
      <c r="E5" s="1183"/>
      <c r="F5" s="1183"/>
      <c r="G5" s="1183"/>
      <c r="H5" s="1183"/>
    </row>
    <row r="6" spans="1:10" ht="15">
      <c r="A6" s="138"/>
      <c r="B6" s="138"/>
      <c r="C6" s="138"/>
      <c r="D6" s="138"/>
      <c r="E6" s="138"/>
      <c r="F6" s="138"/>
      <c r="G6" s="138"/>
      <c r="H6" s="138"/>
      <c r="I6" s="146">
        <v>174</v>
      </c>
      <c r="J6" s="338">
        <f>I6*12</f>
        <v>2088</v>
      </c>
    </row>
    <row r="7" spans="1:10" ht="14.25">
      <c r="A7" s="139"/>
      <c r="B7" s="140" t="s">
        <v>306</v>
      </c>
      <c r="C7" s="139"/>
      <c r="D7" s="139"/>
      <c r="E7" s="139"/>
      <c r="F7" s="139"/>
      <c r="G7" s="139"/>
      <c r="H7" s="139"/>
      <c r="I7" s="141"/>
      <c r="J7" s="141"/>
    </row>
    <row r="8" spans="1:10" ht="34.5" customHeight="1">
      <c r="A8" s="142" t="s">
        <v>211</v>
      </c>
      <c r="B8" s="1180" t="s">
        <v>307</v>
      </c>
      <c r="C8" s="1181"/>
      <c r="D8" s="143"/>
      <c r="E8" s="1189" t="s">
        <v>81</v>
      </c>
      <c r="F8" s="1181"/>
      <c r="G8" s="1163" t="s">
        <v>82</v>
      </c>
      <c r="H8" s="1163"/>
    </row>
    <row r="9" spans="1:10" ht="13.15" customHeight="1">
      <c r="A9" s="144">
        <v>1</v>
      </c>
      <c r="B9" s="1154" t="s">
        <v>313</v>
      </c>
      <c r="C9" s="1154"/>
      <c r="D9" s="711">
        <f>ЗВЕДЕНИЙ!V76</f>
        <v>132830.97775240001</v>
      </c>
      <c r="E9" s="416"/>
      <c r="F9" s="415">
        <f>ROUND(D9/2088,2)</f>
        <v>63.62</v>
      </c>
      <c r="G9" s="1153" t="s">
        <v>940</v>
      </c>
      <c r="H9" s="1153"/>
      <c r="I9" s="720">
        <f>D9-136667.57</f>
        <v>-3836.5922475999978</v>
      </c>
    </row>
    <row r="10" spans="1:10" ht="12.6" customHeight="1">
      <c r="A10" s="144">
        <v>2</v>
      </c>
      <c r="B10" s="1154" t="s">
        <v>314</v>
      </c>
      <c r="C10" s="1154"/>
      <c r="D10" s="414">
        <v>0.22</v>
      </c>
      <c r="E10" s="416"/>
      <c r="F10" s="420">
        <f>ROUND(F9*22%,2)</f>
        <v>14</v>
      </c>
      <c r="G10" s="1153" t="s">
        <v>941</v>
      </c>
      <c r="H10" s="1153"/>
    </row>
    <row r="11" spans="1:10" ht="12.6" customHeight="1">
      <c r="A11" s="144"/>
      <c r="B11" s="1178" t="s">
        <v>648</v>
      </c>
      <c r="C11" s="1179"/>
      <c r="D11" s="145"/>
      <c r="E11" s="416"/>
      <c r="F11" s="421">
        <f>ROUND(SUM(E9:F10),2)</f>
        <v>77.62</v>
      </c>
      <c r="G11" s="1190" t="s">
        <v>942</v>
      </c>
      <c r="H11" s="1152"/>
    </row>
    <row r="12" spans="1:10" ht="13.9" customHeight="1">
      <c r="A12" s="144">
        <v>3</v>
      </c>
      <c r="B12" s="1154" t="s">
        <v>56</v>
      </c>
      <c r="C12" s="1154"/>
      <c r="D12" s="149">
        <v>0.15</v>
      </c>
      <c r="E12" s="430"/>
      <c r="F12" s="420">
        <f>ROUND((F9+F10)*D12,2)</f>
        <v>11.64</v>
      </c>
      <c r="G12" s="1152" t="s">
        <v>1006</v>
      </c>
      <c r="H12" s="1153"/>
    </row>
    <row r="13" spans="1:10" ht="15">
      <c r="A13" s="147"/>
      <c r="B13" s="1148" t="s">
        <v>309</v>
      </c>
      <c r="C13" s="1149"/>
      <c r="D13" s="148"/>
      <c r="E13" s="1155">
        <f>ROUND(F9+F12+F10,2)</f>
        <v>89.26</v>
      </c>
      <c r="F13" s="1156"/>
      <c r="G13" s="1159"/>
      <c r="H13" s="1159"/>
      <c r="I13" s="141"/>
      <c r="J13" s="141"/>
    </row>
    <row r="14" spans="1:10" ht="15">
      <c r="A14" s="138"/>
      <c r="B14" s="428"/>
      <c r="C14" s="428"/>
      <c r="D14" s="139"/>
      <c r="E14" s="492"/>
      <c r="F14" s="492"/>
      <c r="G14" s="159"/>
      <c r="H14" s="159"/>
      <c r="I14" s="141"/>
      <c r="J14" s="141"/>
    </row>
    <row r="15" spans="1:10" ht="52.5">
      <c r="A15" s="142" t="s">
        <v>211</v>
      </c>
      <c r="B15" s="154" t="s">
        <v>318</v>
      </c>
      <c r="C15" s="154" t="s">
        <v>319</v>
      </c>
      <c r="D15" s="154" t="s">
        <v>320</v>
      </c>
      <c r="E15" s="154" t="s">
        <v>369</v>
      </c>
      <c r="F15" s="154" t="s">
        <v>322</v>
      </c>
      <c r="G15" s="1161" t="s">
        <v>82</v>
      </c>
      <c r="H15" s="1161"/>
      <c r="I15" s="141"/>
      <c r="J15" s="141"/>
    </row>
    <row r="16" spans="1:10" ht="15">
      <c r="A16" s="144">
        <v>1</v>
      </c>
      <c r="B16" s="155" t="s">
        <v>745</v>
      </c>
      <c r="C16" s="144">
        <v>12</v>
      </c>
      <c r="D16" s="144">
        <v>1</v>
      </c>
      <c r="E16" s="157"/>
      <c r="F16" s="163"/>
      <c r="G16" s="1150"/>
      <c r="H16" s="1151"/>
      <c r="I16" s="799">
        <v>2015</v>
      </c>
      <c r="J16" s="141"/>
    </row>
    <row r="17" spans="1:10" ht="15">
      <c r="A17" s="144"/>
      <c r="B17" s="155" t="str">
        <f>B16</f>
        <v>Ножниці для стрижки  філіровочні</v>
      </c>
      <c r="C17" s="144">
        <f>C16</f>
        <v>12</v>
      </c>
      <c r="D17" s="144">
        <f>D16</f>
        <v>1</v>
      </c>
      <c r="E17" s="317"/>
      <c r="F17" s="317"/>
      <c r="G17" s="1150"/>
      <c r="H17" s="1151"/>
      <c r="I17" s="799">
        <v>2015</v>
      </c>
      <c r="J17" s="141"/>
    </row>
    <row r="18" spans="1:10" ht="14.45" customHeight="1">
      <c r="A18" s="144"/>
      <c r="B18" s="535" t="s">
        <v>758</v>
      </c>
      <c r="C18" s="144"/>
      <c r="D18" s="144"/>
      <c r="E18" s="158">
        <f>(E16+E17)/2</f>
        <v>0</v>
      </c>
      <c r="F18" s="158"/>
      <c r="G18" s="1150"/>
      <c r="H18" s="1151"/>
      <c r="I18" s="141"/>
      <c r="J18" s="141"/>
    </row>
    <row r="19" spans="1:10" ht="15">
      <c r="A19" s="144">
        <v>2</v>
      </c>
      <c r="B19" s="155" t="s">
        <v>625</v>
      </c>
      <c r="C19" s="144">
        <v>12</v>
      </c>
      <c r="D19" s="144">
        <v>1</v>
      </c>
      <c r="E19" s="156">
        <v>312</v>
      </c>
      <c r="F19" s="163">
        <f>ROUND(E19/12/I6,2)</f>
        <v>0.15</v>
      </c>
      <c r="G19" s="1150" t="s">
        <v>1023</v>
      </c>
      <c r="H19" s="1151"/>
      <c r="I19" s="799">
        <v>2023</v>
      </c>
      <c r="J19" s="141"/>
    </row>
    <row r="20" spans="1:10" ht="15">
      <c r="A20" s="144"/>
      <c r="B20" s="147" t="str">
        <f>B19</f>
        <v>Ножиці прямі</v>
      </c>
      <c r="C20" s="144">
        <f>C19</f>
        <v>12</v>
      </c>
      <c r="D20" s="144">
        <f>D19</f>
        <v>1</v>
      </c>
      <c r="E20" s="317"/>
      <c r="F20" s="317"/>
      <c r="G20" s="1150" t="s">
        <v>950</v>
      </c>
      <c r="H20" s="1151"/>
      <c r="I20" s="799">
        <v>2019</v>
      </c>
      <c r="J20" s="141"/>
    </row>
    <row r="21" spans="1:10" ht="15">
      <c r="A21" s="144"/>
      <c r="B21" s="535" t="s">
        <v>758</v>
      </c>
      <c r="C21" s="144"/>
      <c r="D21" s="144"/>
      <c r="E21" s="158">
        <f>(E19)</f>
        <v>312</v>
      </c>
      <c r="F21" s="158">
        <f>(F19+F20)</f>
        <v>0.15</v>
      </c>
      <c r="G21" s="532"/>
      <c r="H21" s="533"/>
      <c r="I21" s="141"/>
      <c r="J21" s="141"/>
    </row>
    <row r="22" spans="1:10" ht="15">
      <c r="A22" s="144"/>
      <c r="B22" s="155" t="s">
        <v>951</v>
      </c>
      <c r="C22" s="144">
        <v>12</v>
      </c>
      <c r="D22" s="144">
        <v>1</v>
      </c>
      <c r="E22" s="156">
        <v>402</v>
      </c>
      <c r="F22" s="317">
        <f t="shared" ref="F22" si="0">ROUND(E22/12/174,2)</f>
        <v>0.19</v>
      </c>
      <c r="G22" s="1150" t="s">
        <v>884</v>
      </c>
      <c r="H22" s="1151"/>
      <c r="I22" s="799">
        <v>2023</v>
      </c>
      <c r="J22" s="141"/>
    </row>
    <row r="23" spans="1:10" ht="15">
      <c r="A23" s="144"/>
      <c r="B23" s="800" t="s">
        <v>952</v>
      </c>
      <c r="C23" s="144">
        <v>12</v>
      </c>
      <c r="D23" s="144">
        <v>1</v>
      </c>
      <c r="E23" s="156"/>
      <c r="F23" s="317"/>
      <c r="G23" s="1150"/>
      <c r="H23" s="1151"/>
      <c r="I23" s="799">
        <v>2019</v>
      </c>
      <c r="J23" s="141"/>
    </row>
    <row r="24" spans="1:10" ht="15">
      <c r="A24" s="144"/>
      <c r="B24" s="155" t="str">
        <f t="shared" ref="B24:D25" si="1">B22</f>
        <v>Машинка для стрижки Moser</v>
      </c>
      <c r="C24" s="144">
        <f t="shared" si="1"/>
        <v>12</v>
      </c>
      <c r="D24" s="144">
        <f t="shared" si="1"/>
        <v>1</v>
      </c>
      <c r="E24" s="144"/>
      <c r="F24" s="317"/>
      <c r="G24" s="1150"/>
      <c r="H24" s="1151"/>
      <c r="I24" s="799">
        <v>2020</v>
      </c>
      <c r="J24" s="141"/>
    </row>
    <row r="25" spans="1:10" ht="15">
      <c r="A25" s="144"/>
      <c r="B25" s="155" t="s">
        <v>954</v>
      </c>
      <c r="C25" s="144">
        <f t="shared" si="1"/>
        <v>12</v>
      </c>
      <c r="D25" s="144">
        <f t="shared" si="1"/>
        <v>1</v>
      </c>
      <c r="E25" s="144"/>
      <c r="F25" s="317"/>
      <c r="G25" s="1150"/>
      <c r="H25" s="1151"/>
      <c r="I25" s="799">
        <v>2018</v>
      </c>
      <c r="J25" s="141"/>
    </row>
    <row r="26" spans="1:10" ht="15">
      <c r="A26" s="144"/>
      <c r="B26" s="155" t="s">
        <v>953</v>
      </c>
      <c r="C26" s="144">
        <v>12</v>
      </c>
      <c r="D26" s="144">
        <v>1</v>
      </c>
      <c r="E26" s="144">
        <v>720</v>
      </c>
      <c r="F26" s="317">
        <f>ROUND(E26/12/174,2)</f>
        <v>0.34</v>
      </c>
      <c r="G26" s="1150" t="s">
        <v>1024</v>
      </c>
      <c r="H26" s="1151"/>
      <c r="I26" s="799">
        <v>2024</v>
      </c>
      <c r="J26" s="141"/>
    </row>
    <row r="27" spans="1:10" ht="15">
      <c r="A27" s="144"/>
      <c r="B27" s="535" t="s">
        <v>758</v>
      </c>
      <c r="C27" s="155"/>
      <c r="D27" s="155"/>
      <c r="E27" s="491">
        <f>(E26+E22)/2</f>
        <v>561</v>
      </c>
      <c r="F27" s="491">
        <f>(F22+F23+F24+F25+F26)/2</f>
        <v>0.26500000000000001</v>
      </c>
      <c r="G27" s="532"/>
      <c r="H27" s="533"/>
      <c r="I27" s="141"/>
      <c r="J27" s="141"/>
    </row>
    <row r="28" spans="1:10" ht="15">
      <c r="A28" s="138"/>
      <c r="B28" s="428"/>
      <c r="C28" s="428"/>
      <c r="D28" s="139"/>
      <c r="E28" s="534"/>
      <c r="F28" s="534"/>
      <c r="G28" s="159"/>
      <c r="H28" s="159"/>
      <c r="I28" s="141"/>
      <c r="J28" s="141"/>
    </row>
    <row r="29" spans="1:10" ht="15">
      <c r="A29" s="138"/>
      <c r="B29" s="428"/>
      <c r="C29" s="428"/>
      <c r="D29" s="139"/>
      <c r="E29" s="534"/>
      <c r="F29" s="534"/>
      <c r="G29" s="159"/>
      <c r="H29" s="159"/>
      <c r="I29" s="141"/>
      <c r="J29" s="141"/>
    </row>
    <row r="30" spans="1:10" ht="18" customHeight="1">
      <c r="B30" s="150"/>
      <c r="C30" s="150"/>
      <c r="D30" s="151"/>
      <c r="E30" s="1160"/>
      <c r="F30" s="1160"/>
      <c r="G30" s="152"/>
      <c r="H30" s="152"/>
      <c r="I30" s="141"/>
      <c r="J30" s="141"/>
    </row>
    <row r="31" spans="1:10" ht="14.25">
      <c r="A31" s="139"/>
      <c r="B31" s="140" t="s">
        <v>317</v>
      </c>
      <c r="C31" s="139"/>
      <c r="D31" s="139"/>
      <c r="E31" s="139"/>
      <c r="F31" s="139"/>
      <c r="G31" s="139"/>
      <c r="H31" s="139"/>
      <c r="I31" s="153"/>
      <c r="J31" s="153"/>
    </row>
    <row r="32" spans="1:10" ht="64.5" customHeight="1">
      <c r="A32" s="142" t="s">
        <v>211</v>
      </c>
      <c r="B32" s="154" t="s">
        <v>318</v>
      </c>
      <c r="C32" s="154" t="s">
        <v>319</v>
      </c>
      <c r="D32" s="154" t="s">
        <v>320</v>
      </c>
      <c r="E32" s="154" t="s">
        <v>369</v>
      </c>
      <c r="F32" s="154" t="s">
        <v>322</v>
      </c>
      <c r="G32" s="1161" t="s">
        <v>82</v>
      </c>
      <c r="H32" s="1161"/>
      <c r="I32" s="153"/>
      <c r="J32" s="153"/>
    </row>
    <row r="33" spans="1:12" ht="15" customHeight="1">
      <c r="A33" s="144">
        <v>1</v>
      </c>
      <c r="B33" s="155" t="s">
        <v>760</v>
      </c>
      <c r="C33" s="144">
        <v>12</v>
      </c>
      <c r="D33" s="144">
        <v>2</v>
      </c>
      <c r="E33" s="163">
        <f>(E16+E17)/2</f>
        <v>0</v>
      </c>
      <c r="F33" s="163">
        <f>F18</f>
        <v>0</v>
      </c>
      <c r="G33" s="1157"/>
      <c r="H33" s="1158"/>
      <c r="I33" s="153"/>
      <c r="J33" s="153"/>
    </row>
    <row r="34" spans="1:12" ht="15.75" customHeight="1">
      <c r="A34" s="144">
        <v>2</v>
      </c>
      <c r="B34" s="155" t="s">
        <v>759</v>
      </c>
      <c r="C34" s="144">
        <v>12</v>
      </c>
      <c r="D34" s="144">
        <v>1</v>
      </c>
      <c r="E34" s="163">
        <f>E21</f>
        <v>312</v>
      </c>
      <c r="F34" s="163">
        <f>F21</f>
        <v>0.15</v>
      </c>
      <c r="G34" s="1157"/>
      <c r="H34" s="1158"/>
      <c r="I34" s="153"/>
      <c r="J34" s="153"/>
    </row>
    <row r="35" spans="1:12" ht="15.75" customHeight="1">
      <c r="A35" s="144">
        <v>3</v>
      </c>
      <c r="B35" s="155" t="s">
        <v>762</v>
      </c>
      <c r="C35" s="144">
        <v>12</v>
      </c>
      <c r="D35" s="144">
        <v>1</v>
      </c>
      <c r="E35" s="163">
        <v>343</v>
      </c>
      <c r="F35" s="163">
        <f>ROUND(E35/12/I6,2)</f>
        <v>0.16</v>
      </c>
      <c r="G35" s="1150" t="s">
        <v>885</v>
      </c>
      <c r="H35" s="1151"/>
      <c r="I35" s="153"/>
      <c r="J35" s="153"/>
    </row>
    <row r="36" spans="1:12" ht="15" customHeight="1">
      <c r="A36" s="144">
        <v>4</v>
      </c>
      <c r="B36" s="155" t="s">
        <v>761</v>
      </c>
      <c r="C36" s="144">
        <v>12</v>
      </c>
      <c r="D36" s="144">
        <v>1</v>
      </c>
      <c r="E36" s="163">
        <f>E27</f>
        <v>561</v>
      </c>
      <c r="F36" s="163">
        <f>F27</f>
        <v>0.26500000000000001</v>
      </c>
      <c r="G36" s="1150"/>
      <c r="H36" s="1151"/>
      <c r="I36" s="153">
        <v>0.27</v>
      </c>
      <c r="J36" s="153"/>
    </row>
    <row r="37" spans="1:12" ht="15" customHeight="1">
      <c r="A37" s="144">
        <v>5</v>
      </c>
      <c r="B37" s="155" t="s">
        <v>370</v>
      </c>
      <c r="C37" s="144">
        <v>12</v>
      </c>
      <c r="D37" s="144">
        <v>1</v>
      </c>
      <c r="E37" s="156">
        <v>700</v>
      </c>
      <c r="F37" s="163">
        <f>ROUND(E37/12/I6,2)</f>
        <v>0.34</v>
      </c>
      <c r="G37" s="1150" t="s">
        <v>886</v>
      </c>
      <c r="H37" s="1151"/>
      <c r="I37" s="153"/>
      <c r="J37" s="153"/>
    </row>
    <row r="38" spans="1:12" ht="15" customHeight="1">
      <c r="A38" s="144">
        <v>6</v>
      </c>
      <c r="B38" s="803" t="s">
        <v>1025</v>
      </c>
      <c r="C38" s="144">
        <v>12</v>
      </c>
      <c r="D38" s="144">
        <v>1</v>
      </c>
      <c r="E38" s="156">
        <v>335</v>
      </c>
      <c r="F38" s="163">
        <f>ROUND(E38/12/I6,2)</f>
        <v>0.16</v>
      </c>
      <c r="G38" s="1150" t="s">
        <v>1026</v>
      </c>
      <c r="H38" s="1151"/>
      <c r="I38" s="153"/>
      <c r="J38" s="153"/>
    </row>
    <row r="39" spans="1:12" ht="15" customHeight="1">
      <c r="A39" s="144">
        <v>7</v>
      </c>
      <c r="B39" s="803" t="s">
        <v>1027</v>
      </c>
      <c r="C39" s="144">
        <v>12</v>
      </c>
      <c r="D39" s="144">
        <v>1</v>
      </c>
      <c r="E39" s="156">
        <v>90</v>
      </c>
      <c r="F39" s="163">
        <f>ROUND(E39/12/I6,2)</f>
        <v>0.04</v>
      </c>
      <c r="G39" s="1150" t="s">
        <v>1028</v>
      </c>
      <c r="H39" s="1151"/>
      <c r="I39" s="153"/>
      <c r="J39" s="153"/>
    </row>
    <row r="40" spans="1:12" ht="15" customHeight="1">
      <c r="A40" s="144">
        <v>8</v>
      </c>
      <c r="B40" s="155" t="s">
        <v>955</v>
      </c>
      <c r="C40" s="144">
        <v>12</v>
      </c>
      <c r="D40" s="144">
        <v>1</v>
      </c>
      <c r="E40" s="156"/>
      <c r="F40" s="163">
        <f>ROUND(E40/12/I6,2)</f>
        <v>0</v>
      </c>
      <c r="G40" s="1150"/>
      <c r="H40" s="1151"/>
      <c r="I40" s="153"/>
      <c r="J40" s="153"/>
    </row>
    <row r="41" spans="1:12" ht="15" customHeight="1">
      <c r="A41" s="144">
        <v>9</v>
      </c>
      <c r="B41" s="155" t="s">
        <v>627</v>
      </c>
      <c r="C41" s="144">
        <v>12</v>
      </c>
      <c r="D41" s="144">
        <v>1</v>
      </c>
      <c r="E41" s="156"/>
      <c r="F41" s="163">
        <f>ROUND(E41/2088,2)</f>
        <v>0</v>
      </c>
      <c r="G41" s="1150"/>
      <c r="H41" s="1151"/>
      <c r="I41" s="153"/>
      <c r="J41" s="153"/>
    </row>
    <row r="42" spans="1:12" ht="15" customHeight="1">
      <c r="A42" s="144"/>
      <c r="I42" s="153"/>
      <c r="J42" s="153"/>
    </row>
    <row r="43" spans="1:12" ht="15">
      <c r="A43" s="144"/>
      <c r="B43" s="155" t="s">
        <v>309</v>
      </c>
      <c r="C43" s="144"/>
      <c r="D43" s="144"/>
      <c r="E43" s="144"/>
      <c r="F43" s="158">
        <f>ROUND(SUM(F33:F41),2)</f>
        <v>1.1200000000000001</v>
      </c>
      <c r="G43" s="1162"/>
      <c r="H43" s="1162"/>
      <c r="I43" s="153"/>
      <c r="J43" s="153"/>
    </row>
    <row r="44" spans="1:12" ht="15">
      <c r="A44" s="152"/>
      <c r="B44" s="152"/>
      <c r="C44" s="152"/>
      <c r="D44" s="152"/>
      <c r="E44" s="152"/>
      <c r="F44" s="152"/>
      <c r="G44" s="152"/>
      <c r="H44" s="152"/>
      <c r="I44" s="153"/>
      <c r="J44" s="153"/>
    </row>
    <row r="45" spans="1:12" ht="14.25">
      <c r="A45" s="159"/>
      <c r="B45" s="160" t="s">
        <v>371</v>
      </c>
      <c r="C45" s="159"/>
      <c r="D45" s="159"/>
      <c r="E45" s="159"/>
      <c r="F45" s="159"/>
      <c r="G45" s="159"/>
      <c r="H45" s="159"/>
      <c r="I45" s="161"/>
      <c r="J45" s="161"/>
    </row>
    <row r="46" spans="1:12" ht="13.9" customHeight="1">
      <c r="A46" s="162" t="s">
        <v>211</v>
      </c>
      <c r="B46" s="1163" t="s">
        <v>311</v>
      </c>
      <c r="C46" s="1163"/>
      <c r="D46" s="162"/>
      <c r="E46" s="162" t="s">
        <v>312</v>
      </c>
      <c r="F46" s="1163" t="s">
        <v>82</v>
      </c>
      <c r="G46" s="1163"/>
      <c r="H46" s="1163"/>
      <c r="I46" s="161" t="s">
        <v>850</v>
      </c>
      <c r="J46" s="153"/>
    </row>
    <row r="47" spans="1:12" ht="15">
      <c r="A47" s="144">
        <v>1</v>
      </c>
      <c r="B47" s="1147" t="s">
        <v>313</v>
      </c>
      <c r="C47" s="1147"/>
      <c r="D47" s="144"/>
      <c r="E47" s="163">
        <f>F11</f>
        <v>77.62</v>
      </c>
      <c r="F47" s="1162"/>
      <c r="G47" s="1162"/>
      <c r="H47" s="1162"/>
      <c r="I47" s="166">
        <f>E47*100/E52</f>
        <v>83.507261968800421</v>
      </c>
      <c r="J47" s="153"/>
    </row>
    <row r="48" spans="1:12" ht="15">
      <c r="A48" s="144">
        <v>3</v>
      </c>
      <c r="B48" s="1147" t="s">
        <v>372</v>
      </c>
      <c r="C48" s="1147"/>
      <c r="D48" s="144"/>
      <c r="E48" s="163">
        <f>F43</f>
        <v>1.1200000000000001</v>
      </c>
      <c r="F48" s="1162"/>
      <c r="G48" s="1162"/>
      <c r="H48" s="1162"/>
      <c r="I48" s="166">
        <f>E48*100/E52</f>
        <v>1.2049488972565896</v>
      </c>
      <c r="J48" s="166"/>
      <c r="K48" s="146"/>
      <c r="L48" s="146"/>
    </row>
    <row r="49" spans="1:12" ht="13.9" customHeight="1">
      <c r="A49" s="144">
        <v>4</v>
      </c>
      <c r="B49" s="1147" t="s">
        <v>56</v>
      </c>
      <c r="C49" s="1147"/>
      <c r="D49" s="144"/>
      <c r="E49" s="163">
        <f>F12</f>
        <v>11.64</v>
      </c>
      <c r="F49" s="1162"/>
      <c r="G49" s="1162"/>
      <c r="H49" s="1162"/>
      <c r="I49" s="166">
        <f>E49*100/E52</f>
        <v>12.522861753630984</v>
      </c>
      <c r="J49" s="166"/>
      <c r="K49" s="146"/>
      <c r="L49" s="146"/>
    </row>
    <row r="50" spans="1:12" ht="13.9" customHeight="1">
      <c r="A50" s="144">
        <v>5</v>
      </c>
      <c r="B50" s="1147" t="s">
        <v>373</v>
      </c>
      <c r="C50" s="1147"/>
      <c r="D50" s="317">
        <v>10.220000000000001</v>
      </c>
      <c r="E50" s="163">
        <f>ROUND((144*10.22)/1000,2)</f>
        <v>1.47</v>
      </c>
      <c r="F50" s="1187" t="s">
        <v>887</v>
      </c>
      <c r="G50" s="1187"/>
      <c r="H50" s="1187"/>
      <c r="I50" s="166">
        <f>E50*100/E52</f>
        <v>1.5814954276492736</v>
      </c>
      <c r="J50" s="166"/>
      <c r="K50" s="146"/>
      <c r="L50" s="146"/>
    </row>
    <row r="51" spans="1:12" ht="21.6" customHeight="1">
      <c r="A51" s="144">
        <v>6</v>
      </c>
      <c r="B51" s="1176" t="s">
        <v>374</v>
      </c>
      <c r="C51" s="1177"/>
      <c r="D51" s="144">
        <v>3590.72</v>
      </c>
      <c r="E51" s="163">
        <f>ROUND((0.058*11)*(D51/2088),2)</f>
        <v>1.1000000000000001</v>
      </c>
      <c r="F51" s="1184" t="s">
        <v>973</v>
      </c>
      <c r="G51" s="1185"/>
      <c r="H51" s="1186"/>
      <c r="I51" s="166">
        <f>E51*100/E52</f>
        <v>1.1834319526627219</v>
      </c>
      <c r="J51" s="633"/>
      <c r="K51" s="633"/>
      <c r="L51" s="633"/>
    </row>
    <row r="52" spans="1:12" ht="15.6" customHeight="1">
      <c r="A52" s="142"/>
      <c r="B52" s="1182" t="s">
        <v>309</v>
      </c>
      <c r="C52" s="1182"/>
      <c r="D52" s="142"/>
      <c r="E52" s="632">
        <f>ROUND(SUM(E47:E51),2)</f>
        <v>92.95</v>
      </c>
      <c r="F52" s="1162"/>
      <c r="G52" s="1162"/>
      <c r="H52" s="1162"/>
      <c r="I52" s="153"/>
      <c r="J52" s="153"/>
    </row>
    <row r="53" spans="1:12" ht="15.6" customHeight="1">
      <c r="A53" s="159"/>
      <c r="B53" s="428"/>
      <c r="C53" s="428"/>
      <c r="D53" s="159"/>
      <c r="E53" s="429"/>
      <c r="F53" s="165"/>
      <c r="G53" s="165"/>
      <c r="H53" s="165"/>
      <c r="I53" s="153"/>
      <c r="J53" s="153"/>
    </row>
    <row r="54" spans="1:12" ht="15.6" customHeight="1">
      <c r="A54" s="159"/>
      <c r="B54" s="428"/>
      <c r="C54" s="428"/>
      <c r="D54" s="159"/>
      <c r="E54" s="429"/>
      <c r="F54" s="165"/>
      <c r="G54" s="165"/>
      <c r="H54" s="165"/>
      <c r="I54" s="153"/>
      <c r="J54" s="153"/>
    </row>
    <row r="55" spans="1:12" ht="15.6" customHeight="1">
      <c r="A55" s="159"/>
      <c r="B55" s="428"/>
      <c r="C55" s="428"/>
      <c r="D55" s="159"/>
      <c r="E55" s="429"/>
      <c r="F55" s="165"/>
      <c r="G55" s="165"/>
      <c r="H55" s="165"/>
      <c r="I55" s="153"/>
      <c r="J55" s="153"/>
    </row>
    <row r="56" spans="1:12" ht="15.6" customHeight="1">
      <c r="A56" s="295" t="s">
        <v>23</v>
      </c>
      <c r="B56" s="37"/>
      <c r="C56" s="51"/>
      <c r="D56" s="51" t="s">
        <v>51</v>
      </c>
      <c r="E56" s="429"/>
      <c r="F56" s="165"/>
      <c r="G56" s="165"/>
      <c r="H56" s="165"/>
      <c r="I56" s="153"/>
      <c r="J56" s="153"/>
    </row>
    <row r="57" spans="1:12" ht="15.6" customHeight="1">
      <c r="A57" s="159"/>
      <c r="B57" s="428"/>
      <c r="C57" s="428"/>
      <c r="D57" s="159"/>
      <c r="E57" s="429"/>
      <c r="F57" s="165"/>
      <c r="G57" s="165"/>
      <c r="H57" s="165"/>
      <c r="I57" s="153"/>
      <c r="J57" s="153"/>
    </row>
    <row r="58" spans="1:12" ht="15.6" customHeight="1">
      <c r="A58" s="159"/>
      <c r="B58" s="428"/>
      <c r="C58" s="428"/>
      <c r="D58" s="159"/>
      <c r="E58" s="429"/>
      <c r="F58" s="165"/>
      <c r="G58" s="165"/>
      <c r="H58" s="165"/>
      <c r="I58" s="153"/>
      <c r="J58" s="153"/>
    </row>
    <row r="59" spans="1:12" ht="15">
      <c r="A59" s="152"/>
      <c r="B59" s="150"/>
      <c r="C59" s="150"/>
      <c r="D59" s="152"/>
      <c r="E59" s="164"/>
      <c r="F59" s="165"/>
      <c r="G59" s="165"/>
      <c r="H59" s="152"/>
      <c r="I59" s="153"/>
      <c r="J59" s="153"/>
    </row>
    <row r="60" spans="1:12" ht="15.75">
      <c r="E60" s="90"/>
      <c r="F60" s="152"/>
      <c r="G60" s="152"/>
      <c r="H60" s="152"/>
      <c r="I60" s="153"/>
      <c r="J60" s="166" t="e">
        <f>E47+#REF!+E48+E49</f>
        <v>#REF!</v>
      </c>
    </row>
    <row r="61" spans="1:12" ht="13.9" customHeight="1">
      <c r="A61" s="167"/>
      <c r="B61" s="1183" t="s">
        <v>813</v>
      </c>
      <c r="C61" s="1183"/>
      <c r="D61" s="1183"/>
      <c r="E61" s="1183"/>
      <c r="F61" s="1183"/>
      <c r="G61" s="1183"/>
      <c r="H61" s="1183"/>
    </row>
    <row r="62" spans="1:12" ht="16.5" customHeight="1">
      <c r="A62" s="167"/>
      <c r="B62" s="1183"/>
      <c r="C62" s="1183"/>
      <c r="D62" s="1183"/>
      <c r="E62" s="1183"/>
      <c r="F62" s="1183"/>
      <c r="G62" s="1183"/>
      <c r="H62" s="1183"/>
    </row>
    <row r="63" spans="1:12">
      <c r="A63" s="167"/>
      <c r="B63" s="167"/>
      <c r="C63" s="167"/>
      <c r="D63" s="167"/>
      <c r="E63" s="167"/>
      <c r="F63" s="167"/>
      <c r="G63" s="167"/>
      <c r="H63" s="167"/>
    </row>
    <row r="64" spans="1:12" ht="14.25">
      <c r="A64" s="139"/>
      <c r="B64" s="140" t="s">
        <v>306</v>
      </c>
      <c r="C64" s="139"/>
      <c r="D64" s="139"/>
      <c r="E64" s="139"/>
      <c r="F64" s="139"/>
      <c r="G64" s="139"/>
      <c r="H64" s="139"/>
      <c r="I64" s="134">
        <v>174.67</v>
      </c>
    </row>
    <row r="65" spans="1:10" ht="29.25" customHeight="1">
      <c r="A65" s="142" t="s">
        <v>211</v>
      </c>
      <c r="B65" s="1180" t="s">
        <v>307</v>
      </c>
      <c r="C65" s="1181"/>
      <c r="D65" s="143"/>
      <c r="E65" s="1180" t="s">
        <v>81</v>
      </c>
      <c r="F65" s="1181"/>
      <c r="G65" s="1163" t="s">
        <v>82</v>
      </c>
      <c r="H65" s="1163"/>
      <c r="I65" s="140"/>
      <c r="J65" s="140"/>
    </row>
    <row r="66" spans="1:10" ht="14.25" customHeight="1">
      <c r="A66" s="144">
        <v>1</v>
      </c>
      <c r="B66" s="1154" t="s">
        <v>313</v>
      </c>
      <c r="C66" s="1154"/>
      <c r="D66" s="712">
        <f>D9</f>
        <v>132830.97775240001</v>
      </c>
      <c r="E66" s="412">
        <f>F9</f>
        <v>63.62</v>
      </c>
      <c r="F66" s="413"/>
      <c r="G66" s="1147" t="str">
        <f>G9</f>
        <v>132830,98/2088</v>
      </c>
      <c r="H66" s="1147"/>
    </row>
    <row r="67" spans="1:10" ht="12" customHeight="1">
      <c r="A67" s="144">
        <v>2</v>
      </c>
      <c r="B67" s="1154" t="s">
        <v>314</v>
      </c>
      <c r="C67" s="1154"/>
      <c r="D67" s="145">
        <v>0.22</v>
      </c>
      <c r="E67" s="412">
        <f>ROUND(E66*22%,2)</f>
        <v>14</v>
      </c>
      <c r="F67" s="413"/>
      <c r="G67" s="1147" t="str">
        <f>G10</f>
        <v>63,62*22%</v>
      </c>
      <c r="H67" s="1147"/>
    </row>
    <row r="68" spans="1:10" ht="13.9" customHeight="1">
      <c r="A68" s="144"/>
      <c r="B68" s="1178" t="s">
        <v>648</v>
      </c>
      <c r="C68" s="1179"/>
      <c r="D68" s="145"/>
      <c r="E68" s="417">
        <f>ROUND(SUM(E66:F67),2)</f>
        <v>77.62</v>
      </c>
      <c r="F68" s="418"/>
      <c r="G68" s="1176" t="s">
        <v>942</v>
      </c>
      <c r="H68" s="1177"/>
    </row>
    <row r="69" spans="1:10" ht="15" customHeight="1">
      <c r="A69" s="144">
        <v>3</v>
      </c>
      <c r="B69" s="1154" t="s">
        <v>56</v>
      </c>
      <c r="C69" s="1154"/>
      <c r="D69" s="149">
        <v>0.15</v>
      </c>
      <c r="E69" s="412">
        <f>ROUND((E66+E67)*D69,2)</f>
        <v>11.64</v>
      </c>
      <c r="F69" s="413"/>
      <c r="G69" s="1147" t="s">
        <v>1006</v>
      </c>
      <c r="H69" s="1147"/>
    </row>
    <row r="70" spans="1:10" ht="16.899999999999999" customHeight="1">
      <c r="A70" s="147"/>
      <c r="B70" s="1148" t="s">
        <v>309</v>
      </c>
      <c r="C70" s="1149"/>
      <c r="D70" s="148"/>
      <c r="E70" s="417">
        <f>ROUND(E66+E69+E67,2)</f>
        <v>89.26</v>
      </c>
      <c r="F70" s="418"/>
      <c r="G70" s="1159"/>
      <c r="H70" s="1159"/>
      <c r="I70" s="146">
        <f>E66+E67+E69</f>
        <v>89.26</v>
      </c>
      <c r="J70" s="146"/>
    </row>
    <row r="71" spans="1:10" ht="16.899999999999999" customHeight="1">
      <c r="A71" s="248"/>
      <c r="B71" s="1147"/>
      <c r="C71" s="1147"/>
      <c r="D71" s="149"/>
      <c r="E71" s="1175"/>
      <c r="F71" s="1175"/>
      <c r="G71" s="1176"/>
      <c r="H71" s="1177"/>
      <c r="I71" s="146"/>
      <c r="J71" s="146"/>
    </row>
    <row r="72" spans="1:10" ht="15">
      <c r="A72" s="1174"/>
      <c r="B72" s="1174"/>
      <c r="C72" s="167"/>
      <c r="D72" s="167"/>
      <c r="E72" s="1164"/>
      <c r="F72" s="1165"/>
      <c r="G72" s="167"/>
      <c r="H72" s="167"/>
    </row>
    <row r="73" spans="1:10" ht="14.25">
      <c r="A73" s="139"/>
      <c r="B73" s="140" t="s">
        <v>317</v>
      </c>
      <c r="C73" s="139"/>
      <c r="D73" s="139"/>
      <c r="E73" s="139"/>
      <c r="F73" s="139"/>
      <c r="G73" s="139"/>
      <c r="H73" s="139"/>
      <c r="I73" s="140"/>
      <c r="J73" s="140"/>
    </row>
    <row r="74" spans="1:10" ht="56.25">
      <c r="A74" s="168" t="s">
        <v>211</v>
      </c>
      <c r="B74" s="168" t="s">
        <v>318</v>
      </c>
      <c r="C74" s="168" t="s">
        <v>319</v>
      </c>
      <c r="D74" s="168" t="s">
        <v>320</v>
      </c>
      <c r="E74" s="168" t="s">
        <v>321</v>
      </c>
      <c r="F74" s="168" t="s">
        <v>322</v>
      </c>
      <c r="G74" s="1168" t="s">
        <v>82</v>
      </c>
      <c r="H74" s="1168"/>
      <c r="I74" s="153"/>
      <c r="J74" s="153"/>
    </row>
    <row r="75" spans="1:10" ht="18" customHeight="1">
      <c r="A75" s="144">
        <v>1</v>
      </c>
      <c r="B75" s="155" t="str">
        <f t="shared" ref="B75:D76" si="2">B33</f>
        <v>Ножниці для стрижки  філіровочні (с.з.)</v>
      </c>
      <c r="C75" s="144">
        <f t="shared" si="2"/>
        <v>12</v>
      </c>
      <c r="D75" s="144">
        <f t="shared" si="2"/>
        <v>2</v>
      </c>
      <c r="E75" s="317">
        <f>E33</f>
        <v>0</v>
      </c>
      <c r="F75" s="317">
        <f>F33</f>
        <v>0</v>
      </c>
      <c r="G75" s="1169"/>
      <c r="H75" s="1170"/>
      <c r="I75" s="153"/>
      <c r="J75" s="153"/>
    </row>
    <row r="76" spans="1:10" ht="15" customHeight="1">
      <c r="A76" s="144">
        <v>2</v>
      </c>
      <c r="B76" s="155" t="str">
        <f t="shared" si="2"/>
        <v>Ножиці прямі (с.з.)</v>
      </c>
      <c r="C76" s="144">
        <f t="shared" si="2"/>
        <v>12</v>
      </c>
      <c r="D76" s="144">
        <f t="shared" si="2"/>
        <v>1</v>
      </c>
      <c r="E76" s="317">
        <f>E34</f>
        <v>312</v>
      </c>
      <c r="F76" s="317">
        <f>F34</f>
        <v>0.15</v>
      </c>
      <c r="G76" s="1169"/>
      <c r="H76" s="1170"/>
      <c r="I76" s="153"/>
      <c r="J76" s="153"/>
    </row>
    <row r="77" spans="1:10" ht="15" customHeight="1">
      <c r="A77" s="144">
        <v>3</v>
      </c>
      <c r="B77" s="155" t="s">
        <v>626</v>
      </c>
      <c r="C77" s="144">
        <v>36</v>
      </c>
      <c r="D77" s="144">
        <f>D35</f>
        <v>1</v>
      </c>
      <c r="E77" s="144"/>
      <c r="F77" s="317">
        <f>ROUND(E77/12/174,2)</f>
        <v>0</v>
      </c>
      <c r="G77" s="1169"/>
      <c r="H77" s="1170"/>
      <c r="I77" s="153"/>
      <c r="J77" s="153"/>
    </row>
    <row r="78" spans="1:10" ht="15" customHeight="1">
      <c r="A78" s="144">
        <v>4</v>
      </c>
      <c r="B78" s="155" t="str">
        <f>B36</f>
        <v>Машинка для стрижки (с.з.)</v>
      </c>
      <c r="C78" s="144">
        <f>C36</f>
        <v>12</v>
      </c>
      <c r="D78" s="144">
        <f>D36</f>
        <v>1</v>
      </c>
      <c r="E78" s="317">
        <f>E36</f>
        <v>561</v>
      </c>
      <c r="F78" s="317">
        <f>F36</f>
        <v>0.26500000000000001</v>
      </c>
      <c r="G78" s="1169"/>
      <c r="H78" s="1170"/>
      <c r="I78" s="153"/>
      <c r="J78" s="153"/>
    </row>
    <row r="79" spans="1:10" ht="15" customHeight="1">
      <c r="A79" s="144">
        <v>5</v>
      </c>
      <c r="B79" s="155" t="s">
        <v>628</v>
      </c>
      <c r="C79" s="144">
        <f>C40</f>
        <v>12</v>
      </c>
      <c r="D79" s="144">
        <f>D40</f>
        <v>1</v>
      </c>
      <c r="E79" s="144"/>
      <c r="F79" s="317">
        <f>ROUND(E79/12/174,2)</f>
        <v>0</v>
      </c>
      <c r="G79" s="1166"/>
      <c r="H79" s="1167"/>
      <c r="I79" s="153"/>
      <c r="J79" s="153"/>
    </row>
    <row r="80" spans="1:10" ht="15" customHeight="1">
      <c r="A80" s="144">
        <v>6</v>
      </c>
      <c r="B80" s="155" t="s">
        <v>375</v>
      </c>
      <c r="C80" s="144">
        <v>1</v>
      </c>
      <c r="D80" s="144">
        <v>1</v>
      </c>
      <c r="E80" s="144">
        <v>360</v>
      </c>
      <c r="F80" s="163">
        <f>ROUND(E80/174,2)</f>
        <v>2.0699999999999998</v>
      </c>
      <c r="G80" s="1169" t="s">
        <v>864</v>
      </c>
      <c r="H80" s="1170"/>
      <c r="I80" s="153"/>
      <c r="J80" s="153"/>
    </row>
    <row r="81" spans="1:10" ht="15" customHeight="1">
      <c r="A81" s="144"/>
      <c r="I81" s="153"/>
      <c r="J81" s="153"/>
    </row>
    <row r="82" spans="1:10" ht="15">
      <c r="A82" s="144"/>
      <c r="B82" s="155" t="s">
        <v>309</v>
      </c>
      <c r="C82" s="144"/>
      <c r="D82" s="144"/>
      <c r="E82" s="144"/>
      <c r="F82" s="158">
        <f>ROUND(SUM(F75:F80),2)</f>
        <v>2.4900000000000002</v>
      </c>
      <c r="G82" s="1162"/>
      <c r="H82" s="1162"/>
      <c r="I82" s="153"/>
      <c r="J82" s="153"/>
    </row>
    <row r="83" spans="1:10">
      <c r="A83" s="153"/>
      <c r="B83" s="153"/>
      <c r="C83" s="153"/>
      <c r="D83" s="153"/>
      <c r="E83" s="153"/>
      <c r="F83" s="153"/>
      <c r="G83" s="153"/>
      <c r="H83" s="153"/>
      <c r="I83" s="153"/>
      <c r="J83" s="153"/>
    </row>
    <row r="84" spans="1:10">
      <c r="A84" s="153"/>
      <c r="B84" s="153"/>
      <c r="C84" s="153"/>
      <c r="D84" s="153"/>
      <c r="E84" s="153"/>
      <c r="F84" s="153"/>
      <c r="G84" s="153"/>
      <c r="H84" s="153"/>
      <c r="I84" s="153"/>
      <c r="J84" s="153"/>
    </row>
    <row r="85" spans="1:10" ht="14.25">
      <c r="A85" s="159"/>
      <c r="B85" s="160" t="s">
        <v>371</v>
      </c>
      <c r="C85" s="159"/>
      <c r="D85" s="159"/>
      <c r="E85" s="159"/>
      <c r="F85" s="159"/>
      <c r="G85" s="159"/>
      <c r="H85" s="159"/>
      <c r="I85" s="153"/>
      <c r="J85" s="153"/>
    </row>
    <row r="86" spans="1:10">
      <c r="A86" s="154" t="s">
        <v>211</v>
      </c>
      <c r="B86" s="1161" t="s">
        <v>311</v>
      </c>
      <c r="C86" s="1161"/>
      <c r="D86" s="154"/>
      <c r="E86" s="154" t="s">
        <v>312</v>
      </c>
      <c r="F86" s="1172" t="s">
        <v>82</v>
      </c>
      <c r="G86" s="1173"/>
      <c r="H86" s="161"/>
      <c r="I86" s="153"/>
      <c r="J86" s="153"/>
    </row>
    <row r="87" spans="1:10" ht="15">
      <c r="A87" s="144">
        <v>1</v>
      </c>
      <c r="B87" s="1147" t="s">
        <v>313</v>
      </c>
      <c r="C87" s="1147"/>
      <c r="D87" s="144"/>
      <c r="E87" s="163">
        <f>F11</f>
        <v>77.62</v>
      </c>
      <c r="F87" s="1157"/>
      <c r="G87" s="1158"/>
      <c r="H87" s="153"/>
      <c r="I87" s="159"/>
      <c r="J87" s="159"/>
    </row>
    <row r="88" spans="1:10" ht="15">
      <c r="A88" s="144">
        <v>3</v>
      </c>
      <c r="B88" s="1147" t="s">
        <v>372</v>
      </c>
      <c r="C88" s="1147"/>
      <c r="D88" s="144"/>
      <c r="E88" s="163">
        <f>F82</f>
        <v>2.4900000000000002</v>
      </c>
      <c r="F88" s="1171"/>
      <c r="G88" s="1171"/>
      <c r="H88" s="153"/>
      <c r="I88" s="153"/>
      <c r="J88" s="153"/>
    </row>
    <row r="89" spans="1:10" ht="15" hidden="1">
      <c r="A89" s="144">
        <v>4</v>
      </c>
      <c r="B89" s="1147" t="s">
        <v>315</v>
      </c>
      <c r="C89" s="1147"/>
      <c r="D89" s="144">
        <v>5.2999999999999999E-2</v>
      </c>
      <c r="E89" s="163"/>
      <c r="F89" s="1157" t="s">
        <v>376</v>
      </c>
      <c r="G89" s="1158"/>
      <c r="H89" s="153"/>
      <c r="I89" s="153"/>
      <c r="J89" s="153"/>
    </row>
    <row r="90" spans="1:10" ht="15" customHeight="1">
      <c r="A90" s="144">
        <v>4</v>
      </c>
      <c r="B90" s="1147" t="s">
        <v>56</v>
      </c>
      <c r="C90" s="1147"/>
      <c r="D90" s="144"/>
      <c r="E90" s="163">
        <f>F12</f>
        <v>11.64</v>
      </c>
      <c r="F90" s="1157"/>
      <c r="G90" s="1158"/>
      <c r="H90" s="153"/>
      <c r="I90" s="153"/>
      <c r="J90" s="153"/>
    </row>
    <row r="91" spans="1:10" ht="15">
      <c r="A91" s="144"/>
      <c r="B91" s="1147" t="s">
        <v>309</v>
      </c>
      <c r="C91" s="1147"/>
      <c r="D91" s="144"/>
      <c r="E91" s="158">
        <f>ROUND(SUM(E87:E90),2)</f>
        <v>91.75</v>
      </c>
      <c r="F91" s="1157"/>
      <c r="G91" s="1158"/>
      <c r="H91" s="153"/>
      <c r="I91" s="166"/>
      <c r="J91" s="153"/>
    </row>
    <row r="92" spans="1:10" ht="15" customHeight="1">
      <c r="I92" s="153"/>
      <c r="J92" s="153"/>
    </row>
    <row r="93" spans="1:10" ht="15">
      <c r="E93" s="137"/>
      <c r="I93" s="153"/>
      <c r="J93" s="153"/>
    </row>
    <row r="98" spans="1:5" ht="15.75">
      <c r="A98" s="295" t="s">
        <v>23</v>
      </c>
      <c r="B98" s="37"/>
      <c r="C98" s="51"/>
      <c r="D98" s="51" t="s">
        <v>51</v>
      </c>
      <c r="E98" s="90"/>
    </row>
  </sheetData>
  <mergeCells count="92">
    <mergeCell ref="G38:H38"/>
    <mergeCell ref="G39:H39"/>
    <mergeCell ref="G22:H22"/>
    <mergeCell ref="G15:H15"/>
    <mergeCell ref="G16:H16"/>
    <mergeCell ref="G17:H17"/>
    <mergeCell ref="G19:H19"/>
    <mergeCell ref="G20:H20"/>
    <mergeCell ref="G18:H18"/>
    <mergeCell ref="G25:H25"/>
    <mergeCell ref="G23:H23"/>
    <mergeCell ref="G24:H24"/>
    <mergeCell ref="B11:C11"/>
    <mergeCell ref="G11:H11"/>
    <mergeCell ref="B9:C9"/>
    <mergeCell ref="G9:H9"/>
    <mergeCell ref="B10:C10"/>
    <mergeCell ref="G10:H10"/>
    <mergeCell ref="A1:G1"/>
    <mergeCell ref="B4:H5"/>
    <mergeCell ref="B8:C8"/>
    <mergeCell ref="E8:F8"/>
    <mergeCell ref="G8:H8"/>
    <mergeCell ref="B52:C52"/>
    <mergeCell ref="B61:H62"/>
    <mergeCell ref="B49:C49"/>
    <mergeCell ref="B50:C50"/>
    <mergeCell ref="B51:C51"/>
    <mergeCell ref="F52:H52"/>
    <mergeCell ref="F49:H49"/>
    <mergeCell ref="F51:H51"/>
    <mergeCell ref="F50:H50"/>
    <mergeCell ref="B67:C67"/>
    <mergeCell ref="G67:H67"/>
    <mergeCell ref="B68:C68"/>
    <mergeCell ref="G68:H68"/>
    <mergeCell ref="B65:C65"/>
    <mergeCell ref="E65:F65"/>
    <mergeCell ref="G65:H65"/>
    <mergeCell ref="B66:C66"/>
    <mergeCell ref="G66:H66"/>
    <mergeCell ref="G41:H41"/>
    <mergeCell ref="B88:C88"/>
    <mergeCell ref="F88:G88"/>
    <mergeCell ref="B89:C89"/>
    <mergeCell ref="F89:G89"/>
    <mergeCell ref="G80:H80"/>
    <mergeCell ref="G82:H82"/>
    <mergeCell ref="B86:C86"/>
    <mergeCell ref="F86:G86"/>
    <mergeCell ref="B69:C69"/>
    <mergeCell ref="B87:C87"/>
    <mergeCell ref="F87:G87"/>
    <mergeCell ref="A72:B72"/>
    <mergeCell ref="B71:C71"/>
    <mergeCell ref="E71:F71"/>
    <mergeCell ref="G71:H71"/>
    <mergeCell ref="G70:H70"/>
    <mergeCell ref="B90:C90"/>
    <mergeCell ref="F90:G90"/>
    <mergeCell ref="B91:C91"/>
    <mergeCell ref="F91:G91"/>
    <mergeCell ref="E72:F72"/>
    <mergeCell ref="G79:H79"/>
    <mergeCell ref="G74:H74"/>
    <mergeCell ref="G75:H75"/>
    <mergeCell ref="G76:H76"/>
    <mergeCell ref="G77:H77"/>
    <mergeCell ref="G78:H78"/>
    <mergeCell ref="B48:C48"/>
    <mergeCell ref="G43:H43"/>
    <mergeCell ref="B46:C46"/>
    <mergeCell ref="B47:C47"/>
    <mergeCell ref="F48:H48"/>
    <mergeCell ref="F47:H47"/>
    <mergeCell ref="F46:H46"/>
    <mergeCell ref="G69:H69"/>
    <mergeCell ref="B70:C70"/>
    <mergeCell ref="G26:H26"/>
    <mergeCell ref="G40:H40"/>
    <mergeCell ref="G12:H12"/>
    <mergeCell ref="B12:C12"/>
    <mergeCell ref="B13:C13"/>
    <mergeCell ref="E13:F13"/>
    <mergeCell ref="G33:H33"/>
    <mergeCell ref="G34:H34"/>
    <mergeCell ref="G35:H35"/>
    <mergeCell ref="G36:H36"/>
    <mergeCell ref="G13:H13"/>
    <mergeCell ref="E30:F30"/>
    <mergeCell ref="G32:H32"/>
    <mergeCell ref="G37:H37"/>
  </mergeCells>
  <pageMargins left="0.70866141732283472" right="0.35433070866141736" top="0.59055118110236227" bottom="0.98425196850393704" header="0.27559055118110237" footer="0.51181102362204722"/>
  <pageSetup paperSize="9" scale="72" orientation="portrait" r:id="rId1"/>
  <headerFooter alignWithMargins="0"/>
  <rowBreaks count="1" manualBreakCount="1">
    <brk id="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9"/>
  <sheetViews>
    <sheetView view="pageBreakPreview" topLeftCell="A22" zoomScaleNormal="100" zoomScaleSheetLayoutView="100" workbookViewId="0">
      <selection activeCell="D31" sqref="D31"/>
    </sheetView>
  </sheetViews>
  <sheetFormatPr defaultRowHeight="15"/>
  <cols>
    <col min="1" max="1" width="13.140625" customWidth="1"/>
    <col min="2" max="2" width="7.7109375" customWidth="1"/>
    <col min="3" max="3" width="11.85546875" customWidth="1"/>
    <col min="5" max="5" width="13.7109375" customWidth="1"/>
    <col min="6" max="6" width="14.140625" customWidth="1"/>
    <col min="7" max="7" width="17.7109375" customWidth="1"/>
  </cols>
  <sheetData>
    <row r="1" spans="1:7" ht="16.149999999999999" customHeight="1">
      <c r="A1" s="911" t="s">
        <v>328</v>
      </c>
      <c r="B1" s="911"/>
      <c r="C1" s="911"/>
      <c r="D1" s="911"/>
      <c r="E1" s="911"/>
      <c r="F1" s="911"/>
      <c r="G1" s="911"/>
    </row>
    <row r="2" spans="1:7" ht="15.75" customHeight="1">
      <c r="A2" s="912" t="s">
        <v>514</v>
      </c>
      <c r="B2" s="912"/>
      <c r="C2" s="912"/>
      <c r="D2" s="912"/>
      <c r="E2" s="912"/>
      <c r="F2" s="912"/>
      <c r="G2" s="912"/>
    </row>
    <row r="3" spans="1:7" ht="15.6" customHeight="1">
      <c r="A3" s="913" t="s">
        <v>832</v>
      </c>
      <c r="B3" s="913"/>
      <c r="C3" s="913"/>
      <c r="D3" s="913"/>
      <c r="E3" s="913"/>
      <c r="F3" s="913"/>
      <c r="G3" s="913"/>
    </row>
    <row r="4" spans="1:7" ht="29.25" customHeight="1">
      <c r="A4" s="914" t="s">
        <v>330</v>
      </c>
      <c r="B4" s="914"/>
      <c r="C4" s="914"/>
      <c r="D4" s="914"/>
      <c r="E4" s="914"/>
      <c r="F4" s="914"/>
      <c r="G4" s="914"/>
    </row>
    <row r="5" spans="1:7" ht="15.75">
      <c r="A5" s="915" t="s">
        <v>331</v>
      </c>
      <c r="B5" s="915"/>
      <c r="C5" s="915"/>
      <c r="D5" t="s">
        <v>332</v>
      </c>
    </row>
    <row r="7" spans="1:7">
      <c r="A7" s="113" t="s">
        <v>333</v>
      </c>
      <c r="B7" s="113" t="s">
        <v>334</v>
      </c>
      <c r="C7" s="910" t="s">
        <v>335</v>
      </c>
      <c r="D7" s="910"/>
      <c r="E7" s="910"/>
      <c r="F7" s="910"/>
    </row>
    <row r="8" spans="1:7">
      <c r="A8" s="113" t="s">
        <v>336</v>
      </c>
      <c r="B8" s="113" t="s">
        <v>334</v>
      </c>
      <c r="C8" s="917" t="s">
        <v>337</v>
      </c>
      <c r="D8" s="917"/>
      <c r="E8" s="917"/>
      <c r="F8" s="917"/>
    </row>
    <row r="9" spans="1:7" ht="21" customHeight="1">
      <c r="A9" s="113" t="s">
        <v>338</v>
      </c>
      <c r="B9" s="113" t="s">
        <v>334</v>
      </c>
      <c r="C9" s="917" t="s">
        <v>339</v>
      </c>
      <c r="D9" s="917"/>
      <c r="E9" s="917"/>
      <c r="F9" s="917"/>
    </row>
    <row r="10" spans="1:7" ht="14.45" customHeight="1">
      <c r="A10" s="113" t="s">
        <v>340</v>
      </c>
      <c r="B10" s="113" t="s">
        <v>334</v>
      </c>
      <c r="C10" s="917" t="s">
        <v>341</v>
      </c>
      <c r="D10" s="917"/>
      <c r="E10" s="917"/>
      <c r="F10" s="917"/>
    </row>
    <row r="11" spans="1:7" ht="15" customHeight="1">
      <c r="A11" s="113" t="s">
        <v>342</v>
      </c>
      <c r="B11" s="113" t="s">
        <v>334</v>
      </c>
      <c r="C11" s="917" t="s">
        <v>343</v>
      </c>
      <c r="D11" s="917"/>
      <c r="E11" s="917"/>
      <c r="F11" s="917"/>
    </row>
    <row r="12" spans="1:7" ht="11.45" customHeight="1"/>
    <row r="13" spans="1:7" ht="29.25" customHeight="1">
      <c r="A13" s="914" t="s">
        <v>344</v>
      </c>
      <c r="B13" s="914"/>
      <c r="C13" s="914"/>
      <c r="D13" s="914"/>
      <c r="E13" s="914"/>
      <c r="F13" s="914"/>
      <c r="G13" s="914"/>
    </row>
    <row r="14" spans="1:7">
      <c r="A14" s="918" t="s">
        <v>345</v>
      </c>
      <c r="B14" s="918"/>
      <c r="C14" s="918"/>
      <c r="D14" s="114" t="s">
        <v>332</v>
      </c>
    </row>
    <row r="15" spans="1:7" ht="14.45" customHeight="1">
      <c r="A15" s="115" t="s">
        <v>336</v>
      </c>
      <c r="B15" s="115" t="s">
        <v>334</v>
      </c>
      <c r="C15" s="919" t="s">
        <v>337</v>
      </c>
      <c r="D15" s="919"/>
      <c r="E15" s="919"/>
      <c r="F15" s="919"/>
      <c r="G15" s="919"/>
    </row>
    <row r="16" spans="1:7" ht="45.6" customHeight="1">
      <c r="A16" s="115" t="s">
        <v>346</v>
      </c>
      <c r="B16" s="115" t="s">
        <v>334</v>
      </c>
      <c r="C16" s="919" t="s">
        <v>347</v>
      </c>
      <c r="D16" s="919"/>
      <c r="E16" s="919"/>
      <c r="F16" s="919"/>
      <c r="G16" s="919"/>
    </row>
    <row r="17" spans="1:7" ht="15.6" customHeight="1">
      <c r="A17" s="115" t="s">
        <v>348</v>
      </c>
      <c r="B17" s="115" t="s">
        <v>334</v>
      </c>
      <c r="C17" s="919" t="s">
        <v>349</v>
      </c>
      <c r="D17" s="919"/>
      <c r="E17" s="919"/>
      <c r="F17" s="919"/>
      <c r="G17" s="919"/>
    </row>
    <row r="18" spans="1:7">
      <c r="A18" s="115" t="s">
        <v>350</v>
      </c>
      <c r="B18" s="115" t="s">
        <v>334</v>
      </c>
      <c r="C18" s="919" t="s">
        <v>351</v>
      </c>
      <c r="D18" s="919"/>
      <c r="E18" s="919"/>
      <c r="F18" s="919"/>
    </row>
    <row r="20" spans="1:7" ht="28.15" customHeight="1">
      <c r="A20" s="920" t="s">
        <v>352</v>
      </c>
      <c r="B20" s="920"/>
      <c r="C20" s="920"/>
      <c r="D20" s="920"/>
      <c r="E20" s="920"/>
      <c r="F20" s="920"/>
    </row>
    <row r="21" spans="1:7" ht="15.75">
      <c r="A21" s="916" t="s">
        <v>353</v>
      </c>
      <c r="B21" s="916"/>
      <c r="D21" s="114" t="s">
        <v>332</v>
      </c>
    </row>
    <row r="22" spans="1:7" ht="14.45" customHeight="1">
      <c r="A22" s="115" t="s">
        <v>338</v>
      </c>
      <c r="B22" s="115" t="s">
        <v>334</v>
      </c>
      <c r="C22" s="919" t="s">
        <v>339</v>
      </c>
      <c r="D22" s="919"/>
      <c r="E22" s="919"/>
      <c r="F22" s="919"/>
      <c r="G22" s="919"/>
    </row>
    <row r="23" spans="1:7" ht="27" customHeight="1">
      <c r="A23" s="115" t="s">
        <v>354</v>
      </c>
      <c r="B23" s="115" t="s">
        <v>334</v>
      </c>
      <c r="C23" s="919" t="s">
        <v>355</v>
      </c>
      <c r="D23" s="919"/>
      <c r="E23" s="919"/>
      <c r="F23" s="919"/>
      <c r="G23" s="919"/>
    </row>
    <row r="24" spans="1:7" ht="42.6" customHeight="1">
      <c r="A24" s="116" t="s">
        <v>356</v>
      </c>
      <c r="B24" s="116" t="s">
        <v>334</v>
      </c>
      <c r="C24" s="919" t="s">
        <v>357</v>
      </c>
      <c r="D24" s="919"/>
      <c r="E24" s="919"/>
      <c r="F24" s="919"/>
      <c r="G24" s="919"/>
    </row>
    <row r="26" spans="1:7">
      <c r="A26" s="117">
        <f>ЗВЕДЕНИЙ!W62+ЗВЕДЕНИЙ!V60</f>
        <v>423945.2950478</v>
      </c>
      <c r="B26" s="922" t="s">
        <v>802</v>
      </c>
      <c r="C26" s="922"/>
      <c r="D26" t="s">
        <v>1086</v>
      </c>
      <c r="E26" s="119"/>
      <c r="F26" s="120">
        <f>ROUND(A26/A27,4)</f>
        <v>1.89E-2</v>
      </c>
    </row>
    <row r="27" spans="1:7">
      <c r="A27" s="121">
        <f>ЗВЕДЕНИЙ!V78-ЗВЕДЕНИЙ!V34+ЗВЕДЕНИЙ!V28+814000</f>
        <v>22376657.905571479</v>
      </c>
      <c r="B27" s="118" t="s">
        <v>1037</v>
      </c>
    </row>
    <row r="28" spans="1:7">
      <c r="B28" s="122"/>
      <c r="C28" s="923"/>
      <c r="D28" s="923"/>
      <c r="E28" s="123"/>
      <c r="F28" s="124"/>
    </row>
    <row r="29" spans="1:7">
      <c r="C29" s="125"/>
      <c r="F29" s="126"/>
    </row>
    <row r="30" spans="1:7" ht="28.15" customHeight="1">
      <c r="A30" s="546">
        <f>((ЗВЕДЕНИЙ!V34-ЗВЕДЕНИЙ!V28)*22%)+ЗВЕДЕНИЙ!V34-ЗВЕДЕНИЙ!V28</f>
        <v>5320405.4708892182</v>
      </c>
      <c r="B30" s="922" t="s">
        <v>803</v>
      </c>
      <c r="C30" s="922"/>
      <c r="D30" s="925" t="s">
        <v>1087</v>
      </c>
      <c r="E30" s="925"/>
      <c r="F30" s="547">
        <f>(A30*F26)/4097.7</f>
        <v>24.539537643020772</v>
      </c>
    </row>
    <row r="31" spans="1:7">
      <c r="C31" s="125"/>
    </row>
    <row r="32" spans="1:7">
      <c r="A32" s="129"/>
      <c r="B32" s="130"/>
      <c r="C32" s="131"/>
      <c r="D32" s="130"/>
    </row>
    <row r="33" spans="1:7" ht="39.6" customHeight="1">
      <c r="A33" s="921" t="s">
        <v>359</v>
      </c>
      <c r="B33" s="921"/>
      <c r="C33" s="921"/>
      <c r="D33" s="921"/>
      <c r="E33" s="921"/>
      <c r="F33" s="921"/>
      <c r="G33" s="921"/>
    </row>
    <row r="34" spans="1:7" ht="14.45" customHeight="1">
      <c r="A34" s="921" t="s">
        <v>360</v>
      </c>
      <c r="B34" s="921"/>
      <c r="C34" s="921"/>
      <c r="D34" s="921"/>
      <c r="E34" s="921"/>
      <c r="F34" s="921"/>
      <c r="G34" s="921"/>
    </row>
    <row r="35" spans="1:7" ht="12.6" customHeight="1">
      <c r="A35" s="921"/>
      <c r="B35" s="921"/>
      <c r="C35" s="921"/>
      <c r="D35" s="921"/>
      <c r="E35" s="921"/>
      <c r="F35" s="921"/>
      <c r="G35" s="921"/>
    </row>
    <row r="36" spans="1:7">
      <c r="A36" s="258"/>
      <c r="B36" s="258"/>
      <c r="C36" s="258"/>
      <c r="D36" s="258"/>
      <c r="E36" s="258"/>
      <c r="F36" s="258"/>
      <c r="G36" s="258"/>
    </row>
    <row r="37" spans="1:7">
      <c r="F37" s="258"/>
      <c r="G37" s="258"/>
    </row>
    <row r="39" spans="1:7" ht="15.75">
      <c r="A39" s="295" t="s">
        <v>23</v>
      </c>
      <c r="B39" s="37"/>
      <c r="C39" s="51"/>
      <c r="E39" s="90"/>
      <c r="F39" s="51" t="s">
        <v>51</v>
      </c>
    </row>
  </sheetData>
  <mergeCells count="27">
    <mergeCell ref="A34:G35"/>
    <mergeCell ref="B30:C30"/>
    <mergeCell ref="D30:E30"/>
    <mergeCell ref="C22:G22"/>
    <mergeCell ref="C23:G23"/>
    <mergeCell ref="C24:G24"/>
    <mergeCell ref="B26:C26"/>
    <mergeCell ref="C28:D28"/>
    <mergeCell ref="A33:G33"/>
    <mergeCell ref="A21:B21"/>
    <mergeCell ref="C8:F8"/>
    <mergeCell ref="C9:F9"/>
    <mergeCell ref="C10:F10"/>
    <mergeCell ref="C11:F11"/>
    <mergeCell ref="A13:G13"/>
    <mergeCell ref="A14:C14"/>
    <mergeCell ref="C15:G15"/>
    <mergeCell ref="C16:G16"/>
    <mergeCell ref="C17:G17"/>
    <mergeCell ref="C18:F18"/>
    <mergeCell ref="A20:F20"/>
    <mergeCell ref="C7:F7"/>
    <mergeCell ref="A1:G1"/>
    <mergeCell ref="A2:G2"/>
    <mergeCell ref="A3:G3"/>
    <mergeCell ref="A4:G4"/>
    <mergeCell ref="A5:C5"/>
  </mergeCells>
  <pageMargins left="0.7" right="0.7" top="0.75" bottom="0.75" header="0.3" footer="0.3"/>
  <pageSetup paperSize="9" scale="9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O101"/>
  <sheetViews>
    <sheetView view="pageBreakPreview" topLeftCell="A72" zoomScale="86" zoomScaleNormal="115" zoomScaleSheetLayoutView="86" workbookViewId="0">
      <selection activeCell="F88" sqref="F88"/>
    </sheetView>
  </sheetViews>
  <sheetFormatPr defaultRowHeight="12.75"/>
  <cols>
    <col min="1" max="1" width="4.85546875" style="73" customWidth="1"/>
    <col min="2" max="2" width="41.28515625" style="73" customWidth="1"/>
    <col min="3" max="3" width="13" style="73" customWidth="1"/>
    <col min="4" max="4" width="10.140625" style="73" customWidth="1"/>
    <col min="5" max="5" width="11.28515625" style="73" customWidth="1"/>
    <col min="6" max="6" width="17" style="73" customWidth="1"/>
    <col min="7" max="7" width="6.7109375" style="73" customWidth="1"/>
    <col min="8" max="8" width="9.85546875" style="73" customWidth="1"/>
    <col min="9" max="9" width="13.28515625" style="73" customWidth="1"/>
    <col min="10" max="10" width="14.140625" style="73" customWidth="1"/>
    <col min="11" max="11" width="13.5703125" style="73" customWidth="1"/>
    <col min="12" max="12" width="11.85546875" style="73" customWidth="1"/>
    <col min="13" max="13" width="11.140625" style="73" customWidth="1"/>
    <col min="14" max="256" width="9.140625" style="73"/>
    <col min="257" max="257" width="6.28515625" style="73" customWidth="1"/>
    <col min="258" max="258" width="37.140625" style="73" customWidth="1"/>
    <col min="259" max="259" width="13" style="73" customWidth="1"/>
    <col min="260" max="260" width="9.5703125" style="73" customWidth="1"/>
    <col min="261" max="261" width="9.28515625" style="73" customWidth="1"/>
    <col min="262" max="262" width="17.5703125" style="73" customWidth="1"/>
    <col min="263" max="263" width="6.7109375" style="73" customWidth="1"/>
    <col min="264" max="264" width="12.140625" style="73" customWidth="1"/>
    <col min="265" max="266" width="9.140625" style="73"/>
    <col min="267" max="267" width="13.5703125" style="73" customWidth="1"/>
    <col min="268" max="268" width="11.85546875" style="73" customWidth="1"/>
    <col min="269" max="269" width="11.140625" style="73" customWidth="1"/>
    <col min="270" max="512" width="9.140625" style="73"/>
    <col min="513" max="513" width="6.28515625" style="73" customWidth="1"/>
    <col min="514" max="514" width="37.140625" style="73" customWidth="1"/>
    <col min="515" max="515" width="13" style="73" customWidth="1"/>
    <col min="516" max="516" width="9.5703125" style="73" customWidth="1"/>
    <col min="517" max="517" width="9.28515625" style="73" customWidth="1"/>
    <col min="518" max="518" width="17.5703125" style="73" customWidth="1"/>
    <col min="519" max="519" width="6.7109375" style="73" customWidth="1"/>
    <col min="520" max="520" width="12.140625" style="73" customWidth="1"/>
    <col min="521" max="522" width="9.140625" style="73"/>
    <col min="523" max="523" width="13.5703125" style="73" customWidth="1"/>
    <col min="524" max="524" width="11.85546875" style="73" customWidth="1"/>
    <col min="525" max="525" width="11.140625" style="73" customWidth="1"/>
    <col min="526" max="768" width="9.140625" style="73"/>
    <col min="769" max="769" width="6.28515625" style="73" customWidth="1"/>
    <col min="770" max="770" width="37.140625" style="73" customWidth="1"/>
    <col min="771" max="771" width="13" style="73" customWidth="1"/>
    <col min="772" max="772" width="9.5703125" style="73" customWidth="1"/>
    <col min="773" max="773" width="9.28515625" style="73" customWidth="1"/>
    <col min="774" max="774" width="17.5703125" style="73" customWidth="1"/>
    <col min="775" max="775" width="6.7109375" style="73" customWidth="1"/>
    <col min="776" max="776" width="12.140625" style="73" customWidth="1"/>
    <col min="777" max="778" width="9.140625" style="73"/>
    <col min="779" max="779" width="13.5703125" style="73" customWidth="1"/>
    <col min="780" max="780" width="11.85546875" style="73" customWidth="1"/>
    <col min="781" max="781" width="11.140625" style="73" customWidth="1"/>
    <col min="782" max="1024" width="9.140625" style="73"/>
    <col min="1025" max="1025" width="6.28515625" style="73" customWidth="1"/>
    <col min="1026" max="1026" width="37.140625" style="73" customWidth="1"/>
    <col min="1027" max="1027" width="13" style="73" customWidth="1"/>
    <col min="1028" max="1028" width="9.5703125" style="73" customWidth="1"/>
    <col min="1029" max="1029" width="9.28515625" style="73" customWidth="1"/>
    <col min="1030" max="1030" width="17.5703125" style="73" customWidth="1"/>
    <col min="1031" max="1031" width="6.7109375" style="73" customWidth="1"/>
    <col min="1032" max="1032" width="12.140625" style="73" customWidth="1"/>
    <col min="1033" max="1034" width="9.140625" style="73"/>
    <col min="1035" max="1035" width="13.5703125" style="73" customWidth="1"/>
    <col min="1036" max="1036" width="11.85546875" style="73" customWidth="1"/>
    <col min="1037" max="1037" width="11.140625" style="73" customWidth="1"/>
    <col min="1038" max="1280" width="9.140625" style="73"/>
    <col min="1281" max="1281" width="6.28515625" style="73" customWidth="1"/>
    <col min="1282" max="1282" width="37.140625" style="73" customWidth="1"/>
    <col min="1283" max="1283" width="13" style="73" customWidth="1"/>
    <col min="1284" max="1284" width="9.5703125" style="73" customWidth="1"/>
    <col min="1285" max="1285" width="9.28515625" style="73" customWidth="1"/>
    <col min="1286" max="1286" width="17.5703125" style="73" customWidth="1"/>
    <col min="1287" max="1287" width="6.7109375" style="73" customWidth="1"/>
    <col min="1288" max="1288" width="12.140625" style="73" customWidth="1"/>
    <col min="1289" max="1290" width="9.140625" style="73"/>
    <col min="1291" max="1291" width="13.5703125" style="73" customWidth="1"/>
    <col min="1292" max="1292" width="11.85546875" style="73" customWidth="1"/>
    <col min="1293" max="1293" width="11.140625" style="73" customWidth="1"/>
    <col min="1294" max="1536" width="9.140625" style="73"/>
    <col min="1537" max="1537" width="6.28515625" style="73" customWidth="1"/>
    <col min="1538" max="1538" width="37.140625" style="73" customWidth="1"/>
    <col min="1539" max="1539" width="13" style="73" customWidth="1"/>
    <col min="1540" max="1540" width="9.5703125" style="73" customWidth="1"/>
    <col min="1541" max="1541" width="9.28515625" style="73" customWidth="1"/>
    <col min="1542" max="1542" width="17.5703125" style="73" customWidth="1"/>
    <col min="1543" max="1543" width="6.7109375" style="73" customWidth="1"/>
    <col min="1544" max="1544" width="12.140625" style="73" customWidth="1"/>
    <col min="1545" max="1546" width="9.140625" style="73"/>
    <col min="1547" max="1547" width="13.5703125" style="73" customWidth="1"/>
    <col min="1548" max="1548" width="11.85546875" style="73" customWidth="1"/>
    <col min="1549" max="1549" width="11.140625" style="73" customWidth="1"/>
    <col min="1550" max="1792" width="9.140625" style="73"/>
    <col min="1793" max="1793" width="6.28515625" style="73" customWidth="1"/>
    <col min="1794" max="1794" width="37.140625" style="73" customWidth="1"/>
    <col min="1795" max="1795" width="13" style="73" customWidth="1"/>
    <col min="1796" max="1796" width="9.5703125" style="73" customWidth="1"/>
    <col min="1797" max="1797" width="9.28515625" style="73" customWidth="1"/>
    <col min="1798" max="1798" width="17.5703125" style="73" customWidth="1"/>
    <col min="1799" max="1799" width="6.7109375" style="73" customWidth="1"/>
    <col min="1800" max="1800" width="12.140625" style="73" customWidth="1"/>
    <col min="1801" max="1802" width="9.140625" style="73"/>
    <col min="1803" max="1803" width="13.5703125" style="73" customWidth="1"/>
    <col min="1804" max="1804" width="11.85546875" style="73" customWidth="1"/>
    <col min="1805" max="1805" width="11.140625" style="73" customWidth="1"/>
    <col min="1806" max="2048" width="9.140625" style="73"/>
    <col min="2049" max="2049" width="6.28515625" style="73" customWidth="1"/>
    <col min="2050" max="2050" width="37.140625" style="73" customWidth="1"/>
    <col min="2051" max="2051" width="13" style="73" customWidth="1"/>
    <col min="2052" max="2052" width="9.5703125" style="73" customWidth="1"/>
    <col min="2053" max="2053" width="9.28515625" style="73" customWidth="1"/>
    <col min="2054" max="2054" width="17.5703125" style="73" customWidth="1"/>
    <col min="2055" max="2055" width="6.7109375" style="73" customWidth="1"/>
    <col min="2056" max="2056" width="12.140625" style="73" customWidth="1"/>
    <col min="2057" max="2058" width="9.140625" style="73"/>
    <col min="2059" max="2059" width="13.5703125" style="73" customWidth="1"/>
    <col min="2060" max="2060" width="11.85546875" style="73" customWidth="1"/>
    <col min="2061" max="2061" width="11.140625" style="73" customWidth="1"/>
    <col min="2062" max="2304" width="9.140625" style="73"/>
    <col min="2305" max="2305" width="6.28515625" style="73" customWidth="1"/>
    <col min="2306" max="2306" width="37.140625" style="73" customWidth="1"/>
    <col min="2307" max="2307" width="13" style="73" customWidth="1"/>
    <col min="2308" max="2308" width="9.5703125" style="73" customWidth="1"/>
    <col min="2309" max="2309" width="9.28515625" style="73" customWidth="1"/>
    <col min="2310" max="2310" width="17.5703125" style="73" customWidth="1"/>
    <col min="2311" max="2311" width="6.7109375" style="73" customWidth="1"/>
    <col min="2312" max="2312" width="12.140625" style="73" customWidth="1"/>
    <col min="2313" max="2314" width="9.140625" style="73"/>
    <col min="2315" max="2315" width="13.5703125" style="73" customWidth="1"/>
    <col min="2316" max="2316" width="11.85546875" style="73" customWidth="1"/>
    <col min="2317" max="2317" width="11.140625" style="73" customWidth="1"/>
    <col min="2318" max="2560" width="9.140625" style="73"/>
    <col min="2561" max="2561" width="6.28515625" style="73" customWidth="1"/>
    <col min="2562" max="2562" width="37.140625" style="73" customWidth="1"/>
    <col min="2563" max="2563" width="13" style="73" customWidth="1"/>
    <col min="2564" max="2564" width="9.5703125" style="73" customWidth="1"/>
    <col min="2565" max="2565" width="9.28515625" style="73" customWidth="1"/>
    <col min="2566" max="2566" width="17.5703125" style="73" customWidth="1"/>
    <col min="2567" max="2567" width="6.7109375" style="73" customWidth="1"/>
    <col min="2568" max="2568" width="12.140625" style="73" customWidth="1"/>
    <col min="2569" max="2570" width="9.140625" style="73"/>
    <col min="2571" max="2571" width="13.5703125" style="73" customWidth="1"/>
    <col min="2572" max="2572" width="11.85546875" style="73" customWidth="1"/>
    <col min="2573" max="2573" width="11.140625" style="73" customWidth="1"/>
    <col min="2574" max="2816" width="9.140625" style="73"/>
    <col min="2817" max="2817" width="6.28515625" style="73" customWidth="1"/>
    <col min="2818" max="2818" width="37.140625" style="73" customWidth="1"/>
    <col min="2819" max="2819" width="13" style="73" customWidth="1"/>
    <col min="2820" max="2820" width="9.5703125" style="73" customWidth="1"/>
    <col min="2821" max="2821" width="9.28515625" style="73" customWidth="1"/>
    <col min="2822" max="2822" width="17.5703125" style="73" customWidth="1"/>
    <col min="2823" max="2823" width="6.7109375" style="73" customWidth="1"/>
    <col min="2824" max="2824" width="12.140625" style="73" customWidth="1"/>
    <col min="2825" max="2826" width="9.140625" style="73"/>
    <col min="2827" max="2827" width="13.5703125" style="73" customWidth="1"/>
    <col min="2828" max="2828" width="11.85546875" style="73" customWidth="1"/>
    <col min="2829" max="2829" width="11.140625" style="73" customWidth="1"/>
    <col min="2830" max="3072" width="9.140625" style="73"/>
    <col min="3073" max="3073" width="6.28515625" style="73" customWidth="1"/>
    <col min="3074" max="3074" width="37.140625" style="73" customWidth="1"/>
    <col min="3075" max="3075" width="13" style="73" customWidth="1"/>
    <col min="3076" max="3076" width="9.5703125" style="73" customWidth="1"/>
    <col min="3077" max="3077" width="9.28515625" style="73" customWidth="1"/>
    <col min="3078" max="3078" width="17.5703125" style="73" customWidth="1"/>
    <col min="3079" max="3079" width="6.7109375" style="73" customWidth="1"/>
    <col min="3080" max="3080" width="12.140625" style="73" customWidth="1"/>
    <col min="3081" max="3082" width="9.140625" style="73"/>
    <col min="3083" max="3083" width="13.5703125" style="73" customWidth="1"/>
    <col min="3084" max="3084" width="11.85546875" style="73" customWidth="1"/>
    <col min="3085" max="3085" width="11.140625" style="73" customWidth="1"/>
    <col min="3086" max="3328" width="9.140625" style="73"/>
    <col min="3329" max="3329" width="6.28515625" style="73" customWidth="1"/>
    <col min="3330" max="3330" width="37.140625" style="73" customWidth="1"/>
    <col min="3331" max="3331" width="13" style="73" customWidth="1"/>
    <col min="3332" max="3332" width="9.5703125" style="73" customWidth="1"/>
    <col min="3333" max="3333" width="9.28515625" style="73" customWidth="1"/>
    <col min="3334" max="3334" width="17.5703125" style="73" customWidth="1"/>
    <col min="3335" max="3335" width="6.7109375" style="73" customWidth="1"/>
    <col min="3336" max="3336" width="12.140625" style="73" customWidth="1"/>
    <col min="3337" max="3338" width="9.140625" style="73"/>
    <col min="3339" max="3339" width="13.5703125" style="73" customWidth="1"/>
    <col min="3340" max="3340" width="11.85546875" style="73" customWidth="1"/>
    <col min="3341" max="3341" width="11.140625" style="73" customWidth="1"/>
    <col min="3342" max="3584" width="9.140625" style="73"/>
    <col min="3585" max="3585" width="6.28515625" style="73" customWidth="1"/>
    <col min="3586" max="3586" width="37.140625" style="73" customWidth="1"/>
    <col min="3587" max="3587" width="13" style="73" customWidth="1"/>
    <col min="3588" max="3588" width="9.5703125" style="73" customWidth="1"/>
    <col min="3589" max="3589" width="9.28515625" style="73" customWidth="1"/>
    <col min="3590" max="3590" width="17.5703125" style="73" customWidth="1"/>
    <col min="3591" max="3591" width="6.7109375" style="73" customWidth="1"/>
    <col min="3592" max="3592" width="12.140625" style="73" customWidth="1"/>
    <col min="3593" max="3594" width="9.140625" style="73"/>
    <col min="3595" max="3595" width="13.5703125" style="73" customWidth="1"/>
    <col min="3596" max="3596" width="11.85546875" style="73" customWidth="1"/>
    <col min="3597" max="3597" width="11.140625" style="73" customWidth="1"/>
    <col min="3598" max="3840" width="9.140625" style="73"/>
    <col min="3841" max="3841" width="6.28515625" style="73" customWidth="1"/>
    <col min="3842" max="3842" width="37.140625" style="73" customWidth="1"/>
    <col min="3843" max="3843" width="13" style="73" customWidth="1"/>
    <col min="3844" max="3844" width="9.5703125" style="73" customWidth="1"/>
    <col min="3845" max="3845" width="9.28515625" style="73" customWidth="1"/>
    <col min="3846" max="3846" width="17.5703125" style="73" customWidth="1"/>
    <col min="3847" max="3847" width="6.7109375" style="73" customWidth="1"/>
    <col min="3848" max="3848" width="12.140625" style="73" customWidth="1"/>
    <col min="3849" max="3850" width="9.140625" style="73"/>
    <col min="3851" max="3851" width="13.5703125" style="73" customWidth="1"/>
    <col min="3852" max="3852" width="11.85546875" style="73" customWidth="1"/>
    <col min="3853" max="3853" width="11.140625" style="73" customWidth="1"/>
    <col min="3854" max="4096" width="9.140625" style="73"/>
    <col min="4097" max="4097" width="6.28515625" style="73" customWidth="1"/>
    <col min="4098" max="4098" width="37.140625" style="73" customWidth="1"/>
    <col min="4099" max="4099" width="13" style="73" customWidth="1"/>
    <col min="4100" max="4100" width="9.5703125" style="73" customWidth="1"/>
    <col min="4101" max="4101" width="9.28515625" style="73" customWidth="1"/>
    <col min="4102" max="4102" width="17.5703125" style="73" customWidth="1"/>
    <col min="4103" max="4103" width="6.7109375" style="73" customWidth="1"/>
    <col min="4104" max="4104" width="12.140625" style="73" customWidth="1"/>
    <col min="4105" max="4106" width="9.140625" style="73"/>
    <col min="4107" max="4107" width="13.5703125" style="73" customWidth="1"/>
    <col min="4108" max="4108" width="11.85546875" style="73" customWidth="1"/>
    <col min="4109" max="4109" width="11.140625" style="73" customWidth="1"/>
    <col min="4110" max="4352" width="9.140625" style="73"/>
    <col min="4353" max="4353" width="6.28515625" style="73" customWidth="1"/>
    <col min="4354" max="4354" width="37.140625" style="73" customWidth="1"/>
    <col min="4355" max="4355" width="13" style="73" customWidth="1"/>
    <col min="4356" max="4356" width="9.5703125" style="73" customWidth="1"/>
    <col min="4357" max="4357" width="9.28515625" style="73" customWidth="1"/>
    <col min="4358" max="4358" width="17.5703125" style="73" customWidth="1"/>
    <col min="4359" max="4359" width="6.7109375" style="73" customWidth="1"/>
    <col min="4360" max="4360" width="12.140625" style="73" customWidth="1"/>
    <col min="4361" max="4362" width="9.140625" style="73"/>
    <col min="4363" max="4363" width="13.5703125" style="73" customWidth="1"/>
    <col min="4364" max="4364" width="11.85546875" style="73" customWidth="1"/>
    <col min="4365" max="4365" width="11.140625" style="73" customWidth="1"/>
    <col min="4366" max="4608" width="9.140625" style="73"/>
    <col min="4609" max="4609" width="6.28515625" style="73" customWidth="1"/>
    <col min="4610" max="4610" width="37.140625" style="73" customWidth="1"/>
    <col min="4611" max="4611" width="13" style="73" customWidth="1"/>
    <col min="4612" max="4612" width="9.5703125" style="73" customWidth="1"/>
    <col min="4613" max="4613" width="9.28515625" style="73" customWidth="1"/>
    <col min="4614" max="4614" width="17.5703125" style="73" customWidth="1"/>
    <col min="4615" max="4615" width="6.7109375" style="73" customWidth="1"/>
    <col min="4616" max="4616" width="12.140625" style="73" customWidth="1"/>
    <col min="4617" max="4618" width="9.140625" style="73"/>
    <col min="4619" max="4619" width="13.5703125" style="73" customWidth="1"/>
    <col min="4620" max="4620" width="11.85546875" style="73" customWidth="1"/>
    <col min="4621" max="4621" width="11.140625" style="73" customWidth="1"/>
    <col min="4622" max="4864" width="9.140625" style="73"/>
    <col min="4865" max="4865" width="6.28515625" style="73" customWidth="1"/>
    <col min="4866" max="4866" width="37.140625" style="73" customWidth="1"/>
    <col min="4867" max="4867" width="13" style="73" customWidth="1"/>
    <col min="4868" max="4868" width="9.5703125" style="73" customWidth="1"/>
    <col min="4869" max="4869" width="9.28515625" style="73" customWidth="1"/>
    <col min="4870" max="4870" width="17.5703125" style="73" customWidth="1"/>
    <col min="4871" max="4871" width="6.7109375" style="73" customWidth="1"/>
    <col min="4872" max="4872" width="12.140625" style="73" customWidth="1"/>
    <col min="4873" max="4874" width="9.140625" style="73"/>
    <col min="4875" max="4875" width="13.5703125" style="73" customWidth="1"/>
    <col min="4876" max="4876" width="11.85546875" style="73" customWidth="1"/>
    <col min="4877" max="4877" width="11.140625" style="73" customWidth="1"/>
    <col min="4878" max="5120" width="9.140625" style="73"/>
    <col min="5121" max="5121" width="6.28515625" style="73" customWidth="1"/>
    <col min="5122" max="5122" width="37.140625" style="73" customWidth="1"/>
    <col min="5123" max="5123" width="13" style="73" customWidth="1"/>
    <col min="5124" max="5124" width="9.5703125" style="73" customWidth="1"/>
    <col min="5125" max="5125" width="9.28515625" style="73" customWidth="1"/>
    <col min="5126" max="5126" width="17.5703125" style="73" customWidth="1"/>
    <col min="5127" max="5127" width="6.7109375" style="73" customWidth="1"/>
    <col min="5128" max="5128" width="12.140625" style="73" customWidth="1"/>
    <col min="5129" max="5130" width="9.140625" style="73"/>
    <col min="5131" max="5131" width="13.5703125" style="73" customWidth="1"/>
    <col min="5132" max="5132" width="11.85546875" style="73" customWidth="1"/>
    <col min="5133" max="5133" width="11.140625" style="73" customWidth="1"/>
    <col min="5134" max="5376" width="9.140625" style="73"/>
    <col min="5377" max="5377" width="6.28515625" style="73" customWidth="1"/>
    <col min="5378" max="5378" width="37.140625" style="73" customWidth="1"/>
    <col min="5379" max="5379" width="13" style="73" customWidth="1"/>
    <col min="5380" max="5380" width="9.5703125" style="73" customWidth="1"/>
    <col min="5381" max="5381" width="9.28515625" style="73" customWidth="1"/>
    <col min="5382" max="5382" width="17.5703125" style="73" customWidth="1"/>
    <col min="5383" max="5383" width="6.7109375" style="73" customWidth="1"/>
    <col min="5384" max="5384" width="12.140625" style="73" customWidth="1"/>
    <col min="5385" max="5386" width="9.140625" style="73"/>
    <col min="5387" max="5387" width="13.5703125" style="73" customWidth="1"/>
    <col min="5388" max="5388" width="11.85546875" style="73" customWidth="1"/>
    <col min="5389" max="5389" width="11.140625" style="73" customWidth="1"/>
    <col min="5390" max="5632" width="9.140625" style="73"/>
    <col min="5633" max="5633" width="6.28515625" style="73" customWidth="1"/>
    <col min="5634" max="5634" width="37.140625" style="73" customWidth="1"/>
    <col min="5635" max="5635" width="13" style="73" customWidth="1"/>
    <col min="5636" max="5636" width="9.5703125" style="73" customWidth="1"/>
    <col min="5637" max="5637" width="9.28515625" style="73" customWidth="1"/>
    <col min="5638" max="5638" width="17.5703125" style="73" customWidth="1"/>
    <col min="5639" max="5639" width="6.7109375" style="73" customWidth="1"/>
    <col min="5640" max="5640" width="12.140625" style="73" customWidth="1"/>
    <col min="5641" max="5642" width="9.140625" style="73"/>
    <col min="5643" max="5643" width="13.5703125" style="73" customWidth="1"/>
    <col min="5644" max="5644" width="11.85546875" style="73" customWidth="1"/>
    <col min="5645" max="5645" width="11.140625" style="73" customWidth="1"/>
    <col min="5646" max="5888" width="9.140625" style="73"/>
    <col min="5889" max="5889" width="6.28515625" style="73" customWidth="1"/>
    <col min="5890" max="5890" width="37.140625" style="73" customWidth="1"/>
    <col min="5891" max="5891" width="13" style="73" customWidth="1"/>
    <col min="5892" max="5892" width="9.5703125" style="73" customWidth="1"/>
    <col min="5893" max="5893" width="9.28515625" style="73" customWidth="1"/>
    <col min="5894" max="5894" width="17.5703125" style="73" customWidth="1"/>
    <col min="5895" max="5895" width="6.7109375" style="73" customWidth="1"/>
    <col min="5896" max="5896" width="12.140625" style="73" customWidth="1"/>
    <col min="5897" max="5898" width="9.140625" style="73"/>
    <col min="5899" max="5899" width="13.5703125" style="73" customWidth="1"/>
    <col min="5900" max="5900" width="11.85546875" style="73" customWidth="1"/>
    <col min="5901" max="5901" width="11.140625" style="73" customWidth="1"/>
    <col min="5902" max="6144" width="9.140625" style="73"/>
    <col min="6145" max="6145" width="6.28515625" style="73" customWidth="1"/>
    <col min="6146" max="6146" width="37.140625" style="73" customWidth="1"/>
    <col min="6147" max="6147" width="13" style="73" customWidth="1"/>
    <col min="6148" max="6148" width="9.5703125" style="73" customWidth="1"/>
    <col min="6149" max="6149" width="9.28515625" style="73" customWidth="1"/>
    <col min="6150" max="6150" width="17.5703125" style="73" customWidth="1"/>
    <col min="6151" max="6151" width="6.7109375" style="73" customWidth="1"/>
    <col min="6152" max="6152" width="12.140625" style="73" customWidth="1"/>
    <col min="6153" max="6154" width="9.140625" style="73"/>
    <col min="6155" max="6155" width="13.5703125" style="73" customWidth="1"/>
    <col min="6156" max="6156" width="11.85546875" style="73" customWidth="1"/>
    <col min="6157" max="6157" width="11.140625" style="73" customWidth="1"/>
    <col min="6158" max="6400" width="9.140625" style="73"/>
    <col min="6401" max="6401" width="6.28515625" style="73" customWidth="1"/>
    <col min="6402" max="6402" width="37.140625" style="73" customWidth="1"/>
    <col min="6403" max="6403" width="13" style="73" customWidth="1"/>
    <col min="6404" max="6404" width="9.5703125" style="73" customWidth="1"/>
    <col min="6405" max="6405" width="9.28515625" style="73" customWidth="1"/>
    <col min="6406" max="6406" width="17.5703125" style="73" customWidth="1"/>
    <col min="6407" max="6407" width="6.7109375" style="73" customWidth="1"/>
    <col min="6408" max="6408" width="12.140625" style="73" customWidth="1"/>
    <col min="6409" max="6410" width="9.140625" style="73"/>
    <col min="6411" max="6411" width="13.5703125" style="73" customWidth="1"/>
    <col min="6412" max="6412" width="11.85546875" style="73" customWidth="1"/>
    <col min="6413" max="6413" width="11.140625" style="73" customWidth="1"/>
    <col min="6414" max="6656" width="9.140625" style="73"/>
    <col min="6657" max="6657" width="6.28515625" style="73" customWidth="1"/>
    <col min="6658" max="6658" width="37.140625" style="73" customWidth="1"/>
    <col min="6659" max="6659" width="13" style="73" customWidth="1"/>
    <col min="6660" max="6660" width="9.5703125" style="73" customWidth="1"/>
    <col min="6661" max="6661" width="9.28515625" style="73" customWidth="1"/>
    <col min="6662" max="6662" width="17.5703125" style="73" customWidth="1"/>
    <col min="6663" max="6663" width="6.7109375" style="73" customWidth="1"/>
    <col min="6664" max="6664" width="12.140625" style="73" customWidth="1"/>
    <col min="6665" max="6666" width="9.140625" style="73"/>
    <col min="6667" max="6667" width="13.5703125" style="73" customWidth="1"/>
    <col min="6668" max="6668" width="11.85546875" style="73" customWidth="1"/>
    <col min="6669" max="6669" width="11.140625" style="73" customWidth="1"/>
    <col min="6670" max="6912" width="9.140625" style="73"/>
    <col min="6913" max="6913" width="6.28515625" style="73" customWidth="1"/>
    <col min="6914" max="6914" width="37.140625" style="73" customWidth="1"/>
    <col min="6915" max="6915" width="13" style="73" customWidth="1"/>
    <col min="6916" max="6916" width="9.5703125" style="73" customWidth="1"/>
    <col min="6917" max="6917" width="9.28515625" style="73" customWidth="1"/>
    <col min="6918" max="6918" width="17.5703125" style="73" customWidth="1"/>
    <col min="6919" max="6919" width="6.7109375" style="73" customWidth="1"/>
    <col min="6920" max="6920" width="12.140625" style="73" customWidth="1"/>
    <col min="6921" max="6922" width="9.140625" style="73"/>
    <col min="6923" max="6923" width="13.5703125" style="73" customWidth="1"/>
    <col min="6924" max="6924" width="11.85546875" style="73" customWidth="1"/>
    <col min="6925" max="6925" width="11.140625" style="73" customWidth="1"/>
    <col min="6926" max="7168" width="9.140625" style="73"/>
    <col min="7169" max="7169" width="6.28515625" style="73" customWidth="1"/>
    <col min="7170" max="7170" width="37.140625" style="73" customWidth="1"/>
    <col min="7171" max="7171" width="13" style="73" customWidth="1"/>
    <col min="7172" max="7172" width="9.5703125" style="73" customWidth="1"/>
    <col min="7173" max="7173" width="9.28515625" style="73" customWidth="1"/>
    <col min="7174" max="7174" width="17.5703125" style="73" customWidth="1"/>
    <col min="7175" max="7175" width="6.7109375" style="73" customWidth="1"/>
    <col min="7176" max="7176" width="12.140625" style="73" customWidth="1"/>
    <col min="7177" max="7178" width="9.140625" style="73"/>
    <col min="7179" max="7179" width="13.5703125" style="73" customWidth="1"/>
    <col min="7180" max="7180" width="11.85546875" style="73" customWidth="1"/>
    <col min="7181" max="7181" width="11.140625" style="73" customWidth="1"/>
    <col min="7182" max="7424" width="9.140625" style="73"/>
    <col min="7425" max="7425" width="6.28515625" style="73" customWidth="1"/>
    <col min="7426" max="7426" width="37.140625" style="73" customWidth="1"/>
    <col min="7427" max="7427" width="13" style="73" customWidth="1"/>
    <col min="7428" max="7428" width="9.5703125" style="73" customWidth="1"/>
    <col min="7429" max="7429" width="9.28515625" style="73" customWidth="1"/>
    <col min="7430" max="7430" width="17.5703125" style="73" customWidth="1"/>
    <col min="7431" max="7431" width="6.7109375" style="73" customWidth="1"/>
    <col min="7432" max="7432" width="12.140625" style="73" customWidth="1"/>
    <col min="7433" max="7434" width="9.140625" style="73"/>
    <col min="7435" max="7435" width="13.5703125" style="73" customWidth="1"/>
    <col min="7436" max="7436" width="11.85546875" style="73" customWidth="1"/>
    <col min="7437" max="7437" width="11.140625" style="73" customWidth="1"/>
    <col min="7438" max="7680" width="9.140625" style="73"/>
    <col min="7681" max="7681" width="6.28515625" style="73" customWidth="1"/>
    <col min="7682" max="7682" width="37.140625" style="73" customWidth="1"/>
    <col min="7683" max="7683" width="13" style="73" customWidth="1"/>
    <col min="7684" max="7684" width="9.5703125" style="73" customWidth="1"/>
    <col min="7685" max="7685" width="9.28515625" style="73" customWidth="1"/>
    <col min="7686" max="7686" width="17.5703125" style="73" customWidth="1"/>
    <col min="7687" max="7687" width="6.7109375" style="73" customWidth="1"/>
    <col min="7688" max="7688" width="12.140625" style="73" customWidth="1"/>
    <col min="7689" max="7690" width="9.140625" style="73"/>
    <col min="7691" max="7691" width="13.5703125" style="73" customWidth="1"/>
    <col min="7692" max="7692" width="11.85546875" style="73" customWidth="1"/>
    <col min="7693" max="7693" width="11.140625" style="73" customWidth="1"/>
    <col min="7694" max="7936" width="9.140625" style="73"/>
    <col min="7937" max="7937" width="6.28515625" style="73" customWidth="1"/>
    <col min="7938" max="7938" width="37.140625" style="73" customWidth="1"/>
    <col min="7939" max="7939" width="13" style="73" customWidth="1"/>
    <col min="7940" max="7940" width="9.5703125" style="73" customWidth="1"/>
    <col min="7941" max="7941" width="9.28515625" style="73" customWidth="1"/>
    <col min="7942" max="7942" width="17.5703125" style="73" customWidth="1"/>
    <col min="7943" max="7943" width="6.7109375" style="73" customWidth="1"/>
    <col min="7944" max="7944" width="12.140625" style="73" customWidth="1"/>
    <col min="7945" max="7946" width="9.140625" style="73"/>
    <col min="7947" max="7947" width="13.5703125" style="73" customWidth="1"/>
    <col min="7948" max="7948" width="11.85546875" style="73" customWidth="1"/>
    <col min="7949" max="7949" width="11.140625" style="73" customWidth="1"/>
    <col min="7950" max="8192" width="9.140625" style="73"/>
    <col min="8193" max="8193" width="6.28515625" style="73" customWidth="1"/>
    <col min="8194" max="8194" width="37.140625" style="73" customWidth="1"/>
    <col min="8195" max="8195" width="13" style="73" customWidth="1"/>
    <col min="8196" max="8196" width="9.5703125" style="73" customWidth="1"/>
    <col min="8197" max="8197" width="9.28515625" style="73" customWidth="1"/>
    <col min="8198" max="8198" width="17.5703125" style="73" customWidth="1"/>
    <col min="8199" max="8199" width="6.7109375" style="73" customWidth="1"/>
    <col min="8200" max="8200" width="12.140625" style="73" customWidth="1"/>
    <col min="8201" max="8202" width="9.140625" style="73"/>
    <col min="8203" max="8203" width="13.5703125" style="73" customWidth="1"/>
    <col min="8204" max="8204" width="11.85546875" style="73" customWidth="1"/>
    <col min="8205" max="8205" width="11.140625" style="73" customWidth="1"/>
    <col min="8206" max="8448" width="9.140625" style="73"/>
    <col min="8449" max="8449" width="6.28515625" style="73" customWidth="1"/>
    <col min="8450" max="8450" width="37.140625" style="73" customWidth="1"/>
    <col min="8451" max="8451" width="13" style="73" customWidth="1"/>
    <col min="8452" max="8452" width="9.5703125" style="73" customWidth="1"/>
    <col min="8453" max="8453" width="9.28515625" style="73" customWidth="1"/>
    <col min="8454" max="8454" width="17.5703125" style="73" customWidth="1"/>
    <col min="8455" max="8455" width="6.7109375" style="73" customWidth="1"/>
    <col min="8456" max="8456" width="12.140625" style="73" customWidth="1"/>
    <col min="8457" max="8458" width="9.140625" style="73"/>
    <col min="8459" max="8459" width="13.5703125" style="73" customWidth="1"/>
    <col min="8460" max="8460" width="11.85546875" style="73" customWidth="1"/>
    <col min="8461" max="8461" width="11.140625" style="73" customWidth="1"/>
    <col min="8462" max="8704" width="9.140625" style="73"/>
    <col min="8705" max="8705" width="6.28515625" style="73" customWidth="1"/>
    <col min="8706" max="8706" width="37.140625" style="73" customWidth="1"/>
    <col min="8707" max="8707" width="13" style="73" customWidth="1"/>
    <col min="8708" max="8708" width="9.5703125" style="73" customWidth="1"/>
    <col min="8709" max="8709" width="9.28515625" style="73" customWidth="1"/>
    <col min="8710" max="8710" width="17.5703125" style="73" customWidth="1"/>
    <col min="8711" max="8711" width="6.7109375" style="73" customWidth="1"/>
    <col min="8712" max="8712" width="12.140625" style="73" customWidth="1"/>
    <col min="8713" max="8714" width="9.140625" style="73"/>
    <col min="8715" max="8715" width="13.5703125" style="73" customWidth="1"/>
    <col min="8716" max="8716" width="11.85546875" style="73" customWidth="1"/>
    <col min="8717" max="8717" width="11.140625" style="73" customWidth="1"/>
    <col min="8718" max="8960" width="9.140625" style="73"/>
    <col min="8961" max="8961" width="6.28515625" style="73" customWidth="1"/>
    <col min="8962" max="8962" width="37.140625" style="73" customWidth="1"/>
    <col min="8963" max="8963" width="13" style="73" customWidth="1"/>
    <col min="8964" max="8964" width="9.5703125" style="73" customWidth="1"/>
    <col min="8965" max="8965" width="9.28515625" style="73" customWidth="1"/>
    <col min="8966" max="8966" width="17.5703125" style="73" customWidth="1"/>
    <col min="8967" max="8967" width="6.7109375" style="73" customWidth="1"/>
    <col min="8968" max="8968" width="12.140625" style="73" customWidth="1"/>
    <col min="8969" max="8970" width="9.140625" style="73"/>
    <col min="8971" max="8971" width="13.5703125" style="73" customWidth="1"/>
    <col min="8972" max="8972" width="11.85546875" style="73" customWidth="1"/>
    <col min="8973" max="8973" width="11.140625" style="73" customWidth="1"/>
    <col min="8974" max="9216" width="9.140625" style="73"/>
    <col min="9217" max="9217" width="6.28515625" style="73" customWidth="1"/>
    <col min="9218" max="9218" width="37.140625" style="73" customWidth="1"/>
    <col min="9219" max="9219" width="13" style="73" customWidth="1"/>
    <col min="9220" max="9220" width="9.5703125" style="73" customWidth="1"/>
    <col min="9221" max="9221" width="9.28515625" style="73" customWidth="1"/>
    <col min="9222" max="9222" width="17.5703125" style="73" customWidth="1"/>
    <col min="9223" max="9223" width="6.7109375" style="73" customWidth="1"/>
    <col min="9224" max="9224" width="12.140625" style="73" customWidth="1"/>
    <col min="9225" max="9226" width="9.140625" style="73"/>
    <col min="9227" max="9227" width="13.5703125" style="73" customWidth="1"/>
    <col min="9228" max="9228" width="11.85546875" style="73" customWidth="1"/>
    <col min="9229" max="9229" width="11.140625" style="73" customWidth="1"/>
    <col min="9230" max="9472" width="9.140625" style="73"/>
    <col min="9473" max="9473" width="6.28515625" style="73" customWidth="1"/>
    <col min="9474" max="9474" width="37.140625" style="73" customWidth="1"/>
    <col min="9475" max="9475" width="13" style="73" customWidth="1"/>
    <col min="9476" max="9476" width="9.5703125" style="73" customWidth="1"/>
    <col min="9477" max="9477" width="9.28515625" style="73" customWidth="1"/>
    <col min="9478" max="9478" width="17.5703125" style="73" customWidth="1"/>
    <col min="9479" max="9479" width="6.7109375" style="73" customWidth="1"/>
    <col min="9480" max="9480" width="12.140625" style="73" customWidth="1"/>
    <col min="9481" max="9482" width="9.140625" style="73"/>
    <col min="9483" max="9483" width="13.5703125" style="73" customWidth="1"/>
    <col min="9484" max="9484" width="11.85546875" style="73" customWidth="1"/>
    <col min="9485" max="9485" width="11.140625" style="73" customWidth="1"/>
    <col min="9486" max="9728" width="9.140625" style="73"/>
    <col min="9729" max="9729" width="6.28515625" style="73" customWidth="1"/>
    <col min="9730" max="9730" width="37.140625" style="73" customWidth="1"/>
    <col min="9731" max="9731" width="13" style="73" customWidth="1"/>
    <col min="9732" max="9732" width="9.5703125" style="73" customWidth="1"/>
    <col min="9733" max="9733" width="9.28515625" style="73" customWidth="1"/>
    <col min="9734" max="9734" width="17.5703125" style="73" customWidth="1"/>
    <col min="9735" max="9735" width="6.7109375" style="73" customWidth="1"/>
    <col min="9736" max="9736" width="12.140625" style="73" customWidth="1"/>
    <col min="9737" max="9738" width="9.140625" style="73"/>
    <col min="9739" max="9739" width="13.5703125" style="73" customWidth="1"/>
    <col min="9740" max="9740" width="11.85546875" style="73" customWidth="1"/>
    <col min="9741" max="9741" width="11.140625" style="73" customWidth="1"/>
    <col min="9742" max="9984" width="9.140625" style="73"/>
    <col min="9985" max="9985" width="6.28515625" style="73" customWidth="1"/>
    <col min="9986" max="9986" width="37.140625" style="73" customWidth="1"/>
    <col min="9987" max="9987" width="13" style="73" customWidth="1"/>
    <col min="9988" max="9988" width="9.5703125" style="73" customWidth="1"/>
    <col min="9989" max="9989" width="9.28515625" style="73" customWidth="1"/>
    <col min="9990" max="9990" width="17.5703125" style="73" customWidth="1"/>
    <col min="9991" max="9991" width="6.7109375" style="73" customWidth="1"/>
    <col min="9992" max="9992" width="12.140625" style="73" customWidth="1"/>
    <col min="9993" max="9994" width="9.140625" style="73"/>
    <col min="9995" max="9995" width="13.5703125" style="73" customWidth="1"/>
    <col min="9996" max="9996" width="11.85546875" style="73" customWidth="1"/>
    <col min="9997" max="9997" width="11.140625" style="73" customWidth="1"/>
    <col min="9998" max="10240" width="9.140625" style="73"/>
    <col min="10241" max="10241" width="6.28515625" style="73" customWidth="1"/>
    <col min="10242" max="10242" width="37.140625" style="73" customWidth="1"/>
    <col min="10243" max="10243" width="13" style="73" customWidth="1"/>
    <col min="10244" max="10244" width="9.5703125" style="73" customWidth="1"/>
    <col min="10245" max="10245" width="9.28515625" style="73" customWidth="1"/>
    <col min="10246" max="10246" width="17.5703125" style="73" customWidth="1"/>
    <col min="10247" max="10247" width="6.7109375" style="73" customWidth="1"/>
    <col min="10248" max="10248" width="12.140625" style="73" customWidth="1"/>
    <col min="10249" max="10250" width="9.140625" style="73"/>
    <col min="10251" max="10251" width="13.5703125" style="73" customWidth="1"/>
    <col min="10252" max="10252" width="11.85546875" style="73" customWidth="1"/>
    <col min="10253" max="10253" width="11.140625" style="73" customWidth="1"/>
    <col min="10254" max="10496" width="9.140625" style="73"/>
    <col min="10497" max="10497" width="6.28515625" style="73" customWidth="1"/>
    <col min="10498" max="10498" width="37.140625" style="73" customWidth="1"/>
    <col min="10499" max="10499" width="13" style="73" customWidth="1"/>
    <col min="10500" max="10500" width="9.5703125" style="73" customWidth="1"/>
    <col min="10501" max="10501" width="9.28515625" style="73" customWidth="1"/>
    <col min="10502" max="10502" width="17.5703125" style="73" customWidth="1"/>
    <col min="10503" max="10503" width="6.7109375" style="73" customWidth="1"/>
    <col min="10504" max="10504" width="12.140625" style="73" customWidth="1"/>
    <col min="10505" max="10506" width="9.140625" style="73"/>
    <col min="10507" max="10507" width="13.5703125" style="73" customWidth="1"/>
    <col min="10508" max="10508" width="11.85546875" style="73" customWidth="1"/>
    <col min="10509" max="10509" width="11.140625" style="73" customWidth="1"/>
    <col min="10510" max="10752" width="9.140625" style="73"/>
    <col min="10753" max="10753" width="6.28515625" style="73" customWidth="1"/>
    <col min="10754" max="10754" width="37.140625" style="73" customWidth="1"/>
    <col min="10755" max="10755" width="13" style="73" customWidth="1"/>
    <col min="10756" max="10756" width="9.5703125" style="73" customWidth="1"/>
    <col min="10757" max="10757" width="9.28515625" style="73" customWidth="1"/>
    <col min="10758" max="10758" width="17.5703125" style="73" customWidth="1"/>
    <col min="10759" max="10759" width="6.7109375" style="73" customWidth="1"/>
    <col min="10760" max="10760" width="12.140625" style="73" customWidth="1"/>
    <col min="10761" max="10762" width="9.140625" style="73"/>
    <col min="10763" max="10763" width="13.5703125" style="73" customWidth="1"/>
    <col min="10764" max="10764" width="11.85546875" style="73" customWidth="1"/>
    <col min="10765" max="10765" width="11.140625" style="73" customWidth="1"/>
    <col min="10766" max="11008" width="9.140625" style="73"/>
    <col min="11009" max="11009" width="6.28515625" style="73" customWidth="1"/>
    <col min="11010" max="11010" width="37.140625" style="73" customWidth="1"/>
    <col min="11011" max="11011" width="13" style="73" customWidth="1"/>
    <col min="11012" max="11012" width="9.5703125" style="73" customWidth="1"/>
    <col min="11013" max="11013" width="9.28515625" style="73" customWidth="1"/>
    <col min="11014" max="11014" width="17.5703125" style="73" customWidth="1"/>
    <col min="11015" max="11015" width="6.7109375" style="73" customWidth="1"/>
    <col min="11016" max="11016" width="12.140625" style="73" customWidth="1"/>
    <col min="11017" max="11018" width="9.140625" style="73"/>
    <col min="11019" max="11019" width="13.5703125" style="73" customWidth="1"/>
    <col min="11020" max="11020" width="11.85546875" style="73" customWidth="1"/>
    <col min="11021" max="11021" width="11.140625" style="73" customWidth="1"/>
    <col min="11022" max="11264" width="9.140625" style="73"/>
    <col min="11265" max="11265" width="6.28515625" style="73" customWidth="1"/>
    <col min="11266" max="11266" width="37.140625" style="73" customWidth="1"/>
    <col min="11267" max="11267" width="13" style="73" customWidth="1"/>
    <col min="11268" max="11268" width="9.5703125" style="73" customWidth="1"/>
    <col min="11269" max="11269" width="9.28515625" style="73" customWidth="1"/>
    <col min="11270" max="11270" width="17.5703125" style="73" customWidth="1"/>
    <col min="11271" max="11271" width="6.7109375" style="73" customWidth="1"/>
    <col min="11272" max="11272" width="12.140625" style="73" customWidth="1"/>
    <col min="11273" max="11274" width="9.140625" style="73"/>
    <col min="11275" max="11275" width="13.5703125" style="73" customWidth="1"/>
    <col min="11276" max="11276" width="11.85546875" style="73" customWidth="1"/>
    <col min="11277" max="11277" width="11.140625" style="73" customWidth="1"/>
    <col min="11278" max="11520" width="9.140625" style="73"/>
    <col min="11521" max="11521" width="6.28515625" style="73" customWidth="1"/>
    <col min="11522" max="11522" width="37.140625" style="73" customWidth="1"/>
    <col min="11523" max="11523" width="13" style="73" customWidth="1"/>
    <col min="11524" max="11524" width="9.5703125" style="73" customWidth="1"/>
    <col min="11525" max="11525" width="9.28515625" style="73" customWidth="1"/>
    <col min="11526" max="11526" width="17.5703125" style="73" customWidth="1"/>
    <col min="11527" max="11527" width="6.7109375" style="73" customWidth="1"/>
    <col min="11528" max="11528" width="12.140625" style="73" customWidth="1"/>
    <col min="11529" max="11530" width="9.140625" style="73"/>
    <col min="11531" max="11531" width="13.5703125" style="73" customWidth="1"/>
    <col min="11532" max="11532" width="11.85546875" style="73" customWidth="1"/>
    <col min="11533" max="11533" width="11.140625" style="73" customWidth="1"/>
    <col min="11534" max="11776" width="9.140625" style="73"/>
    <col min="11777" max="11777" width="6.28515625" style="73" customWidth="1"/>
    <col min="11778" max="11778" width="37.140625" style="73" customWidth="1"/>
    <col min="11779" max="11779" width="13" style="73" customWidth="1"/>
    <col min="11780" max="11780" width="9.5703125" style="73" customWidth="1"/>
    <col min="11781" max="11781" width="9.28515625" style="73" customWidth="1"/>
    <col min="11782" max="11782" width="17.5703125" style="73" customWidth="1"/>
    <col min="11783" max="11783" width="6.7109375" style="73" customWidth="1"/>
    <col min="11784" max="11784" width="12.140625" style="73" customWidth="1"/>
    <col min="11785" max="11786" width="9.140625" style="73"/>
    <col min="11787" max="11787" width="13.5703125" style="73" customWidth="1"/>
    <col min="11788" max="11788" width="11.85546875" style="73" customWidth="1"/>
    <col min="11789" max="11789" width="11.140625" style="73" customWidth="1"/>
    <col min="11790" max="12032" width="9.140625" style="73"/>
    <col min="12033" max="12033" width="6.28515625" style="73" customWidth="1"/>
    <col min="12034" max="12034" width="37.140625" style="73" customWidth="1"/>
    <col min="12035" max="12035" width="13" style="73" customWidth="1"/>
    <col min="12036" max="12036" width="9.5703125" style="73" customWidth="1"/>
    <col min="12037" max="12037" width="9.28515625" style="73" customWidth="1"/>
    <col min="12038" max="12038" width="17.5703125" style="73" customWidth="1"/>
    <col min="12039" max="12039" width="6.7109375" style="73" customWidth="1"/>
    <col min="12040" max="12040" width="12.140625" style="73" customWidth="1"/>
    <col min="12041" max="12042" width="9.140625" style="73"/>
    <col min="12043" max="12043" width="13.5703125" style="73" customWidth="1"/>
    <col min="12044" max="12044" width="11.85546875" style="73" customWidth="1"/>
    <col min="12045" max="12045" width="11.140625" style="73" customWidth="1"/>
    <col min="12046" max="12288" width="9.140625" style="73"/>
    <col min="12289" max="12289" width="6.28515625" style="73" customWidth="1"/>
    <col min="12290" max="12290" width="37.140625" style="73" customWidth="1"/>
    <col min="12291" max="12291" width="13" style="73" customWidth="1"/>
    <col min="12292" max="12292" width="9.5703125" style="73" customWidth="1"/>
    <col min="12293" max="12293" width="9.28515625" style="73" customWidth="1"/>
    <col min="12294" max="12294" width="17.5703125" style="73" customWidth="1"/>
    <col min="12295" max="12295" width="6.7109375" style="73" customWidth="1"/>
    <col min="12296" max="12296" width="12.140625" style="73" customWidth="1"/>
    <col min="12297" max="12298" width="9.140625" style="73"/>
    <col min="12299" max="12299" width="13.5703125" style="73" customWidth="1"/>
    <col min="12300" max="12300" width="11.85546875" style="73" customWidth="1"/>
    <col min="12301" max="12301" width="11.140625" style="73" customWidth="1"/>
    <col min="12302" max="12544" width="9.140625" style="73"/>
    <col min="12545" max="12545" width="6.28515625" style="73" customWidth="1"/>
    <col min="12546" max="12546" width="37.140625" style="73" customWidth="1"/>
    <col min="12547" max="12547" width="13" style="73" customWidth="1"/>
    <col min="12548" max="12548" width="9.5703125" style="73" customWidth="1"/>
    <col min="12549" max="12549" width="9.28515625" style="73" customWidth="1"/>
    <col min="12550" max="12550" width="17.5703125" style="73" customWidth="1"/>
    <col min="12551" max="12551" width="6.7109375" style="73" customWidth="1"/>
    <col min="12552" max="12552" width="12.140625" style="73" customWidth="1"/>
    <col min="12553" max="12554" width="9.140625" style="73"/>
    <col min="12555" max="12555" width="13.5703125" style="73" customWidth="1"/>
    <col min="12556" max="12556" width="11.85546875" style="73" customWidth="1"/>
    <col min="12557" max="12557" width="11.140625" style="73" customWidth="1"/>
    <col min="12558" max="12800" width="9.140625" style="73"/>
    <col min="12801" max="12801" width="6.28515625" style="73" customWidth="1"/>
    <col min="12802" max="12802" width="37.140625" style="73" customWidth="1"/>
    <col min="12803" max="12803" width="13" style="73" customWidth="1"/>
    <col min="12804" max="12804" width="9.5703125" style="73" customWidth="1"/>
    <col min="12805" max="12805" width="9.28515625" style="73" customWidth="1"/>
    <col min="12806" max="12806" width="17.5703125" style="73" customWidth="1"/>
    <col min="12807" max="12807" width="6.7109375" style="73" customWidth="1"/>
    <col min="12808" max="12808" width="12.140625" style="73" customWidth="1"/>
    <col min="12809" max="12810" width="9.140625" style="73"/>
    <col min="12811" max="12811" width="13.5703125" style="73" customWidth="1"/>
    <col min="12812" max="12812" width="11.85546875" style="73" customWidth="1"/>
    <col min="12813" max="12813" width="11.140625" style="73" customWidth="1"/>
    <col min="12814" max="13056" width="9.140625" style="73"/>
    <col min="13057" max="13057" width="6.28515625" style="73" customWidth="1"/>
    <col min="13058" max="13058" width="37.140625" style="73" customWidth="1"/>
    <col min="13059" max="13059" width="13" style="73" customWidth="1"/>
    <col min="13060" max="13060" width="9.5703125" style="73" customWidth="1"/>
    <col min="13061" max="13061" width="9.28515625" style="73" customWidth="1"/>
    <col min="13062" max="13062" width="17.5703125" style="73" customWidth="1"/>
    <col min="13063" max="13063" width="6.7109375" style="73" customWidth="1"/>
    <col min="13064" max="13064" width="12.140625" style="73" customWidth="1"/>
    <col min="13065" max="13066" width="9.140625" style="73"/>
    <col min="13067" max="13067" width="13.5703125" style="73" customWidth="1"/>
    <col min="13068" max="13068" width="11.85546875" style="73" customWidth="1"/>
    <col min="13069" max="13069" width="11.140625" style="73" customWidth="1"/>
    <col min="13070" max="13312" width="9.140625" style="73"/>
    <col min="13313" max="13313" width="6.28515625" style="73" customWidth="1"/>
    <col min="13314" max="13314" width="37.140625" style="73" customWidth="1"/>
    <col min="13315" max="13315" width="13" style="73" customWidth="1"/>
    <col min="13316" max="13316" width="9.5703125" style="73" customWidth="1"/>
    <col min="13317" max="13317" width="9.28515625" style="73" customWidth="1"/>
    <col min="13318" max="13318" width="17.5703125" style="73" customWidth="1"/>
    <col min="13319" max="13319" width="6.7109375" style="73" customWidth="1"/>
    <col min="13320" max="13320" width="12.140625" style="73" customWidth="1"/>
    <col min="13321" max="13322" width="9.140625" style="73"/>
    <col min="13323" max="13323" width="13.5703125" style="73" customWidth="1"/>
    <col min="13324" max="13324" width="11.85546875" style="73" customWidth="1"/>
    <col min="13325" max="13325" width="11.140625" style="73" customWidth="1"/>
    <col min="13326" max="13568" width="9.140625" style="73"/>
    <col min="13569" max="13569" width="6.28515625" style="73" customWidth="1"/>
    <col min="13570" max="13570" width="37.140625" style="73" customWidth="1"/>
    <col min="13571" max="13571" width="13" style="73" customWidth="1"/>
    <col min="13572" max="13572" width="9.5703125" style="73" customWidth="1"/>
    <col min="13573" max="13573" width="9.28515625" style="73" customWidth="1"/>
    <col min="13574" max="13574" width="17.5703125" style="73" customWidth="1"/>
    <col min="13575" max="13575" width="6.7109375" style="73" customWidth="1"/>
    <col min="13576" max="13576" width="12.140625" style="73" customWidth="1"/>
    <col min="13577" max="13578" width="9.140625" style="73"/>
    <col min="13579" max="13579" width="13.5703125" style="73" customWidth="1"/>
    <col min="13580" max="13580" width="11.85546875" style="73" customWidth="1"/>
    <col min="13581" max="13581" width="11.140625" style="73" customWidth="1"/>
    <col min="13582" max="13824" width="9.140625" style="73"/>
    <col min="13825" max="13825" width="6.28515625" style="73" customWidth="1"/>
    <col min="13826" max="13826" width="37.140625" style="73" customWidth="1"/>
    <col min="13827" max="13827" width="13" style="73" customWidth="1"/>
    <col min="13828" max="13828" width="9.5703125" style="73" customWidth="1"/>
    <col min="13829" max="13829" width="9.28515625" style="73" customWidth="1"/>
    <col min="13830" max="13830" width="17.5703125" style="73" customWidth="1"/>
    <col min="13831" max="13831" width="6.7109375" style="73" customWidth="1"/>
    <col min="13832" max="13832" width="12.140625" style="73" customWidth="1"/>
    <col min="13833" max="13834" width="9.140625" style="73"/>
    <col min="13835" max="13835" width="13.5703125" style="73" customWidth="1"/>
    <col min="13836" max="13836" width="11.85546875" style="73" customWidth="1"/>
    <col min="13837" max="13837" width="11.140625" style="73" customWidth="1"/>
    <col min="13838" max="14080" width="9.140625" style="73"/>
    <col min="14081" max="14081" width="6.28515625" style="73" customWidth="1"/>
    <col min="14082" max="14082" width="37.140625" style="73" customWidth="1"/>
    <col min="14083" max="14083" width="13" style="73" customWidth="1"/>
    <col min="14084" max="14084" width="9.5703125" style="73" customWidth="1"/>
    <col min="14085" max="14085" width="9.28515625" style="73" customWidth="1"/>
    <col min="14086" max="14086" width="17.5703125" style="73" customWidth="1"/>
    <col min="14087" max="14087" width="6.7109375" style="73" customWidth="1"/>
    <col min="14088" max="14088" width="12.140625" style="73" customWidth="1"/>
    <col min="14089" max="14090" width="9.140625" style="73"/>
    <col min="14091" max="14091" width="13.5703125" style="73" customWidth="1"/>
    <col min="14092" max="14092" width="11.85546875" style="73" customWidth="1"/>
    <col min="14093" max="14093" width="11.140625" style="73" customWidth="1"/>
    <col min="14094" max="14336" width="9.140625" style="73"/>
    <col min="14337" max="14337" width="6.28515625" style="73" customWidth="1"/>
    <col min="14338" max="14338" width="37.140625" style="73" customWidth="1"/>
    <col min="14339" max="14339" width="13" style="73" customWidth="1"/>
    <col min="14340" max="14340" width="9.5703125" style="73" customWidth="1"/>
    <col min="14341" max="14341" width="9.28515625" style="73" customWidth="1"/>
    <col min="14342" max="14342" width="17.5703125" style="73" customWidth="1"/>
    <col min="14343" max="14343" width="6.7109375" style="73" customWidth="1"/>
    <col min="14344" max="14344" width="12.140625" style="73" customWidth="1"/>
    <col min="14345" max="14346" width="9.140625" style="73"/>
    <col min="14347" max="14347" width="13.5703125" style="73" customWidth="1"/>
    <col min="14348" max="14348" width="11.85546875" style="73" customWidth="1"/>
    <col min="14349" max="14349" width="11.140625" style="73" customWidth="1"/>
    <col min="14350" max="14592" width="9.140625" style="73"/>
    <col min="14593" max="14593" width="6.28515625" style="73" customWidth="1"/>
    <col min="14594" max="14594" width="37.140625" style="73" customWidth="1"/>
    <col min="14595" max="14595" width="13" style="73" customWidth="1"/>
    <col min="14596" max="14596" width="9.5703125" style="73" customWidth="1"/>
    <col min="14597" max="14597" width="9.28515625" style="73" customWidth="1"/>
    <col min="14598" max="14598" width="17.5703125" style="73" customWidth="1"/>
    <col min="14599" max="14599" width="6.7109375" style="73" customWidth="1"/>
    <col min="14600" max="14600" width="12.140625" style="73" customWidth="1"/>
    <col min="14601" max="14602" width="9.140625" style="73"/>
    <col min="14603" max="14603" width="13.5703125" style="73" customWidth="1"/>
    <col min="14604" max="14604" width="11.85546875" style="73" customWidth="1"/>
    <col min="14605" max="14605" width="11.140625" style="73" customWidth="1"/>
    <col min="14606" max="14848" width="9.140625" style="73"/>
    <col min="14849" max="14849" width="6.28515625" style="73" customWidth="1"/>
    <col min="14850" max="14850" width="37.140625" style="73" customWidth="1"/>
    <col min="14851" max="14851" width="13" style="73" customWidth="1"/>
    <col min="14852" max="14852" width="9.5703125" style="73" customWidth="1"/>
    <col min="14853" max="14853" width="9.28515625" style="73" customWidth="1"/>
    <col min="14854" max="14854" width="17.5703125" style="73" customWidth="1"/>
    <col min="14855" max="14855" width="6.7109375" style="73" customWidth="1"/>
    <col min="14856" max="14856" width="12.140625" style="73" customWidth="1"/>
    <col min="14857" max="14858" width="9.140625" style="73"/>
    <col min="14859" max="14859" width="13.5703125" style="73" customWidth="1"/>
    <col min="14860" max="14860" width="11.85546875" style="73" customWidth="1"/>
    <col min="14861" max="14861" width="11.140625" style="73" customWidth="1"/>
    <col min="14862" max="15104" width="9.140625" style="73"/>
    <col min="15105" max="15105" width="6.28515625" style="73" customWidth="1"/>
    <col min="15106" max="15106" width="37.140625" style="73" customWidth="1"/>
    <col min="15107" max="15107" width="13" style="73" customWidth="1"/>
    <col min="15108" max="15108" width="9.5703125" style="73" customWidth="1"/>
    <col min="15109" max="15109" width="9.28515625" style="73" customWidth="1"/>
    <col min="15110" max="15110" width="17.5703125" style="73" customWidth="1"/>
    <col min="15111" max="15111" width="6.7109375" style="73" customWidth="1"/>
    <col min="15112" max="15112" width="12.140625" style="73" customWidth="1"/>
    <col min="15113" max="15114" width="9.140625" style="73"/>
    <col min="15115" max="15115" width="13.5703125" style="73" customWidth="1"/>
    <col min="15116" max="15116" width="11.85546875" style="73" customWidth="1"/>
    <col min="15117" max="15117" width="11.140625" style="73" customWidth="1"/>
    <col min="15118" max="15360" width="9.140625" style="73"/>
    <col min="15361" max="15361" width="6.28515625" style="73" customWidth="1"/>
    <col min="15362" max="15362" width="37.140625" style="73" customWidth="1"/>
    <col min="15363" max="15363" width="13" style="73" customWidth="1"/>
    <col min="15364" max="15364" width="9.5703125" style="73" customWidth="1"/>
    <col min="15365" max="15365" width="9.28515625" style="73" customWidth="1"/>
    <col min="15366" max="15366" width="17.5703125" style="73" customWidth="1"/>
    <col min="15367" max="15367" width="6.7109375" style="73" customWidth="1"/>
    <col min="15368" max="15368" width="12.140625" style="73" customWidth="1"/>
    <col min="15369" max="15370" width="9.140625" style="73"/>
    <col min="15371" max="15371" width="13.5703125" style="73" customWidth="1"/>
    <col min="15372" max="15372" width="11.85546875" style="73" customWidth="1"/>
    <col min="15373" max="15373" width="11.140625" style="73" customWidth="1"/>
    <col min="15374" max="15616" width="9.140625" style="73"/>
    <col min="15617" max="15617" width="6.28515625" style="73" customWidth="1"/>
    <col min="15618" max="15618" width="37.140625" style="73" customWidth="1"/>
    <col min="15619" max="15619" width="13" style="73" customWidth="1"/>
    <col min="15620" max="15620" width="9.5703125" style="73" customWidth="1"/>
    <col min="15621" max="15621" width="9.28515625" style="73" customWidth="1"/>
    <col min="15622" max="15622" width="17.5703125" style="73" customWidth="1"/>
    <col min="15623" max="15623" width="6.7109375" style="73" customWidth="1"/>
    <col min="15624" max="15624" width="12.140625" style="73" customWidth="1"/>
    <col min="15625" max="15626" width="9.140625" style="73"/>
    <col min="15627" max="15627" width="13.5703125" style="73" customWidth="1"/>
    <col min="15628" max="15628" width="11.85546875" style="73" customWidth="1"/>
    <col min="15629" max="15629" width="11.140625" style="73" customWidth="1"/>
    <col min="15630" max="15872" width="9.140625" style="73"/>
    <col min="15873" max="15873" width="6.28515625" style="73" customWidth="1"/>
    <col min="15874" max="15874" width="37.140625" style="73" customWidth="1"/>
    <col min="15875" max="15875" width="13" style="73" customWidth="1"/>
    <col min="15876" max="15876" width="9.5703125" style="73" customWidth="1"/>
    <col min="15877" max="15877" width="9.28515625" style="73" customWidth="1"/>
    <col min="15878" max="15878" width="17.5703125" style="73" customWidth="1"/>
    <col min="15879" max="15879" width="6.7109375" style="73" customWidth="1"/>
    <col min="15880" max="15880" width="12.140625" style="73" customWidth="1"/>
    <col min="15881" max="15882" width="9.140625" style="73"/>
    <col min="15883" max="15883" width="13.5703125" style="73" customWidth="1"/>
    <col min="15884" max="15884" width="11.85546875" style="73" customWidth="1"/>
    <col min="15885" max="15885" width="11.140625" style="73" customWidth="1"/>
    <col min="15886" max="16128" width="9.140625" style="73"/>
    <col min="16129" max="16129" width="6.28515625" style="73" customWidth="1"/>
    <col min="16130" max="16130" width="37.140625" style="73" customWidth="1"/>
    <col min="16131" max="16131" width="13" style="73" customWidth="1"/>
    <col min="16132" max="16132" width="9.5703125" style="73" customWidth="1"/>
    <col min="16133" max="16133" width="9.28515625" style="73" customWidth="1"/>
    <col min="16134" max="16134" width="17.5703125" style="73" customWidth="1"/>
    <col min="16135" max="16135" width="6.7109375" style="73" customWidth="1"/>
    <col min="16136" max="16136" width="12.140625" style="73" customWidth="1"/>
    <col min="16137" max="16138" width="9.140625" style="73"/>
    <col min="16139" max="16139" width="13.5703125" style="73" customWidth="1"/>
    <col min="16140" max="16140" width="11.85546875" style="73" customWidth="1"/>
    <col min="16141" max="16141" width="11.140625" style="73" customWidth="1"/>
    <col min="16142" max="16384" width="9.140625" style="73"/>
  </cols>
  <sheetData>
    <row r="1" spans="1:13">
      <c r="A1" s="1220" t="s">
        <v>302</v>
      </c>
      <c r="B1" s="1220"/>
      <c r="C1" s="1220"/>
      <c r="D1" s="1220"/>
      <c r="E1" s="1220"/>
      <c r="F1" s="1220"/>
      <c r="G1" s="1220"/>
    </row>
    <row r="2" spans="1:13" ht="13.15" customHeight="1">
      <c r="A2" s="1221"/>
      <c r="B2" s="1221"/>
      <c r="C2" s="1219"/>
      <c r="D2" s="1219"/>
      <c r="E2" s="1219"/>
      <c r="F2" s="1219"/>
      <c r="G2" s="1219"/>
      <c r="H2" s="84"/>
      <c r="K2" s="93" t="s">
        <v>276</v>
      </c>
      <c r="L2" s="75" t="s">
        <v>277</v>
      </c>
      <c r="M2" s="75" t="s">
        <v>278</v>
      </c>
    </row>
    <row r="3" spans="1:13" ht="13.9" customHeight="1">
      <c r="A3" s="1221" t="s">
        <v>161</v>
      </c>
      <c r="B3" s="1221"/>
      <c r="C3" s="1221" t="s">
        <v>295</v>
      </c>
      <c r="D3" s="1221"/>
      <c r="E3" s="1221"/>
      <c r="F3" s="1221"/>
      <c r="G3" s="1221"/>
      <c r="H3" s="84"/>
      <c r="K3" s="94" t="s">
        <v>279</v>
      </c>
      <c r="L3" s="78"/>
      <c r="M3" s="78">
        <f>L3/60</f>
        <v>0</v>
      </c>
    </row>
    <row r="4" spans="1:13" ht="12.6" customHeight="1">
      <c r="A4" s="552" t="s">
        <v>287</v>
      </c>
      <c r="B4" s="84"/>
      <c r="C4" s="1219" t="s">
        <v>285</v>
      </c>
      <c r="D4" s="1219"/>
      <c r="E4" s="1219"/>
      <c r="F4" s="1219"/>
      <c r="G4" s="1219"/>
      <c r="H4" s="84"/>
      <c r="K4" s="94" t="s">
        <v>280</v>
      </c>
      <c r="L4" s="78"/>
      <c r="M4" s="78">
        <f>L4/60</f>
        <v>0</v>
      </c>
    </row>
    <row r="5" spans="1:13" ht="12" customHeight="1">
      <c r="A5" s="552" t="s">
        <v>291</v>
      </c>
      <c r="B5" s="552"/>
      <c r="C5" s="1219" t="str">
        <f>[3]Тариф!C38</f>
        <v>Ремонтні роботи зовнішні</v>
      </c>
      <c r="D5" s="1219"/>
      <c r="E5" s="1219"/>
      <c r="F5" s="1219"/>
      <c r="G5" s="1219"/>
      <c r="H5" s="84"/>
      <c r="K5" s="94"/>
      <c r="L5" s="78"/>
      <c r="M5" s="78"/>
    </row>
    <row r="6" spans="1:13" ht="14.45" customHeight="1">
      <c r="A6" s="1203" t="s">
        <v>874</v>
      </c>
      <c r="B6" s="1203"/>
      <c r="C6" s="84"/>
      <c r="D6" s="84"/>
      <c r="E6" s="84"/>
      <c r="F6" s="84"/>
      <c r="G6" s="84"/>
      <c r="H6" s="84"/>
      <c r="K6" s="94" t="s">
        <v>281</v>
      </c>
      <c r="L6" s="78">
        <f>E25</f>
        <v>98.87</v>
      </c>
      <c r="M6" s="78">
        <f>L6/60</f>
        <v>1.6478333333333335</v>
      </c>
    </row>
    <row r="7" spans="1:13" ht="13.9" customHeight="1">
      <c r="A7" s="73" t="s">
        <v>812</v>
      </c>
      <c r="B7" s="568"/>
      <c r="C7" s="567"/>
      <c r="D7" s="567"/>
      <c r="E7" s="567"/>
      <c r="F7" s="567"/>
      <c r="G7" s="567"/>
      <c r="H7" s="567"/>
      <c r="K7" s="94" t="s">
        <v>282</v>
      </c>
      <c r="L7" s="78">
        <f>E25</f>
        <v>98.87</v>
      </c>
      <c r="M7" s="78">
        <f>L7/60</f>
        <v>1.6478333333333335</v>
      </c>
    </row>
    <row r="8" spans="1:13" ht="42" customHeight="1">
      <c r="A8" s="1203" t="s">
        <v>165</v>
      </c>
      <c r="B8" s="1203"/>
      <c r="H8" s="95"/>
      <c r="K8" s="96" t="s">
        <v>283</v>
      </c>
      <c r="L8" s="74"/>
      <c r="M8" s="81">
        <f>L8/60</f>
        <v>0</v>
      </c>
    </row>
    <row r="9" spans="1:13" ht="13.9" customHeight="1">
      <c r="C9" s="95"/>
      <c r="D9" s="95"/>
      <c r="E9" s="95"/>
      <c r="F9" s="95"/>
      <c r="G9" s="95"/>
      <c r="H9" s="95"/>
      <c r="K9" s="94" t="s">
        <v>303</v>
      </c>
      <c r="L9" s="78"/>
      <c r="M9" s="78">
        <f>L9/60</f>
        <v>0</v>
      </c>
    </row>
    <row r="10" spans="1:13" ht="21" customHeight="1">
      <c r="A10" s="944" t="s">
        <v>304</v>
      </c>
      <c r="B10" s="944"/>
      <c r="C10" s="944"/>
      <c r="D10" s="944"/>
      <c r="E10" s="944"/>
      <c r="F10" s="944"/>
      <c r="G10" s="944"/>
      <c r="H10" s="944"/>
      <c r="I10" s="98">
        <f>ROUND(I11/12,2)</f>
        <v>174</v>
      </c>
      <c r="K10" s="94" t="s">
        <v>305</v>
      </c>
      <c r="L10" s="78"/>
      <c r="M10" s="78"/>
    </row>
    <row r="11" spans="1:13" ht="15.6" customHeight="1">
      <c r="A11" s="336"/>
      <c r="B11" s="337" t="s">
        <v>306</v>
      </c>
      <c r="C11" s="336"/>
      <c r="D11" s="336"/>
      <c r="E11" s="336"/>
      <c r="F11" s="336"/>
      <c r="G11" s="336"/>
      <c r="H11" s="336"/>
      <c r="I11" s="73">
        <v>2088</v>
      </c>
    </row>
    <row r="12" spans="1:13" ht="23.45" hidden="1" customHeight="1">
      <c r="A12" s="760"/>
      <c r="B12" s="1218"/>
      <c r="C12" s="1218"/>
      <c r="D12" s="1218"/>
      <c r="E12" s="1222" t="s">
        <v>81</v>
      </c>
      <c r="F12" s="1222"/>
      <c r="G12" s="1218" t="s">
        <v>82</v>
      </c>
      <c r="H12" s="1218"/>
      <c r="I12" s="98"/>
    </row>
    <row r="13" spans="1:13" ht="15" hidden="1">
      <c r="A13" s="761">
        <v>1</v>
      </c>
      <c r="B13" s="1215" t="s">
        <v>597</v>
      </c>
      <c r="C13" s="1215"/>
      <c r="D13" s="1215"/>
      <c r="E13" s="1218">
        <f>ROUND(K14/2096,2)</f>
        <v>68.44</v>
      </c>
      <c r="F13" s="1218"/>
      <c r="G13" s="1214" t="s">
        <v>607</v>
      </c>
      <c r="H13" s="1214"/>
      <c r="I13" s="98"/>
    </row>
    <row r="14" spans="1:13" ht="15" hidden="1">
      <c r="A14" s="761">
        <v>2</v>
      </c>
      <c r="B14" s="1216" t="s">
        <v>90</v>
      </c>
      <c r="C14" s="1216"/>
      <c r="D14" s="1216"/>
      <c r="E14" s="1218">
        <f>ROUND(E13*22%,2)</f>
        <v>15.06</v>
      </c>
      <c r="F14" s="1218"/>
      <c r="G14" s="1214" t="s">
        <v>608</v>
      </c>
      <c r="H14" s="1214"/>
      <c r="I14" s="98"/>
      <c r="K14" s="73">
        <v>143448.63</v>
      </c>
    </row>
    <row r="15" spans="1:13" ht="15" hidden="1">
      <c r="A15" s="761">
        <v>3</v>
      </c>
      <c r="B15" s="1216" t="s">
        <v>56</v>
      </c>
      <c r="C15" s="1216"/>
      <c r="D15" s="1216"/>
      <c r="E15" s="1218">
        <f>ROUND(E13*15%,2)</f>
        <v>10.27</v>
      </c>
      <c r="F15" s="1218"/>
      <c r="G15" s="1214" t="s">
        <v>609</v>
      </c>
      <c r="H15" s="1214"/>
      <c r="I15" s="76"/>
      <c r="J15" s="76"/>
    </row>
    <row r="16" spans="1:13" ht="15" hidden="1">
      <c r="A16" s="762" t="s">
        <v>521</v>
      </c>
      <c r="B16" s="762"/>
      <c r="C16" s="760"/>
      <c r="D16" s="761"/>
      <c r="E16" s="1217">
        <f>E13+E14+E15</f>
        <v>93.77</v>
      </c>
      <c r="F16" s="1217"/>
      <c r="G16" s="1214" t="s">
        <v>610</v>
      </c>
      <c r="H16" s="1214"/>
      <c r="I16" s="79"/>
      <c r="J16" s="79"/>
    </row>
    <row r="17" spans="1:10" ht="5.45" hidden="1" customHeight="1">
      <c r="A17" s="763"/>
      <c r="B17" s="1211" t="s">
        <v>309</v>
      </c>
      <c r="C17" s="1211"/>
      <c r="D17" s="763"/>
      <c r="E17" s="1212"/>
      <c r="F17" s="1212"/>
      <c r="G17" s="1213"/>
      <c r="H17" s="1213"/>
      <c r="I17" s="79"/>
      <c r="J17" s="79"/>
    </row>
    <row r="18" spans="1:10" ht="15">
      <c r="A18" s="1211"/>
      <c r="B18" s="1211"/>
      <c r="C18" s="85"/>
      <c r="D18" s="85"/>
      <c r="E18" s="85"/>
      <c r="F18" s="85"/>
      <c r="G18" s="85"/>
      <c r="H18" s="85"/>
      <c r="I18" s="79"/>
      <c r="J18" s="79"/>
    </row>
    <row r="19" spans="1:10" ht="14.25">
      <c r="A19" s="100"/>
      <c r="B19" s="101" t="s">
        <v>310</v>
      </c>
      <c r="C19" s="100"/>
      <c r="D19" s="100"/>
      <c r="E19" s="100"/>
      <c r="F19" s="100"/>
      <c r="G19" s="100"/>
      <c r="H19" s="100"/>
      <c r="I19" s="79"/>
      <c r="J19" s="79"/>
    </row>
    <row r="20" spans="1:10" ht="15">
      <c r="A20" s="102" t="s">
        <v>211</v>
      </c>
      <c r="B20" s="1223" t="s">
        <v>311</v>
      </c>
      <c r="C20" s="1223"/>
      <c r="D20" s="102"/>
      <c r="E20" s="102" t="s">
        <v>312</v>
      </c>
      <c r="F20" s="1223" t="s">
        <v>82</v>
      </c>
      <c r="G20" s="1223"/>
      <c r="H20" s="85"/>
      <c r="I20" s="79"/>
      <c r="J20" s="79"/>
    </row>
    <row r="21" spans="1:10" ht="15">
      <c r="A21" s="422">
        <v>1</v>
      </c>
      <c r="B21" s="1154" t="s">
        <v>313</v>
      </c>
      <c r="C21" s="1154"/>
      <c r="D21" s="103">
        <f>ЗВЕДЕНИЙ!W71</f>
        <v>147141.71772595998</v>
      </c>
      <c r="E21" s="103">
        <f>ROUND(D21/2088,2)</f>
        <v>70.47</v>
      </c>
      <c r="F21" s="1208" t="s">
        <v>1075</v>
      </c>
      <c r="G21" s="1208"/>
      <c r="H21" s="85"/>
      <c r="I21" s="79">
        <v>148501.92000000001</v>
      </c>
      <c r="J21" s="79"/>
    </row>
    <row r="22" spans="1:10" ht="15">
      <c r="A22" s="422">
        <v>2</v>
      </c>
      <c r="B22" s="1154" t="s">
        <v>314</v>
      </c>
      <c r="C22" s="1154"/>
      <c r="D22" s="99">
        <v>0.22</v>
      </c>
      <c r="E22" s="103">
        <f>ROUND(E21*0.22,2)</f>
        <v>15.5</v>
      </c>
      <c r="F22" s="1208" t="s">
        <v>939</v>
      </c>
      <c r="G22" s="1208"/>
      <c r="H22" s="85"/>
      <c r="I22" s="79"/>
      <c r="J22" s="79"/>
    </row>
    <row r="23" spans="1:10" ht="15" hidden="1" customHeight="1">
      <c r="A23" s="422">
        <v>4</v>
      </c>
      <c r="B23" s="1154" t="s">
        <v>315</v>
      </c>
      <c r="C23" s="1154"/>
      <c r="D23" s="99">
        <v>0.22</v>
      </c>
      <c r="E23" s="103"/>
      <c r="F23" s="1208"/>
      <c r="G23" s="1208"/>
      <c r="H23" s="85"/>
      <c r="I23" s="79"/>
      <c r="J23" s="79"/>
    </row>
    <row r="24" spans="1:10" ht="15" customHeight="1">
      <c r="A24" s="422">
        <v>3</v>
      </c>
      <c r="B24" s="1154" t="s">
        <v>56</v>
      </c>
      <c r="C24" s="1154"/>
      <c r="D24" s="99">
        <v>0.15</v>
      </c>
      <c r="E24" s="103">
        <f>ROUND((E21+E22)*15%,2)</f>
        <v>12.9</v>
      </c>
      <c r="F24" s="1208" t="s">
        <v>1004</v>
      </c>
      <c r="G24" s="1208"/>
      <c r="H24" s="85"/>
      <c r="I24" s="79"/>
      <c r="J24" s="79"/>
    </row>
    <row r="25" spans="1:10" ht="15">
      <c r="A25" s="422"/>
      <c r="B25" s="1154" t="s">
        <v>316</v>
      </c>
      <c r="C25" s="1154"/>
      <c r="D25" s="422"/>
      <c r="E25" s="423">
        <f>ROUND(SUM(E21:E24),2)</f>
        <v>98.87</v>
      </c>
      <c r="F25" s="1208"/>
      <c r="G25" s="1208"/>
      <c r="H25" s="85"/>
      <c r="I25" s="79"/>
      <c r="J25" s="79"/>
    </row>
    <row r="26" spans="1:10" ht="15">
      <c r="A26" s="85"/>
      <c r="B26" s="104"/>
      <c r="C26" s="104"/>
      <c r="D26" s="85"/>
      <c r="E26" s="105"/>
      <c r="F26" s="85"/>
      <c r="G26" s="85"/>
      <c r="H26" s="85"/>
      <c r="I26" s="79"/>
      <c r="J26" s="79"/>
    </row>
    <row r="27" spans="1:10" ht="18" customHeight="1">
      <c r="A27" s="1209" t="s">
        <v>317</v>
      </c>
      <c r="B27" s="1209"/>
      <c r="C27" s="1209"/>
      <c r="D27" s="1209"/>
      <c r="E27" s="1209"/>
      <c r="F27" s="1209"/>
      <c r="G27" s="1209"/>
      <c r="H27" s="1209"/>
      <c r="I27" s="79"/>
      <c r="J27" s="79"/>
    </row>
    <row r="28" spans="1:10" ht="52.5">
      <c r="A28" s="80" t="s">
        <v>211</v>
      </c>
      <c r="B28" s="80" t="s">
        <v>318</v>
      </c>
      <c r="C28" s="80" t="s">
        <v>746</v>
      </c>
      <c r="D28" s="80" t="s">
        <v>747</v>
      </c>
      <c r="E28" s="80" t="s">
        <v>876</v>
      </c>
      <c r="F28" s="80" t="s">
        <v>322</v>
      </c>
      <c r="G28" s="1210" t="s">
        <v>82</v>
      </c>
      <c r="H28" s="1210"/>
      <c r="I28" s="98">
        <f>ROUND(I11/12,2)</f>
        <v>174</v>
      </c>
    </row>
    <row r="29" spans="1:10">
      <c r="A29" s="80"/>
      <c r="B29" s="1204" t="s">
        <v>1017</v>
      </c>
      <c r="C29" s="1204"/>
      <c r="D29" s="1204"/>
      <c r="E29" s="1204"/>
      <c r="F29" s="1204"/>
      <c r="G29" s="1204"/>
      <c r="H29" s="1204"/>
      <c r="I29" s="98">
        <v>2088</v>
      </c>
    </row>
    <row r="30" spans="1:10">
      <c r="A30" s="80"/>
      <c r="B30" s="107" t="s">
        <v>611</v>
      </c>
      <c r="C30" s="102">
        <v>24</v>
      </c>
      <c r="D30" s="324">
        <v>1</v>
      </c>
      <c r="E30" s="324">
        <v>1030</v>
      </c>
      <c r="F30" s="325">
        <f>ROUND(E30/2088/2,2)</f>
        <v>0.25</v>
      </c>
      <c r="G30" s="1202" t="s">
        <v>882</v>
      </c>
      <c r="H30" s="1202"/>
    </row>
    <row r="31" spans="1:10">
      <c r="A31" s="80"/>
      <c r="B31" s="107" t="s">
        <v>877</v>
      </c>
      <c r="C31" s="102">
        <v>24</v>
      </c>
      <c r="D31" s="324">
        <v>1</v>
      </c>
      <c r="E31" s="324">
        <v>980</v>
      </c>
      <c r="F31" s="325">
        <f>ROUND(E31/2088/2,2)</f>
        <v>0.23</v>
      </c>
      <c r="G31" s="1202" t="s">
        <v>1043</v>
      </c>
      <c r="H31" s="1202"/>
    </row>
    <row r="32" spans="1:10">
      <c r="A32" s="80"/>
      <c r="B32" s="107" t="s">
        <v>613</v>
      </c>
      <c r="C32" s="102">
        <v>24</v>
      </c>
      <c r="D32" s="324">
        <v>1</v>
      </c>
      <c r="E32" s="324">
        <v>160</v>
      </c>
      <c r="F32" s="325">
        <f>ROUND(E32/2088/2,2)</f>
        <v>0.04</v>
      </c>
      <c r="G32" s="1202" t="s">
        <v>1047</v>
      </c>
      <c r="H32" s="1202"/>
    </row>
    <row r="33" spans="1:15">
      <c r="A33" s="80"/>
      <c r="B33" s="107" t="s">
        <v>325</v>
      </c>
      <c r="C33" s="102">
        <v>1</v>
      </c>
      <c r="D33" s="108">
        <v>1</v>
      </c>
      <c r="E33" s="324">
        <v>32</v>
      </c>
      <c r="F33" s="325">
        <f>ROUND(E33/I28,2)</f>
        <v>0.18</v>
      </c>
      <c r="G33" s="1202" t="s">
        <v>878</v>
      </c>
      <c r="H33" s="1202"/>
    </row>
    <row r="34" spans="1:15">
      <c r="A34" s="80"/>
      <c r="B34" s="107" t="s">
        <v>875</v>
      </c>
      <c r="C34" s="102">
        <v>24</v>
      </c>
      <c r="D34" s="108">
        <v>1</v>
      </c>
      <c r="E34" s="324">
        <v>970</v>
      </c>
      <c r="F34" s="325">
        <f>ROUND(E34/2/I29,2)</f>
        <v>0.23</v>
      </c>
      <c r="G34" s="1202" t="s">
        <v>1044</v>
      </c>
      <c r="H34" s="1202"/>
    </row>
    <row r="35" spans="1:15">
      <c r="A35" s="80"/>
      <c r="B35" s="110" t="s">
        <v>648</v>
      </c>
      <c r="C35" s="106"/>
      <c r="D35" s="108"/>
      <c r="E35" s="323"/>
      <c r="F35" s="327">
        <f>SUM(F30:F34)</f>
        <v>0.92999999999999994</v>
      </c>
      <c r="G35" s="1224"/>
      <c r="H35" s="1225"/>
    </row>
    <row r="36" spans="1:15" ht="14.45" customHeight="1">
      <c r="A36" s="80"/>
      <c r="B36" s="1204" t="s">
        <v>830</v>
      </c>
      <c r="C36" s="1204"/>
      <c r="D36" s="1204"/>
      <c r="E36" s="1204"/>
      <c r="F36" s="1204"/>
      <c r="G36" s="1204"/>
      <c r="H36" s="1204"/>
    </row>
    <row r="37" spans="1:15">
      <c r="A37" s="80"/>
      <c r="B37" s="107" t="s">
        <v>611</v>
      </c>
      <c r="C37" s="102">
        <v>24</v>
      </c>
      <c r="D37" s="324">
        <v>1</v>
      </c>
      <c r="E37" s="324">
        <f>1030</f>
        <v>1030</v>
      </c>
      <c r="F37" s="325">
        <f>ROUND(E37/2/2088,2)</f>
        <v>0.25</v>
      </c>
      <c r="G37" s="1202" t="s">
        <v>882</v>
      </c>
      <c r="H37" s="1202"/>
    </row>
    <row r="38" spans="1:15">
      <c r="A38" s="80"/>
      <c r="B38" s="107" t="s">
        <v>877</v>
      </c>
      <c r="C38" s="102">
        <v>24</v>
      </c>
      <c r="D38" s="324">
        <v>1</v>
      </c>
      <c r="E38" s="324">
        <f>980</f>
        <v>980</v>
      </c>
      <c r="F38" s="325">
        <f>ROUND(E38/2/2096,2)</f>
        <v>0.23</v>
      </c>
      <c r="G38" s="1202" t="s">
        <v>1045</v>
      </c>
      <c r="H38" s="1202"/>
    </row>
    <row r="39" spans="1:15">
      <c r="A39" s="80"/>
      <c r="B39" s="107" t="s">
        <v>875</v>
      </c>
      <c r="C39" s="102">
        <v>24</v>
      </c>
      <c r="D39" s="108">
        <v>1</v>
      </c>
      <c r="E39" s="324">
        <f>970</f>
        <v>970</v>
      </c>
      <c r="F39" s="325">
        <f>ROUND(E39/2/I29,2)</f>
        <v>0.23</v>
      </c>
      <c r="G39" s="1202" t="s">
        <v>1046</v>
      </c>
      <c r="H39" s="1202"/>
    </row>
    <row r="40" spans="1:15">
      <c r="A40" s="80"/>
      <c r="B40" s="107" t="s">
        <v>613</v>
      </c>
      <c r="C40" s="102">
        <v>24</v>
      </c>
      <c r="D40" s="324">
        <v>1</v>
      </c>
      <c r="E40" s="324">
        <f>160</f>
        <v>160</v>
      </c>
      <c r="F40" s="325">
        <f>ROUND(E40/2088/2,2)</f>
        <v>0.04</v>
      </c>
      <c r="G40" s="1202" t="s">
        <v>1048</v>
      </c>
      <c r="H40" s="1202"/>
    </row>
    <row r="41" spans="1:15">
      <c r="A41" s="80"/>
      <c r="B41" s="107" t="s">
        <v>325</v>
      </c>
      <c r="C41" s="102">
        <v>1</v>
      </c>
      <c r="D41" s="108">
        <v>1</v>
      </c>
      <c r="E41" s="324">
        <v>32</v>
      </c>
      <c r="F41" s="325">
        <f>ROUND(E41/I28,2)</f>
        <v>0.18</v>
      </c>
      <c r="G41" s="1202" t="s">
        <v>878</v>
      </c>
      <c r="H41" s="1202"/>
    </row>
    <row r="42" spans="1:15" ht="25.5">
      <c r="A42" s="80"/>
      <c r="B42" s="487" t="s">
        <v>1016</v>
      </c>
      <c r="C42" s="482">
        <v>7.3999999999999996E-2</v>
      </c>
      <c r="D42" s="480">
        <v>8.6</v>
      </c>
      <c r="E42" s="480">
        <v>55.99</v>
      </c>
      <c r="F42" s="565">
        <f>ROUND(D42*C42*E42/2,2)</f>
        <v>17.82</v>
      </c>
      <c r="G42" s="1193" t="s">
        <v>1029</v>
      </c>
      <c r="H42" s="1194"/>
    </row>
    <row r="43" spans="1:15">
      <c r="A43" s="80"/>
      <c r="B43" s="110" t="s">
        <v>648</v>
      </c>
      <c r="C43" s="106"/>
      <c r="D43" s="108"/>
      <c r="E43" s="323"/>
      <c r="F43" s="327">
        <f>SUM(F37:F42)</f>
        <v>18.75</v>
      </c>
      <c r="G43" s="1224"/>
      <c r="H43" s="1225"/>
    </row>
    <row r="44" spans="1:15">
      <c r="A44" s="106"/>
      <c r="B44" s="1197" t="s">
        <v>284</v>
      </c>
      <c r="C44" s="1198"/>
      <c r="D44" s="1198"/>
      <c r="E44" s="1198"/>
      <c r="F44" s="1198"/>
      <c r="G44" s="1198"/>
      <c r="H44" s="1199"/>
    </row>
    <row r="45" spans="1:15" ht="12" customHeight="1">
      <c r="A45" s="106"/>
      <c r="B45" s="107" t="s">
        <v>614</v>
      </c>
      <c r="C45" s="102">
        <v>60</v>
      </c>
      <c r="D45" s="324">
        <v>1</v>
      </c>
      <c r="E45" s="324">
        <v>2480</v>
      </c>
      <c r="F45" s="325">
        <f>ROUND(E45/I11,2)</f>
        <v>1.19</v>
      </c>
      <c r="G45" s="1195" t="s">
        <v>879</v>
      </c>
      <c r="H45" s="1196"/>
      <c r="I45" s="322" t="s">
        <v>614</v>
      </c>
      <c r="J45" s="102">
        <v>60</v>
      </c>
      <c r="K45" s="324">
        <v>1</v>
      </c>
      <c r="L45" s="324">
        <v>1640</v>
      </c>
      <c r="M45" s="325">
        <f>L45/I29</f>
        <v>0.78544061302681989</v>
      </c>
      <c r="N45" s="1195" t="s">
        <v>622</v>
      </c>
      <c r="O45" s="1196"/>
    </row>
    <row r="46" spans="1:15" ht="12" customHeight="1">
      <c r="A46" s="106"/>
      <c r="B46" s="110" t="s">
        <v>834</v>
      </c>
      <c r="C46" s="102"/>
      <c r="D46" s="324"/>
      <c r="E46" s="324"/>
      <c r="F46" s="327">
        <f>F45</f>
        <v>1.19</v>
      </c>
      <c r="G46" s="1195"/>
      <c r="H46" s="1196"/>
      <c r="I46" s="322"/>
      <c r="J46" s="102"/>
      <c r="K46" s="324"/>
      <c r="L46" s="324"/>
      <c r="M46" s="325"/>
      <c r="N46" s="493"/>
      <c r="O46" s="494"/>
    </row>
    <row r="47" spans="1:15" ht="10.15" customHeight="1">
      <c r="A47" s="106"/>
      <c r="B47" s="107" t="s">
        <v>949</v>
      </c>
      <c r="C47" s="102"/>
      <c r="D47" s="324">
        <v>0.63</v>
      </c>
      <c r="E47" s="324">
        <v>60</v>
      </c>
      <c r="F47" s="324">
        <f>ROUND(E47*D47,2)</f>
        <v>37.799999999999997</v>
      </c>
      <c r="G47" s="1195" t="s">
        <v>947</v>
      </c>
      <c r="H47" s="1196"/>
      <c r="I47" s="322" t="s">
        <v>363</v>
      </c>
      <c r="J47" s="102"/>
      <c r="K47" s="324">
        <v>0.97</v>
      </c>
      <c r="L47" s="324">
        <v>51</v>
      </c>
      <c r="M47" s="324">
        <f>L47*K47</f>
        <v>49.47</v>
      </c>
      <c r="N47" s="1195" t="s">
        <v>632</v>
      </c>
      <c r="O47" s="1196"/>
    </row>
    <row r="48" spans="1:15" ht="14.45" customHeight="1">
      <c r="A48" s="106"/>
      <c r="B48" s="107" t="s">
        <v>323</v>
      </c>
      <c r="C48" s="80" t="s">
        <v>615</v>
      </c>
      <c r="D48" s="326">
        <f>20*0.63/1000</f>
        <v>1.26E-2</v>
      </c>
      <c r="E48" s="324">
        <v>189</v>
      </c>
      <c r="F48" s="325">
        <f>ROUND(E48*D48,2)</f>
        <v>2.38</v>
      </c>
      <c r="G48" s="1195" t="s">
        <v>694</v>
      </c>
      <c r="H48" s="1196"/>
      <c r="I48" s="322" t="s">
        <v>323</v>
      </c>
      <c r="J48" s="80" t="s">
        <v>615</v>
      </c>
      <c r="K48" s="326">
        <f>20*0.63/1000</f>
        <v>1.26E-2</v>
      </c>
      <c r="L48" s="324">
        <v>330</v>
      </c>
      <c r="M48" s="325">
        <f>L48*K48</f>
        <v>4.1580000000000004</v>
      </c>
      <c r="N48" s="1195" t="s">
        <v>616</v>
      </c>
      <c r="O48" s="1196"/>
    </row>
    <row r="49" spans="1:15" ht="12.6" customHeight="1">
      <c r="A49" s="106"/>
      <c r="B49" s="107" t="s">
        <v>1000</v>
      </c>
      <c r="C49" s="106" t="s">
        <v>364</v>
      </c>
      <c r="D49" s="108">
        <v>1</v>
      </c>
      <c r="E49" s="108">
        <v>170</v>
      </c>
      <c r="F49" s="109">
        <f>ROUND(E49/2088,2)</f>
        <v>0.08</v>
      </c>
      <c r="G49" s="1195" t="s">
        <v>1001</v>
      </c>
      <c r="H49" s="1196"/>
      <c r="I49" s="322" t="s">
        <v>324</v>
      </c>
      <c r="J49" s="102" t="s">
        <v>364</v>
      </c>
      <c r="K49" s="324">
        <v>1</v>
      </c>
      <c r="L49" s="324">
        <f>30.6/2</f>
        <v>15.3</v>
      </c>
      <c r="M49" s="326">
        <f>L49/2096</f>
        <v>7.2996183206106872E-3</v>
      </c>
      <c r="N49" s="1195" t="s">
        <v>617</v>
      </c>
      <c r="O49" s="1196"/>
    </row>
    <row r="50" spans="1:15" ht="11.45" customHeight="1">
      <c r="A50" s="106"/>
      <c r="B50" s="107" t="s">
        <v>325</v>
      </c>
      <c r="C50" s="102" t="s">
        <v>365</v>
      </c>
      <c r="D50" s="324">
        <v>1</v>
      </c>
      <c r="E50" s="324">
        <v>32</v>
      </c>
      <c r="F50" s="325">
        <f>ROUND(E50*D50/I28,2)</f>
        <v>0.18</v>
      </c>
      <c r="G50" s="1195" t="s">
        <v>881</v>
      </c>
      <c r="H50" s="1196"/>
      <c r="I50" s="322" t="s">
        <v>325</v>
      </c>
      <c r="J50" s="102" t="s">
        <v>365</v>
      </c>
      <c r="K50" s="324">
        <v>1</v>
      </c>
      <c r="L50" s="324">
        <v>25</v>
      </c>
      <c r="M50" s="325">
        <f>L50*K50/I28</f>
        <v>0.14367816091954022</v>
      </c>
      <c r="N50" s="1195" t="s">
        <v>621</v>
      </c>
      <c r="O50" s="1196"/>
    </row>
    <row r="51" spans="1:15" ht="11.45" customHeight="1">
      <c r="A51" s="106"/>
      <c r="B51" s="107" t="s">
        <v>611</v>
      </c>
      <c r="C51" s="102">
        <v>24</v>
      </c>
      <c r="D51" s="324">
        <v>1</v>
      </c>
      <c r="E51" s="324">
        <f>1030</f>
        <v>1030</v>
      </c>
      <c r="F51" s="325">
        <f>ROUND(E51/2/2088,2)</f>
        <v>0.25</v>
      </c>
      <c r="G51" s="1195" t="s">
        <v>882</v>
      </c>
      <c r="H51" s="1196"/>
      <c r="I51" s="322" t="s">
        <v>611</v>
      </c>
      <c r="J51" s="102">
        <v>24</v>
      </c>
      <c r="K51" s="324">
        <v>1</v>
      </c>
      <c r="L51" s="324">
        <v>980</v>
      </c>
      <c r="M51" s="325">
        <f>L51/2/2096</f>
        <v>0.23377862595419846</v>
      </c>
      <c r="N51" s="1195" t="s">
        <v>618</v>
      </c>
      <c r="O51" s="1196"/>
    </row>
    <row r="52" spans="1:15" ht="11.45" customHeight="1">
      <c r="A52" s="106"/>
      <c r="B52" s="107" t="s">
        <v>877</v>
      </c>
      <c r="C52" s="102">
        <v>24</v>
      </c>
      <c r="D52" s="324">
        <v>1</v>
      </c>
      <c r="E52" s="324">
        <f>980</f>
        <v>980</v>
      </c>
      <c r="F52" s="325">
        <f>ROUND(E52/2/2088,2)</f>
        <v>0.23</v>
      </c>
      <c r="G52" s="1195" t="s">
        <v>1043</v>
      </c>
      <c r="H52" s="1196"/>
      <c r="I52" s="322" t="s">
        <v>612</v>
      </c>
      <c r="J52" s="102">
        <v>24</v>
      </c>
      <c r="K52" s="324">
        <v>1</v>
      </c>
      <c r="L52" s="324">
        <v>1150</v>
      </c>
      <c r="M52" s="325">
        <f>L52/2/2096</f>
        <v>0.27433206106870228</v>
      </c>
      <c r="N52" s="1195" t="s">
        <v>619</v>
      </c>
      <c r="O52" s="1196"/>
    </row>
    <row r="53" spans="1:15" ht="11.45" customHeight="1">
      <c r="A53" s="106"/>
      <c r="B53" s="107" t="s">
        <v>875</v>
      </c>
      <c r="C53" s="102">
        <v>24</v>
      </c>
      <c r="D53" s="108">
        <v>1</v>
      </c>
      <c r="E53" s="324">
        <f>970</f>
        <v>970</v>
      </c>
      <c r="F53" s="325">
        <f>ROUND(E53/2/I29,2)</f>
        <v>0.23</v>
      </c>
      <c r="G53" s="1202" t="s">
        <v>1044</v>
      </c>
      <c r="H53" s="1202"/>
      <c r="I53" s="322"/>
      <c r="J53" s="102"/>
      <c r="K53" s="324"/>
      <c r="L53" s="324"/>
      <c r="M53" s="325"/>
      <c r="N53" s="493"/>
      <c r="O53" s="494"/>
    </row>
    <row r="54" spans="1:15" ht="13.15" customHeight="1">
      <c r="A54" s="106"/>
      <c r="B54" s="107" t="s">
        <v>613</v>
      </c>
      <c r="C54" s="102">
        <v>24</v>
      </c>
      <c r="D54" s="324">
        <v>1</v>
      </c>
      <c r="E54" s="480">
        <f>160</f>
        <v>160</v>
      </c>
      <c r="F54" s="334">
        <f>ROUND(E54/2/2088,2)</f>
        <v>0.04</v>
      </c>
      <c r="G54" s="1193" t="s">
        <v>1047</v>
      </c>
      <c r="H54" s="1194"/>
      <c r="I54" s="322" t="s">
        <v>613</v>
      </c>
      <c r="J54" s="102">
        <v>24</v>
      </c>
      <c r="K54" s="324">
        <v>1</v>
      </c>
      <c r="L54" s="324">
        <v>160</v>
      </c>
      <c r="M54" s="325">
        <f>L54/2/2096</f>
        <v>3.8167938931297711E-2</v>
      </c>
      <c r="N54" s="1195" t="s">
        <v>620</v>
      </c>
      <c r="O54" s="1196"/>
    </row>
    <row r="55" spans="1:15" ht="13.15" customHeight="1">
      <c r="A55" s="482"/>
      <c r="B55" s="110" t="s">
        <v>648</v>
      </c>
      <c r="C55" s="488"/>
      <c r="D55" s="480"/>
      <c r="E55" s="480"/>
      <c r="F55" s="561">
        <f>SUM(F47:F54)</f>
        <v>41.189999999999991</v>
      </c>
      <c r="G55" s="1195"/>
      <c r="H55" s="1196"/>
      <c r="I55" s="477"/>
      <c r="J55" s="478"/>
      <c r="K55" s="479"/>
      <c r="L55" s="479"/>
      <c r="M55" s="476"/>
      <c r="N55" s="479"/>
      <c r="O55" s="479"/>
    </row>
    <row r="56" spans="1:15" ht="13.15" customHeight="1">
      <c r="A56" s="482"/>
      <c r="B56" s="481" t="s">
        <v>1013</v>
      </c>
      <c r="C56" s="488"/>
      <c r="D56" s="480"/>
      <c r="E56" s="480"/>
      <c r="F56" s="565"/>
      <c r="G56" s="550"/>
      <c r="H56" s="551"/>
      <c r="I56" s="477"/>
      <c r="J56" s="478"/>
      <c r="K56" s="479"/>
      <c r="L56" s="479"/>
      <c r="M56" s="476"/>
      <c r="N56" s="479"/>
      <c r="O56" s="479"/>
    </row>
    <row r="57" spans="1:15" ht="12.6" customHeight="1">
      <c r="A57" s="482"/>
      <c r="B57" s="481" t="s">
        <v>1014</v>
      </c>
      <c r="C57" s="482">
        <v>7.3999999999999996E-2</v>
      </c>
      <c r="D57" s="480">
        <v>3</v>
      </c>
      <c r="E57" s="480">
        <v>55.99</v>
      </c>
      <c r="F57" s="334">
        <f>ROUND(C57*D57*E57,2)</f>
        <v>12.43</v>
      </c>
      <c r="G57" s="1193" t="s">
        <v>1030</v>
      </c>
      <c r="H57" s="1194"/>
      <c r="I57" s="477">
        <v>7.75</v>
      </c>
      <c r="J57" s="478">
        <f>I57*D57</f>
        <v>23.25</v>
      </c>
      <c r="K57" s="479"/>
      <c r="L57" s="479"/>
      <c r="M57" s="476"/>
      <c r="N57" s="479"/>
      <c r="O57" s="479"/>
    </row>
    <row r="58" spans="1:15" ht="12.6" customHeight="1">
      <c r="A58" s="106"/>
      <c r="B58" s="481" t="s">
        <v>1015</v>
      </c>
      <c r="C58" s="106">
        <v>8.1000000000000003E-2</v>
      </c>
      <c r="D58" s="324">
        <v>1.4</v>
      </c>
      <c r="E58" s="324">
        <v>55.99</v>
      </c>
      <c r="F58" s="325">
        <f>ROUND(C58*D58*E58,2)</f>
        <v>6.35</v>
      </c>
      <c r="G58" s="1193" t="s">
        <v>1031</v>
      </c>
      <c r="H58" s="1194"/>
      <c r="I58" s="477"/>
      <c r="J58" s="478"/>
      <c r="K58" s="479"/>
      <c r="L58" s="479"/>
      <c r="M58" s="476"/>
      <c r="N58" s="479"/>
      <c r="O58" s="479"/>
    </row>
    <row r="59" spans="1:15" ht="24.6" customHeight="1">
      <c r="A59" s="448"/>
      <c r="B59" s="481" t="s">
        <v>811</v>
      </c>
      <c r="C59" s="482">
        <v>5.6000000000000001E-2</v>
      </c>
      <c r="D59" s="480">
        <v>4</v>
      </c>
      <c r="E59" s="480">
        <v>55.99</v>
      </c>
      <c r="F59" s="334">
        <f>ROUND(C59*D59*E59,2)</f>
        <v>12.54</v>
      </c>
      <c r="G59" s="1193" t="s">
        <v>1032</v>
      </c>
      <c r="H59" s="1194"/>
      <c r="I59" s="477"/>
      <c r="J59" s="478"/>
      <c r="K59" s="479"/>
      <c r="L59" s="479"/>
      <c r="M59" s="476"/>
      <c r="N59" s="479"/>
      <c r="O59" s="479"/>
    </row>
    <row r="60" spans="1:15">
      <c r="A60" s="448"/>
      <c r="B60" s="110" t="s">
        <v>763</v>
      </c>
      <c r="C60" s="106"/>
      <c r="D60" s="327">
        <f>(D57+D58+D59)/3</f>
        <v>2.8000000000000003</v>
      </c>
      <c r="E60" s="102"/>
      <c r="F60" s="801">
        <f>(F57+F58+F59)/3</f>
        <v>10.44</v>
      </c>
      <c r="G60" s="1202"/>
      <c r="H60" s="1202"/>
      <c r="M60" s="335">
        <f>SUM(M45:M54)</f>
        <v>55.110697018221174</v>
      </c>
    </row>
    <row r="61" spans="1:15">
      <c r="A61" s="802"/>
      <c r="B61" s="110"/>
      <c r="C61" s="106"/>
      <c r="D61" s="77"/>
      <c r="E61" s="102"/>
      <c r="F61" s="327"/>
      <c r="G61" s="1202"/>
      <c r="H61" s="1202"/>
      <c r="M61" s="335"/>
    </row>
    <row r="62" spans="1:15">
      <c r="A62" s="108"/>
      <c r="B62" s="1205" t="s">
        <v>366</v>
      </c>
      <c r="C62" s="1206"/>
      <c r="D62" s="1206"/>
      <c r="E62" s="1206"/>
      <c r="F62" s="1206"/>
      <c r="G62" s="1206"/>
      <c r="H62" s="1207"/>
    </row>
    <row r="63" spans="1:15">
      <c r="A63" s="108"/>
      <c r="B63" s="107" t="s">
        <v>326</v>
      </c>
      <c r="C63" s="82">
        <v>60</v>
      </c>
      <c r="D63" s="82">
        <v>1</v>
      </c>
      <c r="E63" s="111">
        <v>1083</v>
      </c>
      <c r="F63" s="83">
        <f>ROUND(E63/2088,2)</f>
        <v>0.52</v>
      </c>
      <c r="G63" s="1195" t="s">
        <v>880</v>
      </c>
      <c r="H63" s="1196"/>
    </row>
    <row r="64" spans="1:15">
      <c r="A64" s="108"/>
      <c r="B64" s="110" t="s">
        <v>835</v>
      </c>
      <c r="C64" s="82"/>
      <c r="D64" s="82"/>
      <c r="E64" s="111"/>
      <c r="F64" s="572">
        <f>F63</f>
        <v>0.52</v>
      </c>
      <c r="G64" s="1195"/>
      <c r="H64" s="1196"/>
    </row>
    <row r="65" spans="1:8">
      <c r="A65" s="108"/>
      <c r="B65" s="107" t="s">
        <v>948</v>
      </c>
      <c r="C65" s="77"/>
      <c r="D65" s="82">
        <v>0.5</v>
      </c>
      <c r="E65" s="82">
        <v>51</v>
      </c>
      <c r="F65" s="83">
        <f>ROUND(D65*E65,2)</f>
        <v>25.5</v>
      </c>
      <c r="G65" s="1195" t="s">
        <v>327</v>
      </c>
      <c r="H65" s="1196"/>
    </row>
    <row r="66" spans="1:8">
      <c r="A66" s="108"/>
      <c r="B66" s="107" t="s">
        <v>323</v>
      </c>
      <c r="C66" s="77"/>
      <c r="D66" s="82">
        <v>0.02</v>
      </c>
      <c r="E66" s="111">
        <v>189</v>
      </c>
      <c r="F66" s="82">
        <f>ROUND(D66*E66,2)</f>
        <v>3.78</v>
      </c>
      <c r="G66" s="1195" t="s">
        <v>695</v>
      </c>
      <c r="H66" s="1196"/>
    </row>
    <row r="67" spans="1:8">
      <c r="A67" s="108"/>
      <c r="B67" s="107" t="s">
        <v>623</v>
      </c>
      <c r="C67" s="77"/>
      <c r="D67" s="82">
        <v>0.33</v>
      </c>
      <c r="E67" s="83">
        <v>103.85</v>
      </c>
      <c r="F67" s="83">
        <f>ROUND((D67*E67)/2,2)</f>
        <v>17.14</v>
      </c>
      <c r="G67" s="1195" t="s">
        <v>946</v>
      </c>
      <c r="H67" s="1196"/>
    </row>
    <row r="68" spans="1:8" ht="13.15" customHeight="1">
      <c r="A68" s="108"/>
      <c r="B68" s="107" t="s">
        <v>611</v>
      </c>
      <c r="C68" s="102">
        <v>24</v>
      </c>
      <c r="D68" s="324">
        <v>1</v>
      </c>
      <c r="E68" s="324">
        <f>1030</f>
        <v>1030</v>
      </c>
      <c r="F68" s="109">
        <f>ROUND(E68/2/2088,2)</f>
        <v>0.25</v>
      </c>
      <c r="G68" s="1195" t="s">
        <v>882</v>
      </c>
      <c r="H68" s="1196"/>
    </row>
    <row r="69" spans="1:8">
      <c r="A69" s="108"/>
      <c r="B69" s="107" t="s">
        <v>877</v>
      </c>
      <c r="C69" s="102">
        <v>24</v>
      </c>
      <c r="D69" s="324">
        <v>1</v>
      </c>
      <c r="E69" s="324">
        <f>980</f>
        <v>980</v>
      </c>
      <c r="F69" s="109">
        <f>ROUND(E69/2/2088,2)</f>
        <v>0.23</v>
      </c>
      <c r="G69" s="1195" t="s">
        <v>1043</v>
      </c>
      <c r="H69" s="1196"/>
    </row>
    <row r="70" spans="1:8">
      <c r="A70" s="108"/>
      <c r="B70" s="107" t="s">
        <v>875</v>
      </c>
      <c r="C70" s="102">
        <v>24</v>
      </c>
      <c r="D70" s="108">
        <v>1</v>
      </c>
      <c r="E70" s="324">
        <f>970</f>
        <v>970</v>
      </c>
      <c r="F70" s="325">
        <f>ROUND(E70/2/I29,2)</f>
        <v>0.23</v>
      </c>
      <c r="G70" s="1202" t="s">
        <v>1044</v>
      </c>
      <c r="H70" s="1202"/>
    </row>
    <row r="71" spans="1:8">
      <c r="A71" s="108"/>
      <c r="B71" s="107" t="s">
        <v>613</v>
      </c>
      <c r="C71" s="102">
        <v>24</v>
      </c>
      <c r="D71" s="324">
        <v>1</v>
      </c>
      <c r="E71" s="480">
        <f>160</f>
        <v>160</v>
      </c>
      <c r="F71" s="109">
        <f>ROUND(E71/2/2088,2)</f>
        <v>0.04</v>
      </c>
      <c r="G71" s="1195" t="s">
        <v>1047</v>
      </c>
      <c r="H71" s="1196"/>
    </row>
    <row r="72" spans="1:8">
      <c r="A72" s="108"/>
      <c r="B72" s="107" t="s">
        <v>1000</v>
      </c>
      <c r="C72" s="106" t="s">
        <v>364</v>
      </c>
      <c r="D72" s="108">
        <v>1</v>
      </c>
      <c r="E72" s="108">
        <v>170</v>
      </c>
      <c r="F72" s="109">
        <f>ROUND(E72/2088,2)</f>
        <v>0.08</v>
      </c>
      <c r="G72" s="1195" t="s">
        <v>1001</v>
      </c>
      <c r="H72" s="1196"/>
    </row>
    <row r="73" spans="1:8">
      <c r="A73" s="108"/>
      <c r="B73" s="107" t="s">
        <v>325</v>
      </c>
      <c r="C73" s="106" t="s">
        <v>365</v>
      </c>
      <c r="D73" s="108">
        <v>1</v>
      </c>
      <c r="E73" s="108">
        <v>32</v>
      </c>
      <c r="F73" s="109">
        <f>ROUND(E73*D73/I28,2)</f>
        <v>0.18</v>
      </c>
      <c r="G73" s="1195" t="s">
        <v>881</v>
      </c>
      <c r="H73" s="1196"/>
    </row>
    <row r="74" spans="1:8">
      <c r="A74" s="108"/>
      <c r="C74" s="106"/>
      <c r="D74" s="108"/>
      <c r="E74" s="108"/>
      <c r="F74" s="562">
        <f>ROUND(SUM(F65:F73),2)</f>
        <v>47.43</v>
      </c>
      <c r="G74" s="1195"/>
      <c r="H74" s="1196"/>
    </row>
    <row r="75" spans="1:8">
      <c r="A75" s="108"/>
      <c r="B75" s="481" t="s">
        <v>1013</v>
      </c>
      <c r="C75" s="106"/>
      <c r="D75" s="108"/>
      <c r="E75" s="108"/>
      <c r="F75" s="489"/>
      <c r="G75" s="1195"/>
      <c r="H75" s="1196"/>
    </row>
    <row r="76" spans="1:8" ht="15.6" customHeight="1">
      <c r="A76" s="108"/>
      <c r="B76" s="481" t="s">
        <v>1014</v>
      </c>
      <c r="C76" s="482">
        <v>7.3999999999999996E-2</v>
      </c>
      <c r="D76" s="82">
        <v>6.3</v>
      </c>
      <c r="E76" s="108">
        <v>55.99</v>
      </c>
      <c r="F76" s="325">
        <f>ROUND(C76*D76*E76,2)</f>
        <v>26.1</v>
      </c>
      <c r="G76" s="1193" t="s">
        <v>1033</v>
      </c>
      <c r="H76" s="1194"/>
    </row>
    <row r="77" spans="1:8" ht="15.6" customHeight="1">
      <c r="A77" s="108"/>
      <c r="B77" s="481" t="s">
        <v>1015</v>
      </c>
      <c r="C77" s="106">
        <v>8.1000000000000003E-2</v>
      </c>
      <c r="D77" s="82">
        <v>2.7</v>
      </c>
      <c r="E77" s="108">
        <v>55.99</v>
      </c>
      <c r="F77" s="325">
        <f>ROUND(C77*D77*E77,2)</f>
        <v>12.25</v>
      </c>
      <c r="G77" s="1193" t="s">
        <v>1034</v>
      </c>
      <c r="H77" s="1194"/>
    </row>
    <row r="78" spans="1:8" ht="27" customHeight="1" thickBot="1">
      <c r="A78" s="108"/>
      <c r="B78" s="481" t="s">
        <v>811</v>
      </c>
      <c r="C78" s="106">
        <v>5.6000000000000001E-2</v>
      </c>
      <c r="D78" s="82">
        <v>9.8000000000000007</v>
      </c>
      <c r="E78" s="108">
        <v>55.99</v>
      </c>
      <c r="F78" s="325">
        <f>ROUND(C78*D78*E78,2)</f>
        <v>30.73</v>
      </c>
      <c r="G78" s="1202" t="s">
        <v>1035</v>
      </c>
      <c r="H78" s="1202"/>
    </row>
    <row r="79" spans="1:8" ht="13.5" thickBot="1">
      <c r="A79" s="569"/>
      <c r="B79" s="570" t="s">
        <v>763</v>
      </c>
      <c r="C79" s="484"/>
      <c r="D79" s="486">
        <f>(D76+D78+D77)/3</f>
        <v>6.2666666666666666</v>
      </c>
      <c r="E79" s="485"/>
      <c r="F79" s="566">
        <f>ROUND((F76+F77+F78)/3,2)</f>
        <v>23.03</v>
      </c>
      <c r="G79" s="1200"/>
      <c r="H79" s="1201"/>
    </row>
    <row r="80" spans="1:8" ht="13.5" thickBot="1">
      <c r="A80" s="108"/>
      <c r="B80" s="483"/>
      <c r="C80" s="484"/>
      <c r="D80" s="485"/>
      <c r="E80" s="485"/>
      <c r="F80" s="486"/>
      <c r="G80" s="1200"/>
      <c r="H80" s="1201"/>
    </row>
    <row r="81" spans="1:8">
      <c r="A81" s="108"/>
      <c r="B81" s="1197" t="s">
        <v>624</v>
      </c>
      <c r="C81" s="1198"/>
      <c r="D81" s="1198"/>
      <c r="E81" s="1198"/>
      <c r="F81" s="1198"/>
      <c r="G81" s="1198"/>
      <c r="H81" s="1199"/>
    </row>
    <row r="82" spans="1:8">
      <c r="A82" s="108"/>
      <c r="B82" s="107" t="s">
        <v>611</v>
      </c>
      <c r="C82" s="102">
        <v>24</v>
      </c>
      <c r="D82" s="324">
        <v>1</v>
      </c>
      <c r="E82" s="324">
        <f>1030</f>
        <v>1030</v>
      </c>
      <c r="F82" s="109">
        <f>ROUND(E82/2/2088,2)</f>
        <v>0.25</v>
      </c>
      <c r="G82" s="1195" t="s">
        <v>882</v>
      </c>
      <c r="H82" s="1196"/>
    </row>
    <row r="83" spans="1:8">
      <c r="A83" s="108"/>
      <c r="B83" s="107" t="s">
        <v>877</v>
      </c>
      <c r="C83" s="102">
        <v>24</v>
      </c>
      <c r="D83" s="324">
        <v>1</v>
      </c>
      <c r="E83" s="324">
        <f>980</f>
        <v>980</v>
      </c>
      <c r="F83" s="109">
        <f>ROUND(E83/2/2088,2)</f>
        <v>0.23</v>
      </c>
      <c r="G83" s="1195" t="s">
        <v>1043</v>
      </c>
      <c r="H83" s="1196"/>
    </row>
    <row r="84" spans="1:8">
      <c r="A84" s="108"/>
      <c r="B84" s="107" t="s">
        <v>875</v>
      </c>
      <c r="C84" s="102">
        <v>24</v>
      </c>
      <c r="D84" s="108">
        <v>1</v>
      </c>
      <c r="E84" s="324">
        <f>970</f>
        <v>970</v>
      </c>
      <c r="F84" s="325">
        <f>ROUND(E84/2/I29,2)</f>
        <v>0.23</v>
      </c>
      <c r="G84" s="1202" t="s">
        <v>1044</v>
      </c>
      <c r="H84" s="1202"/>
    </row>
    <row r="85" spans="1:8">
      <c r="A85" s="108"/>
      <c r="B85" s="107" t="s">
        <v>613</v>
      </c>
      <c r="C85" s="102">
        <v>24</v>
      </c>
      <c r="D85" s="324">
        <v>1</v>
      </c>
      <c r="E85" s="480">
        <v>160</v>
      </c>
      <c r="F85" s="109">
        <f>ROUND(E85/2/2088,2)</f>
        <v>0.04</v>
      </c>
      <c r="G85" s="1195" t="s">
        <v>1047</v>
      </c>
      <c r="H85" s="1196"/>
    </row>
    <row r="86" spans="1:8">
      <c r="A86" s="108"/>
      <c r="B86" s="107" t="s">
        <v>1000</v>
      </c>
      <c r="C86" s="106" t="s">
        <v>364</v>
      </c>
      <c r="D86" s="108">
        <v>1</v>
      </c>
      <c r="E86" s="108">
        <v>170</v>
      </c>
      <c r="F86" s="133">
        <f>ROUND(E86/2088,2)</f>
        <v>0.08</v>
      </c>
      <c r="G86" s="1195" t="s">
        <v>1001</v>
      </c>
      <c r="H86" s="1196"/>
    </row>
    <row r="87" spans="1:8">
      <c r="A87" s="108"/>
      <c r="B87" s="107" t="s">
        <v>325</v>
      </c>
      <c r="C87" s="106" t="s">
        <v>365</v>
      </c>
      <c r="D87" s="108">
        <v>1</v>
      </c>
      <c r="E87" s="108">
        <v>32</v>
      </c>
      <c r="F87" s="109">
        <f>ROUND(E87*D87/I28,2)</f>
        <v>0.18</v>
      </c>
      <c r="G87" s="1195" t="s">
        <v>883</v>
      </c>
      <c r="H87" s="1196"/>
    </row>
    <row r="88" spans="1:8">
      <c r="A88" s="108"/>
      <c r="B88" s="110" t="s">
        <v>648</v>
      </c>
      <c r="C88" s="106"/>
      <c r="D88" s="108"/>
      <c r="E88" s="108"/>
      <c r="F88" s="563">
        <f>ROUND(SUM(F82:F87),2)</f>
        <v>1.01</v>
      </c>
      <c r="G88" s="493"/>
      <c r="H88" s="494"/>
    </row>
    <row r="89" spans="1:8">
      <c r="A89" s="108"/>
      <c r="B89" s="107" t="s">
        <v>837</v>
      </c>
      <c r="C89" s="82">
        <v>12</v>
      </c>
      <c r="D89" s="82">
        <v>1</v>
      </c>
      <c r="E89" s="111"/>
      <c r="F89" s="83">
        <f>ROUND(E89/C89/I28,2)</f>
        <v>0</v>
      </c>
      <c r="G89" s="1195"/>
      <c r="H89" s="1196"/>
    </row>
    <row r="90" spans="1:8">
      <c r="A90" s="108"/>
      <c r="B90" s="107" t="s">
        <v>945</v>
      </c>
      <c r="C90" s="82">
        <v>12</v>
      </c>
      <c r="D90" s="82">
        <v>1</v>
      </c>
      <c r="E90" s="111"/>
      <c r="F90" s="83">
        <f>ROUND(E90/C90/I28,2)</f>
        <v>0</v>
      </c>
      <c r="G90" s="1195"/>
      <c r="H90" s="1196"/>
    </row>
    <row r="91" spans="1:8">
      <c r="A91" s="108"/>
      <c r="B91" s="107" t="s">
        <v>836</v>
      </c>
      <c r="C91" s="82"/>
      <c r="D91" s="82"/>
      <c r="E91" s="536">
        <f>(E89+E90)</f>
        <v>0</v>
      </c>
      <c r="F91" s="572">
        <f>(F89+F90)/3</f>
        <v>0</v>
      </c>
      <c r="G91" s="493"/>
      <c r="H91" s="494"/>
    </row>
    <row r="92" spans="1:8">
      <c r="A92" s="108"/>
      <c r="B92" s="481" t="s">
        <v>1013</v>
      </c>
      <c r="C92" s="475"/>
      <c r="D92" s="82"/>
      <c r="E92" s="111"/>
      <c r="F92" s="564"/>
      <c r="G92" s="493"/>
      <c r="H92" s="494"/>
    </row>
    <row r="93" spans="1:8" ht="15" customHeight="1">
      <c r="A93" s="108"/>
      <c r="B93" s="481" t="s">
        <v>1014</v>
      </c>
      <c r="C93" s="482">
        <v>7.3999999999999996E-2</v>
      </c>
      <c r="D93" s="82">
        <v>6.3</v>
      </c>
      <c r="E93" s="108">
        <v>55.99</v>
      </c>
      <c r="F93" s="109">
        <f>ROUND(C93*D93*E93,2)</f>
        <v>26.1</v>
      </c>
      <c r="G93" s="1193" t="s">
        <v>1033</v>
      </c>
      <c r="H93" s="1194"/>
    </row>
    <row r="94" spans="1:8" ht="13.15" customHeight="1">
      <c r="A94" s="108"/>
      <c r="B94" s="481" t="s">
        <v>1015</v>
      </c>
      <c r="C94" s="106">
        <v>8.1000000000000003E-2</v>
      </c>
      <c r="D94" s="82">
        <v>2.7</v>
      </c>
      <c r="E94" s="108">
        <v>55.99</v>
      </c>
      <c r="F94" s="109">
        <f>ROUND(C94*D94*E94,2)</f>
        <v>12.25</v>
      </c>
      <c r="G94" s="1193" t="s">
        <v>1034</v>
      </c>
      <c r="H94" s="1194"/>
    </row>
    <row r="95" spans="1:8" ht="25.5">
      <c r="A95" s="108"/>
      <c r="B95" s="107" t="s">
        <v>811</v>
      </c>
      <c r="C95" s="106">
        <v>5.6000000000000001E-2</v>
      </c>
      <c r="D95" s="82">
        <v>9.8000000000000007</v>
      </c>
      <c r="E95" s="108">
        <v>55.99</v>
      </c>
      <c r="F95" s="109">
        <f>ROUND(C95*D95*E95,2)</f>
        <v>30.73</v>
      </c>
      <c r="G95" s="1202" t="s">
        <v>1035</v>
      </c>
      <c r="H95" s="1202"/>
    </row>
    <row r="96" spans="1:8">
      <c r="A96" s="77"/>
      <c r="B96" s="77"/>
      <c r="C96" s="77"/>
      <c r="D96" s="572">
        <f>(D93+D94+D95)/3</f>
        <v>6.2666666666666666</v>
      </c>
      <c r="E96" s="77"/>
      <c r="F96" s="562">
        <f>ROUND((F93+F94+F95)/3,2)</f>
        <v>23.03</v>
      </c>
      <c r="G96" s="1191"/>
      <c r="H96" s="1192"/>
    </row>
    <row r="101" spans="1:7" ht="15.75">
      <c r="A101" s="295" t="s">
        <v>23</v>
      </c>
      <c r="B101" s="37"/>
      <c r="C101" s="51"/>
      <c r="G101" s="51" t="s">
        <v>51</v>
      </c>
    </row>
  </sheetData>
  <mergeCells count="114">
    <mergeCell ref="G95:H95"/>
    <mergeCell ref="G76:H76"/>
    <mergeCell ref="G35:H35"/>
    <mergeCell ref="G54:H54"/>
    <mergeCell ref="G69:H69"/>
    <mergeCell ref="G71:H71"/>
    <mergeCell ref="G45:H45"/>
    <mergeCell ref="G47:H47"/>
    <mergeCell ref="G42:H42"/>
    <mergeCell ref="G48:H48"/>
    <mergeCell ref="G57:H57"/>
    <mergeCell ref="G61:H61"/>
    <mergeCell ref="G58:H58"/>
    <mergeCell ref="G85:H85"/>
    <mergeCell ref="G86:H86"/>
    <mergeCell ref="G87:H87"/>
    <mergeCell ref="G43:H43"/>
    <mergeCell ref="G78:H78"/>
    <mergeCell ref="G80:H80"/>
    <mergeCell ref="G93:H93"/>
    <mergeCell ref="G94:H94"/>
    <mergeCell ref="G89:H89"/>
    <mergeCell ref="G90:H90"/>
    <mergeCell ref="G82:H82"/>
    <mergeCell ref="N51:O51"/>
    <mergeCell ref="N52:O52"/>
    <mergeCell ref="N54:O54"/>
    <mergeCell ref="G51:H51"/>
    <mergeCell ref="G50:H50"/>
    <mergeCell ref="N45:O45"/>
    <mergeCell ref="N47:O47"/>
    <mergeCell ref="N48:O48"/>
    <mergeCell ref="N49:O49"/>
    <mergeCell ref="N50:O50"/>
    <mergeCell ref="G52:H52"/>
    <mergeCell ref="G49:H49"/>
    <mergeCell ref="G53:H53"/>
    <mergeCell ref="G75:H75"/>
    <mergeCell ref="G55:H55"/>
    <mergeCell ref="G64:H64"/>
    <mergeCell ref="G70:H70"/>
    <mergeCell ref="G46:H46"/>
    <mergeCell ref="C4:G4"/>
    <mergeCell ref="G67:H67"/>
    <mergeCell ref="A1:G1"/>
    <mergeCell ref="A2:B2"/>
    <mergeCell ref="C2:G2"/>
    <mergeCell ref="A3:B3"/>
    <mergeCell ref="C3:G3"/>
    <mergeCell ref="E12:F12"/>
    <mergeCell ref="G12:H12"/>
    <mergeCell ref="E13:F13"/>
    <mergeCell ref="B12:D12"/>
    <mergeCell ref="A10:H10"/>
    <mergeCell ref="G13:H13"/>
    <mergeCell ref="E15:F15"/>
    <mergeCell ref="C5:G5"/>
    <mergeCell ref="A18:B18"/>
    <mergeCell ref="B20:C20"/>
    <mergeCell ref="F20:G20"/>
    <mergeCell ref="G30:H30"/>
    <mergeCell ref="G31:H31"/>
    <mergeCell ref="B21:C21"/>
    <mergeCell ref="F21:G21"/>
    <mergeCell ref="B22:C22"/>
    <mergeCell ref="B17:C17"/>
    <mergeCell ref="E17:F17"/>
    <mergeCell ref="G17:H17"/>
    <mergeCell ref="G14:H14"/>
    <mergeCell ref="B13:D13"/>
    <mergeCell ref="B14:D14"/>
    <mergeCell ref="E16:F16"/>
    <mergeCell ref="G15:H15"/>
    <mergeCell ref="G16:H16"/>
    <mergeCell ref="B15:D15"/>
    <mergeCell ref="E14:F14"/>
    <mergeCell ref="G34:H34"/>
    <mergeCell ref="B36:H36"/>
    <mergeCell ref="G37:H37"/>
    <mergeCell ref="G38:H38"/>
    <mergeCell ref="G40:H40"/>
    <mergeCell ref="G41:H41"/>
    <mergeCell ref="G72:H72"/>
    <mergeCell ref="G73:H73"/>
    <mergeCell ref="G63:H63"/>
    <mergeCell ref="G65:H65"/>
    <mergeCell ref="G66:H66"/>
    <mergeCell ref="G68:H68"/>
    <mergeCell ref="G39:H39"/>
    <mergeCell ref="G59:H59"/>
    <mergeCell ref="G96:H96"/>
    <mergeCell ref="G77:H77"/>
    <mergeCell ref="G83:H83"/>
    <mergeCell ref="B81:H81"/>
    <mergeCell ref="G79:H79"/>
    <mergeCell ref="G84:H84"/>
    <mergeCell ref="G74:H74"/>
    <mergeCell ref="A8:B8"/>
    <mergeCell ref="A6:B6"/>
    <mergeCell ref="B29:H29"/>
    <mergeCell ref="B44:H44"/>
    <mergeCell ref="B62:H62"/>
    <mergeCell ref="F22:G22"/>
    <mergeCell ref="B23:C23"/>
    <mergeCell ref="F23:G23"/>
    <mergeCell ref="A27:H27"/>
    <mergeCell ref="B24:C24"/>
    <mergeCell ref="F24:G24"/>
    <mergeCell ref="B25:C25"/>
    <mergeCell ref="F25:G25"/>
    <mergeCell ref="G28:H28"/>
    <mergeCell ref="G32:H32"/>
    <mergeCell ref="G33:H33"/>
    <mergeCell ref="G60:H60"/>
  </mergeCells>
  <printOptions horizontalCentered="1"/>
  <pageMargins left="0.70866141732283472" right="0.35433070866141736" top="0.59055118110236227" bottom="0.98425196850393704" header="0.27559055118110237" footer="0.51181102362204722"/>
  <pageSetup paperSize="9" scale="80" orientation="portrait" r:id="rId1"/>
  <headerFooter alignWithMargins="0"/>
  <rowBreaks count="1" manualBreakCount="1">
    <brk id="61" max="7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42"/>
  <sheetViews>
    <sheetView view="pageBreakPreview" topLeftCell="B10" zoomScale="93" zoomScaleNormal="115" zoomScaleSheetLayoutView="93" workbookViewId="0">
      <selection activeCell="H25" sqref="H25"/>
    </sheetView>
  </sheetViews>
  <sheetFormatPr defaultRowHeight="15.75"/>
  <cols>
    <col min="1" max="1" width="2.140625" style="90" hidden="1" customWidth="1"/>
    <col min="2" max="2" width="5" style="90" customWidth="1"/>
    <col min="3" max="3" width="51.140625" style="90" customWidth="1"/>
    <col min="4" max="4" width="13.7109375" style="86" customWidth="1"/>
    <col min="5" max="5" width="7.28515625" style="90" customWidth="1"/>
    <col min="6" max="6" width="2.140625" style="90" hidden="1" customWidth="1"/>
    <col min="7" max="7" width="10.85546875" style="90" customWidth="1"/>
    <col min="8" max="8" width="8.5703125" style="90" customWidth="1"/>
    <col min="9" max="250" width="9.140625" style="90"/>
    <col min="251" max="251" width="0" style="90" hidden="1" customWidth="1"/>
    <col min="252" max="252" width="3.5703125" style="90" customWidth="1"/>
    <col min="253" max="253" width="51" style="90" customWidth="1"/>
    <col min="254" max="254" width="13.7109375" style="90" customWidth="1"/>
    <col min="255" max="255" width="8.5703125" style="90" customWidth="1"/>
    <col min="256" max="256" width="8.42578125" style="90" customWidth="1"/>
    <col min="257" max="257" width="14.28515625" style="90" customWidth="1"/>
    <col min="258" max="258" width="13.5703125" style="90" customWidth="1"/>
    <col min="259" max="259" width="6.5703125" style="90" customWidth="1"/>
    <col min="260" max="260" width="29.42578125" style="90" customWidth="1"/>
    <col min="261" max="261" width="10.42578125" style="90" bestFit="1" customWidth="1"/>
    <col min="262" max="506" width="9.140625" style="90"/>
    <col min="507" max="507" width="0" style="90" hidden="1" customWidth="1"/>
    <col min="508" max="508" width="3.5703125" style="90" customWidth="1"/>
    <col min="509" max="509" width="51" style="90" customWidth="1"/>
    <col min="510" max="510" width="13.7109375" style="90" customWidth="1"/>
    <col min="511" max="511" width="8.5703125" style="90" customWidth="1"/>
    <col min="512" max="512" width="8.42578125" style="90" customWidth="1"/>
    <col min="513" max="513" width="14.28515625" style="90" customWidth="1"/>
    <col min="514" max="514" width="13.5703125" style="90" customWidth="1"/>
    <col min="515" max="515" width="6.5703125" style="90" customWidth="1"/>
    <col min="516" max="516" width="29.42578125" style="90" customWidth="1"/>
    <col min="517" max="517" width="10.42578125" style="90" bestFit="1" customWidth="1"/>
    <col min="518" max="762" width="9.140625" style="90"/>
    <col min="763" max="763" width="0" style="90" hidden="1" customWidth="1"/>
    <col min="764" max="764" width="3.5703125" style="90" customWidth="1"/>
    <col min="765" max="765" width="51" style="90" customWidth="1"/>
    <col min="766" max="766" width="13.7109375" style="90" customWidth="1"/>
    <col min="767" max="767" width="8.5703125" style="90" customWidth="1"/>
    <col min="768" max="768" width="8.42578125" style="90" customWidth="1"/>
    <col min="769" max="769" width="14.28515625" style="90" customWidth="1"/>
    <col min="770" max="770" width="13.5703125" style="90" customWidth="1"/>
    <col min="771" max="771" width="6.5703125" style="90" customWidth="1"/>
    <col min="772" max="772" width="29.42578125" style="90" customWidth="1"/>
    <col min="773" max="773" width="10.42578125" style="90" bestFit="1" customWidth="1"/>
    <col min="774" max="1018" width="9.140625" style="90"/>
    <col min="1019" max="1019" width="0" style="90" hidden="1" customWidth="1"/>
    <col min="1020" max="1020" width="3.5703125" style="90" customWidth="1"/>
    <col min="1021" max="1021" width="51" style="90" customWidth="1"/>
    <col min="1022" max="1022" width="13.7109375" style="90" customWidth="1"/>
    <col min="1023" max="1023" width="8.5703125" style="90" customWidth="1"/>
    <col min="1024" max="1024" width="8.42578125" style="90" customWidth="1"/>
    <col min="1025" max="1025" width="14.28515625" style="90" customWidth="1"/>
    <col min="1026" max="1026" width="13.5703125" style="90" customWidth="1"/>
    <col min="1027" max="1027" width="6.5703125" style="90" customWidth="1"/>
    <col min="1028" max="1028" width="29.42578125" style="90" customWidth="1"/>
    <col min="1029" max="1029" width="10.42578125" style="90" bestFit="1" customWidth="1"/>
    <col min="1030" max="1274" width="9.140625" style="90"/>
    <col min="1275" max="1275" width="0" style="90" hidden="1" customWidth="1"/>
    <col min="1276" max="1276" width="3.5703125" style="90" customWidth="1"/>
    <col min="1277" max="1277" width="51" style="90" customWidth="1"/>
    <col min="1278" max="1278" width="13.7109375" style="90" customWidth="1"/>
    <col min="1279" max="1279" width="8.5703125" style="90" customWidth="1"/>
    <col min="1280" max="1280" width="8.42578125" style="90" customWidth="1"/>
    <col min="1281" max="1281" width="14.28515625" style="90" customWidth="1"/>
    <col min="1282" max="1282" width="13.5703125" style="90" customWidth="1"/>
    <col min="1283" max="1283" width="6.5703125" style="90" customWidth="1"/>
    <col min="1284" max="1284" width="29.42578125" style="90" customWidth="1"/>
    <col min="1285" max="1285" width="10.42578125" style="90" bestFit="1" customWidth="1"/>
    <col min="1286" max="1530" width="9.140625" style="90"/>
    <col min="1531" max="1531" width="0" style="90" hidden="1" customWidth="1"/>
    <col min="1532" max="1532" width="3.5703125" style="90" customWidth="1"/>
    <col min="1533" max="1533" width="51" style="90" customWidth="1"/>
    <col min="1534" max="1534" width="13.7109375" style="90" customWidth="1"/>
    <col min="1535" max="1535" width="8.5703125" style="90" customWidth="1"/>
    <col min="1536" max="1536" width="8.42578125" style="90" customWidth="1"/>
    <col min="1537" max="1537" width="14.28515625" style="90" customWidth="1"/>
    <col min="1538" max="1538" width="13.5703125" style="90" customWidth="1"/>
    <col min="1539" max="1539" width="6.5703125" style="90" customWidth="1"/>
    <col min="1540" max="1540" width="29.42578125" style="90" customWidth="1"/>
    <col min="1541" max="1541" width="10.42578125" style="90" bestFit="1" customWidth="1"/>
    <col min="1542" max="1786" width="9.140625" style="90"/>
    <col min="1787" max="1787" width="0" style="90" hidden="1" customWidth="1"/>
    <col min="1788" max="1788" width="3.5703125" style="90" customWidth="1"/>
    <col min="1789" max="1789" width="51" style="90" customWidth="1"/>
    <col min="1790" max="1790" width="13.7109375" style="90" customWidth="1"/>
    <col min="1791" max="1791" width="8.5703125" style="90" customWidth="1"/>
    <col min="1792" max="1792" width="8.42578125" style="90" customWidth="1"/>
    <col min="1793" max="1793" width="14.28515625" style="90" customWidth="1"/>
    <col min="1794" max="1794" width="13.5703125" style="90" customWidth="1"/>
    <col min="1795" max="1795" width="6.5703125" style="90" customWidth="1"/>
    <col min="1796" max="1796" width="29.42578125" style="90" customWidth="1"/>
    <col min="1797" max="1797" width="10.42578125" style="90" bestFit="1" customWidth="1"/>
    <col min="1798" max="2042" width="9.140625" style="90"/>
    <col min="2043" max="2043" width="0" style="90" hidden="1" customWidth="1"/>
    <col min="2044" max="2044" width="3.5703125" style="90" customWidth="1"/>
    <col min="2045" max="2045" width="51" style="90" customWidth="1"/>
    <col min="2046" max="2046" width="13.7109375" style="90" customWidth="1"/>
    <col min="2047" max="2047" width="8.5703125" style="90" customWidth="1"/>
    <col min="2048" max="2048" width="8.42578125" style="90" customWidth="1"/>
    <col min="2049" max="2049" width="14.28515625" style="90" customWidth="1"/>
    <col min="2050" max="2050" width="13.5703125" style="90" customWidth="1"/>
    <col min="2051" max="2051" width="6.5703125" style="90" customWidth="1"/>
    <col min="2052" max="2052" width="29.42578125" style="90" customWidth="1"/>
    <col min="2053" max="2053" width="10.42578125" style="90" bestFit="1" customWidth="1"/>
    <col min="2054" max="2298" width="9.140625" style="90"/>
    <col min="2299" max="2299" width="0" style="90" hidden="1" customWidth="1"/>
    <col min="2300" max="2300" width="3.5703125" style="90" customWidth="1"/>
    <col min="2301" max="2301" width="51" style="90" customWidth="1"/>
    <col min="2302" max="2302" width="13.7109375" style="90" customWidth="1"/>
    <col min="2303" max="2303" width="8.5703125" style="90" customWidth="1"/>
    <col min="2304" max="2304" width="8.42578125" style="90" customWidth="1"/>
    <col min="2305" max="2305" width="14.28515625" style="90" customWidth="1"/>
    <col min="2306" max="2306" width="13.5703125" style="90" customWidth="1"/>
    <col min="2307" max="2307" width="6.5703125" style="90" customWidth="1"/>
    <col min="2308" max="2308" width="29.42578125" style="90" customWidth="1"/>
    <col min="2309" max="2309" width="10.42578125" style="90" bestFit="1" customWidth="1"/>
    <col min="2310" max="2554" width="9.140625" style="90"/>
    <col min="2555" max="2555" width="0" style="90" hidden="1" customWidth="1"/>
    <col min="2556" max="2556" width="3.5703125" style="90" customWidth="1"/>
    <col min="2557" max="2557" width="51" style="90" customWidth="1"/>
    <col min="2558" max="2558" width="13.7109375" style="90" customWidth="1"/>
    <col min="2559" max="2559" width="8.5703125" style="90" customWidth="1"/>
    <col min="2560" max="2560" width="8.42578125" style="90" customWidth="1"/>
    <col min="2561" max="2561" width="14.28515625" style="90" customWidth="1"/>
    <col min="2562" max="2562" width="13.5703125" style="90" customWidth="1"/>
    <col min="2563" max="2563" width="6.5703125" style="90" customWidth="1"/>
    <col min="2564" max="2564" width="29.42578125" style="90" customWidth="1"/>
    <col min="2565" max="2565" width="10.42578125" style="90" bestFit="1" customWidth="1"/>
    <col min="2566" max="2810" width="9.140625" style="90"/>
    <col min="2811" max="2811" width="0" style="90" hidden="1" customWidth="1"/>
    <col min="2812" max="2812" width="3.5703125" style="90" customWidth="1"/>
    <col min="2813" max="2813" width="51" style="90" customWidth="1"/>
    <col min="2814" max="2814" width="13.7109375" style="90" customWidth="1"/>
    <col min="2815" max="2815" width="8.5703125" style="90" customWidth="1"/>
    <col min="2816" max="2816" width="8.42578125" style="90" customWidth="1"/>
    <col min="2817" max="2817" width="14.28515625" style="90" customWidth="1"/>
    <col min="2818" max="2818" width="13.5703125" style="90" customWidth="1"/>
    <col min="2819" max="2819" width="6.5703125" style="90" customWidth="1"/>
    <col min="2820" max="2820" width="29.42578125" style="90" customWidth="1"/>
    <col min="2821" max="2821" width="10.42578125" style="90" bestFit="1" customWidth="1"/>
    <col min="2822" max="3066" width="9.140625" style="90"/>
    <col min="3067" max="3067" width="0" style="90" hidden="1" customWidth="1"/>
    <col min="3068" max="3068" width="3.5703125" style="90" customWidth="1"/>
    <col min="3069" max="3069" width="51" style="90" customWidth="1"/>
    <col min="3070" max="3070" width="13.7109375" style="90" customWidth="1"/>
    <col min="3071" max="3071" width="8.5703125" style="90" customWidth="1"/>
    <col min="3072" max="3072" width="8.42578125" style="90" customWidth="1"/>
    <col min="3073" max="3073" width="14.28515625" style="90" customWidth="1"/>
    <col min="3074" max="3074" width="13.5703125" style="90" customWidth="1"/>
    <col min="3075" max="3075" width="6.5703125" style="90" customWidth="1"/>
    <col min="3076" max="3076" width="29.42578125" style="90" customWidth="1"/>
    <col min="3077" max="3077" width="10.42578125" style="90" bestFit="1" customWidth="1"/>
    <col min="3078" max="3322" width="9.140625" style="90"/>
    <col min="3323" max="3323" width="0" style="90" hidden="1" customWidth="1"/>
    <col min="3324" max="3324" width="3.5703125" style="90" customWidth="1"/>
    <col min="3325" max="3325" width="51" style="90" customWidth="1"/>
    <col min="3326" max="3326" width="13.7109375" style="90" customWidth="1"/>
    <col min="3327" max="3327" width="8.5703125" style="90" customWidth="1"/>
    <col min="3328" max="3328" width="8.42578125" style="90" customWidth="1"/>
    <col min="3329" max="3329" width="14.28515625" style="90" customWidth="1"/>
    <col min="3330" max="3330" width="13.5703125" style="90" customWidth="1"/>
    <col min="3331" max="3331" width="6.5703125" style="90" customWidth="1"/>
    <col min="3332" max="3332" width="29.42578125" style="90" customWidth="1"/>
    <col min="3333" max="3333" width="10.42578125" style="90" bestFit="1" customWidth="1"/>
    <col min="3334" max="3578" width="9.140625" style="90"/>
    <col min="3579" max="3579" width="0" style="90" hidden="1" customWidth="1"/>
    <col min="3580" max="3580" width="3.5703125" style="90" customWidth="1"/>
    <col min="3581" max="3581" width="51" style="90" customWidth="1"/>
    <col min="3582" max="3582" width="13.7109375" style="90" customWidth="1"/>
    <col min="3583" max="3583" width="8.5703125" style="90" customWidth="1"/>
    <col min="3584" max="3584" width="8.42578125" style="90" customWidth="1"/>
    <col min="3585" max="3585" width="14.28515625" style="90" customWidth="1"/>
    <col min="3586" max="3586" width="13.5703125" style="90" customWidth="1"/>
    <col min="3587" max="3587" width="6.5703125" style="90" customWidth="1"/>
    <col min="3588" max="3588" width="29.42578125" style="90" customWidth="1"/>
    <col min="3589" max="3589" width="10.42578125" style="90" bestFit="1" customWidth="1"/>
    <col min="3590" max="3834" width="9.140625" style="90"/>
    <col min="3835" max="3835" width="0" style="90" hidden="1" customWidth="1"/>
    <col min="3836" max="3836" width="3.5703125" style="90" customWidth="1"/>
    <col min="3837" max="3837" width="51" style="90" customWidth="1"/>
    <col min="3838" max="3838" width="13.7109375" style="90" customWidth="1"/>
    <col min="3839" max="3839" width="8.5703125" style="90" customWidth="1"/>
    <col min="3840" max="3840" width="8.42578125" style="90" customWidth="1"/>
    <col min="3841" max="3841" width="14.28515625" style="90" customWidth="1"/>
    <col min="3842" max="3842" width="13.5703125" style="90" customWidth="1"/>
    <col min="3843" max="3843" width="6.5703125" style="90" customWidth="1"/>
    <col min="3844" max="3844" width="29.42578125" style="90" customWidth="1"/>
    <col min="3845" max="3845" width="10.42578125" style="90" bestFit="1" customWidth="1"/>
    <col min="3846" max="4090" width="9.140625" style="90"/>
    <col min="4091" max="4091" width="0" style="90" hidden="1" customWidth="1"/>
    <col min="4092" max="4092" width="3.5703125" style="90" customWidth="1"/>
    <col min="4093" max="4093" width="51" style="90" customWidth="1"/>
    <col min="4094" max="4094" width="13.7109375" style="90" customWidth="1"/>
    <col min="4095" max="4095" width="8.5703125" style="90" customWidth="1"/>
    <col min="4096" max="4096" width="8.42578125" style="90" customWidth="1"/>
    <col min="4097" max="4097" width="14.28515625" style="90" customWidth="1"/>
    <col min="4098" max="4098" width="13.5703125" style="90" customWidth="1"/>
    <col min="4099" max="4099" width="6.5703125" style="90" customWidth="1"/>
    <col min="4100" max="4100" width="29.42578125" style="90" customWidth="1"/>
    <col min="4101" max="4101" width="10.42578125" style="90" bestFit="1" customWidth="1"/>
    <col min="4102" max="4346" width="9.140625" style="90"/>
    <col min="4347" max="4347" width="0" style="90" hidden="1" customWidth="1"/>
    <col min="4348" max="4348" width="3.5703125" style="90" customWidth="1"/>
    <col min="4349" max="4349" width="51" style="90" customWidth="1"/>
    <col min="4350" max="4350" width="13.7109375" style="90" customWidth="1"/>
    <col min="4351" max="4351" width="8.5703125" style="90" customWidth="1"/>
    <col min="4352" max="4352" width="8.42578125" style="90" customWidth="1"/>
    <col min="4353" max="4353" width="14.28515625" style="90" customWidth="1"/>
    <col min="4354" max="4354" width="13.5703125" style="90" customWidth="1"/>
    <col min="4355" max="4355" width="6.5703125" style="90" customWidth="1"/>
    <col min="4356" max="4356" width="29.42578125" style="90" customWidth="1"/>
    <col min="4357" max="4357" width="10.42578125" style="90" bestFit="1" customWidth="1"/>
    <col min="4358" max="4602" width="9.140625" style="90"/>
    <col min="4603" max="4603" width="0" style="90" hidden="1" customWidth="1"/>
    <col min="4604" max="4604" width="3.5703125" style="90" customWidth="1"/>
    <col min="4605" max="4605" width="51" style="90" customWidth="1"/>
    <col min="4606" max="4606" width="13.7109375" style="90" customWidth="1"/>
    <col min="4607" max="4607" width="8.5703125" style="90" customWidth="1"/>
    <col min="4608" max="4608" width="8.42578125" style="90" customWidth="1"/>
    <col min="4609" max="4609" width="14.28515625" style="90" customWidth="1"/>
    <col min="4610" max="4610" width="13.5703125" style="90" customWidth="1"/>
    <col min="4611" max="4611" width="6.5703125" style="90" customWidth="1"/>
    <col min="4612" max="4612" width="29.42578125" style="90" customWidth="1"/>
    <col min="4613" max="4613" width="10.42578125" style="90" bestFit="1" customWidth="1"/>
    <col min="4614" max="4858" width="9.140625" style="90"/>
    <col min="4859" max="4859" width="0" style="90" hidden="1" customWidth="1"/>
    <col min="4860" max="4860" width="3.5703125" style="90" customWidth="1"/>
    <col min="4861" max="4861" width="51" style="90" customWidth="1"/>
    <col min="4862" max="4862" width="13.7109375" style="90" customWidth="1"/>
    <col min="4863" max="4863" width="8.5703125" style="90" customWidth="1"/>
    <col min="4864" max="4864" width="8.42578125" style="90" customWidth="1"/>
    <col min="4865" max="4865" width="14.28515625" style="90" customWidth="1"/>
    <col min="4866" max="4866" width="13.5703125" style="90" customWidth="1"/>
    <col min="4867" max="4867" width="6.5703125" style="90" customWidth="1"/>
    <col min="4868" max="4868" width="29.42578125" style="90" customWidth="1"/>
    <col min="4869" max="4869" width="10.42578125" style="90" bestFit="1" customWidth="1"/>
    <col min="4870" max="5114" width="9.140625" style="90"/>
    <col min="5115" max="5115" width="0" style="90" hidden="1" customWidth="1"/>
    <col min="5116" max="5116" width="3.5703125" style="90" customWidth="1"/>
    <col min="5117" max="5117" width="51" style="90" customWidth="1"/>
    <col min="5118" max="5118" width="13.7109375" style="90" customWidth="1"/>
    <col min="5119" max="5119" width="8.5703125" style="90" customWidth="1"/>
    <col min="5120" max="5120" width="8.42578125" style="90" customWidth="1"/>
    <col min="5121" max="5121" width="14.28515625" style="90" customWidth="1"/>
    <col min="5122" max="5122" width="13.5703125" style="90" customWidth="1"/>
    <col min="5123" max="5123" width="6.5703125" style="90" customWidth="1"/>
    <col min="5124" max="5124" width="29.42578125" style="90" customWidth="1"/>
    <col min="5125" max="5125" width="10.42578125" style="90" bestFit="1" customWidth="1"/>
    <col min="5126" max="5370" width="9.140625" style="90"/>
    <col min="5371" max="5371" width="0" style="90" hidden="1" customWidth="1"/>
    <col min="5372" max="5372" width="3.5703125" style="90" customWidth="1"/>
    <col min="5373" max="5373" width="51" style="90" customWidth="1"/>
    <col min="5374" max="5374" width="13.7109375" style="90" customWidth="1"/>
    <col min="5375" max="5375" width="8.5703125" style="90" customWidth="1"/>
    <col min="5376" max="5376" width="8.42578125" style="90" customWidth="1"/>
    <col min="5377" max="5377" width="14.28515625" style="90" customWidth="1"/>
    <col min="5378" max="5378" width="13.5703125" style="90" customWidth="1"/>
    <col min="5379" max="5379" width="6.5703125" style="90" customWidth="1"/>
    <col min="5380" max="5380" width="29.42578125" style="90" customWidth="1"/>
    <col min="5381" max="5381" width="10.42578125" style="90" bestFit="1" customWidth="1"/>
    <col min="5382" max="5626" width="9.140625" style="90"/>
    <col min="5627" max="5627" width="0" style="90" hidden="1" customWidth="1"/>
    <col min="5628" max="5628" width="3.5703125" style="90" customWidth="1"/>
    <col min="5629" max="5629" width="51" style="90" customWidth="1"/>
    <col min="5630" max="5630" width="13.7109375" style="90" customWidth="1"/>
    <col min="5631" max="5631" width="8.5703125" style="90" customWidth="1"/>
    <col min="5632" max="5632" width="8.42578125" style="90" customWidth="1"/>
    <col min="5633" max="5633" width="14.28515625" style="90" customWidth="1"/>
    <col min="5634" max="5634" width="13.5703125" style="90" customWidth="1"/>
    <col min="5635" max="5635" width="6.5703125" style="90" customWidth="1"/>
    <col min="5636" max="5636" width="29.42578125" style="90" customWidth="1"/>
    <col min="5637" max="5637" width="10.42578125" style="90" bestFit="1" customWidth="1"/>
    <col min="5638" max="5882" width="9.140625" style="90"/>
    <col min="5883" max="5883" width="0" style="90" hidden="1" customWidth="1"/>
    <col min="5884" max="5884" width="3.5703125" style="90" customWidth="1"/>
    <col min="5885" max="5885" width="51" style="90" customWidth="1"/>
    <col min="5886" max="5886" width="13.7109375" style="90" customWidth="1"/>
    <col min="5887" max="5887" width="8.5703125" style="90" customWidth="1"/>
    <col min="5888" max="5888" width="8.42578125" style="90" customWidth="1"/>
    <col min="5889" max="5889" width="14.28515625" style="90" customWidth="1"/>
    <col min="5890" max="5890" width="13.5703125" style="90" customWidth="1"/>
    <col min="5891" max="5891" width="6.5703125" style="90" customWidth="1"/>
    <col min="5892" max="5892" width="29.42578125" style="90" customWidth="1"/>
    <col min="5893" max="5893" width="10.42578125" style="90" bestFit="1" customWidth="1"/>
    <col min="5894" max="6138" width="9.140625" style="90"/>
    <col min="6139" max="6139" width="0" style="90" hidden="1" customWidth="1"/>
    <col min="6140" max="6140" width="3.5703125" style="90" customWidth="1"/>
    <col min="6141" max="6141" width="51" style="90" customWidth="1"/>
    <col min="6142" max="6142" width="13.7109375" style="90" customWidth="1"/>
    <col min="6143" max="6143" width="8.5703125" style="90" customWidth="1"/>
    <col min="6144" max="6144" width="8.42578125" style="90" customWidth="1"/>
    <col min="6145" max="6145" width="14.28515625" style="90" customWidth="1"/>
    <col min="6146" max="6146" width="13.5703125" style="90" customWidth="1"/>
    <col min="6147" max="6147" width="6.5703125" style="90" customWidth="1"/>
    <col min="6148" max="6148" width="29.42578125" style="90" customWidth="1"/>
    <col min="6149" max="6149" width="10.42578125" style="90" bestFit="1" customWidth="1"/>
    <col min="6150" max="6394" width="9.140625" style="90"/>
    <col min="6395" max="6395" width="0" style="90" hidden="1" customWidth="1"/>
    <col min="6396" max="6396" width="3.5703125" style="90" customWidth="1"/>
    <col min="6397" max="6397" width="51" style="90" customWidth="1"/>
    <col min="6398" max="6398" width="13.7109375" style="90" customWidth="1"/>
    <col min="6399" max="6399" width="8.5703125" style="90" customWidth="1"/>
    <col min="6400" max="6400" width="8.42578125" style="90" customWidth="1"/>
    <col min="6401" max="6401" width="14.28515625" style="90" customWidth="1"/>
    <col min="6402" max="6402" width="13.5703125" style="90" customWidth="1"/>
    <col min="6403" max="6403" width="6.5703125" style="90" customWidth="1"/>
    <col min="6404" max="6404" width="29.42578125" style="90" customWidth="1"/>
    <col min="6405" max="6405" width="10.42578125" style="90" bestFit="1" customWidth="1"/>
    <col min="6406" max="6650" width="9.140625" style="90"/>
    <col min="6651" max="6651" width="0" style="90" hidden="1" customWidth="1"/>
    <col min="6652" max="6652" width="3.5703125" style="90" customWidth="1"/>
    <col min="6653" max="6653" width="51" style="90" customWidth="1"/>
    <col min="6654" max="6654" width="13.7109375" style="90" customWidth="1"/>
    <col min="6655" max="6655" width="8.5703125" style="90" customWidth="1"/>
    <col min="6656" max="6656" width="8.42578125" style="90" customWidth="1"/>
    <col min="6657" max="6657" width="14.28515625" style="90" customWidth="1"/>
    <col min="6658" max="6658" width="13.5703125" style="90" customWidth="1"/>
    <col min="6659" max="6659" width="6.5703125" style="90" customWidth="1"/>
    <col min="6660" max="6660" width="29.42578125" style="90" customWidth="1"/>
    <col min="6661" max="6661" width="10.42578125" style="90" bestFit="1" customWidth="1"/>
    <col min="6662" max="6906" width="9.140625" style="90"/>
    <col min="6907" max="6907" width="0" style="90" hidden="1" customWidth="1"/>
    <col min="6908" max="6908" width="3.5703125" style="90" customWidth="1"/>
    <col min="6909" max="6909" width="51" style="90" customWidth="1"/>
    <col min="6910" max="6910" width="13.7109375" style="90" customWidth="1"/>
    <col min="6911" max="6911" width="8.5703125" style="90" customWidth="1"/>
    <col min="6912" max="6912" width="8.42578125" style="90" customWidth="1"/>
    <col min="6913" max="6913" width="14.28515625" style="90" customWidth="1"/>
    <col min="6914" max="6914" width="13.5703125" style="90" customWidth="1"/>
    <col min="6915" max="6915" width="6.5703125" style="90" customWidth="1"/>
    <col min="6916" max="6916" width="29.42578125" style="90" customWidth="1"/>
    <col min="6917" max="6917" width="10.42578125" style="90" bestFit="1" customWidth="1"/>
    <col min="6918" max="7162" width="9.140625" style="90"/>
    <col min="7163" max="7163" width="0" style="90" hidden="1" customWidth="1"/>
    <col min="7164" max="7164" width="3.5703125" style="90" customWidth="1"/>
    <col min="7165" max="7165" width="51" style="90" customWidth="1"/>
    <col min="7166" max="7166" width="13.7109375" style="90" customWidth="1"/>
    <col min="7167" max="7167" width="8.5703125" style="90" customWidth="1"/>
    <col min="7168" max="7168" width="8.42578125" style="90" customWidth="1"/>
    <col min="7169" max="7169" width="14.28515625" style="90" customWidth="1"/>
    <col min="7170" max="7170" width="13.5703125" style="90" customWidth="1"/>
    <col min="7171" max="7171" width="6.5703125" style="90" customWidth="1"/>
    <col min="7172" max="7172" width="29.42578125" style="90" customWidth="1"/>
    <col min="7173" max="7173" width="10.42578125" style="90" bestFit="1" customWidth="1"/>
    <col min="7174" max="7418" width="9.140625" style="90"/>
    <col min="7419" max="7419" width="0" style="90" hidden="1" customWidth="1"/>
    <col min="7420" max="7420" width="3.5703125" style="90" customWidth="1"/>
    <col min="7421" max="7421" width="51" style="90" customWidth="1"/>
    <col min="7422" max="7422" width="13.7109375" style="90" customWidth="1"/>
    <col min="7423" max="7423" width="8.5703125" style="90" customWidth="1"/>
    <col min="7424" max="7424" width="8.42578125" style="90" customWidth="1"/>
    <col min="7425" max="7425" width="14.28515625" style="90" customWidth="1"/>
    <col min="7426" max="7426" width="13.5703125" style="90" customWidth="1"/>
    <col min="7427" max="7427" width="6.5703125" style="90" customWidth="1"/>
    <col min="7428" max="7428" width="29.42578125" style="90" customWidth="1"/>
    <col min="7429" max="7429" width="10.42578125" style="90" bestFit="1" customWidth="1"/>
    <col min="7430" max="7674" width="9.140625" style="90"/>
    <col min="7675" max="7675" width="0" style="90" hidden="1" customWidth="1"/>
    <col min="7676" max="7676" width="3.5703125" style="90" customWidth="1"/>
    <col min="7677" max="7677" width="51" style="90" customWidth="1"/>
    <col min="7678" max="7678" width="13.7109375" style="90" customWidth="1"/>
    <col min="7679" max="7679" width="8.5703125" style="90" customWidth="1"/>
    <col min="7680" max="7680" width="8.42578125" style="90" customWidth="1"/>
    <col min="7681" max="7681" width="14.28515625" style="90" customWidth="1"/>
    <col min="7682" max="7682" width="13.5703125" style="90" customWidth="1"/>
    <col min="7683" max="7683" width="6.5703125" style="90" customWidth="1"/>
    <col min="7684" max="7684" width="29.42578125" style="90" customWidth="1"/>
    <col min="7685" max="7685" width="10.42578125" style="90" bestFit="1" customWidth="1"/>
    <col min="7686" max="7930" width="9.140625" style="90"/>
    <col min="7931" max="7931" width="0" style="90" hidden="1" customWidth="1"/>
    <col min="7932" max="7932" width="3.5703125" style="90" customWidth="1"/>
    <col min="7933" max="7933" width="51" style="90" customWidth="1"/>
    <col min="7934" max="7934" width="13.7109375" style="90" customWidth="1"/>
    <col min="7935" max="7935" width="8.5703125" style="90" customWidth="1"/>
    <col min="7936" max="7936" width="8.42578125" style="90" customWidth="1"/>
    <col min="7937" max="7937" width="14.28515625" style="90" customWidth="1"/>
    <col min="7938" max="7938" width="13.5703125" style="90" customWidth="1"/>
    <col min="7939" max="7939" width="6.5703125" style="90" customWidth="1"/>
    <col min="7940" max="7940" width="29.42578125" style="90" customWidth="1"/>
    <col min="7941" max="7941" width="10.42578125" style="90" bestFit="1" customWidth="1"/>
    <col min="7942" max="8186" width="9.140625" style="90"/>
    <col min="8187" max="8187" width="0" style="90" hidden="1" customWidth="1"/>
    <col min="8188" max="8188" width="3.5703125" style="90" customWidth="1"/>
    <col min="8189" max="8189" width="51" style="90" customWidth="1"/>
    <col min="8190" max="8190" width="13.7109375" style="90" customWidth="1"/>
    <col min="8191" max="8191" width="8.5703125" style="90" customWidth="1"/>
    <col min="8192" max="8192" width="8.42578125" style="90" customWidth="1"/>
    <col min="8193" max="8193" width="14.28515625" style="90" customWidth="1"/>
    <col min="8194" max="8194" width="13.5703125" style="90" customWidth="1"/>
    <col min="8195" max="8195" width="6.5703125" style="90" customWidth="1"/>
    <col min="8196" max="8196" width="29.42578125" style="90" customWidth="1"/>
    <col min="8197" max="8197" width="10.42578125" style="90" bestFit="1" customWidth="1"/>
    <col min="8198" max="8442" width="9.140625" style="90"/>
    <col min="8443" max="8443" width="0" style="90" hidden="1" customWidth="1"/>
    <col min="8444" max="8444" width="3.5703125" style="90" customWidth="1"/>
    <col min="8445" max="8445" width="51" style="90" customWidth="1"/>
    <col min="8446" max="8446" width="13.7109375" style="90" customWidth="1"/>
    <col min="8447" max="8447" width="8.5703125" style="90" customWidth="1"/>
    <col min="8448" max="8448" width="8.42578125" style="90" customWidth="1"/>
    <col min="8449" max="8449" width="14.28515625" style="90" customWidth="1"/>
    <col min="8450" max="8450" width="13.5703125" style="90" customWidth="1"/>
    <col min="8451" max="8451" width="6.5703125" style="90" customWidth="1"/>
    <col min="8452" max="8452" width="29.42578125" style="90" customWidth="1"/>
    <col min="8453" max="8453" width="10.42578125" style="90" bestFit="1" customWidth="1"/>
    <col min="8454" max="8698" width="9.140625" style="90"/>
    <col min="8699" max="8699" width="0" style="90" hidden="1" customWidth="1"/>
    <col min="8700" max="8700" width="3.5703125" style="90" customWidth="1"/>
    <col min="8701" max="8701" width="51" style="90" customWidth="1"/>
    <col min="8702" max="8702" width="13.7109375" style="90" customWidth="1"/>
    <col min="8703" max="8703" width="8.5703125" style="90" customWidth="1"/>
    <col min="8704" max="8704" width="8.42578125" style="90" customWidth="1"/>
    <col min="8705" max="8705" width="14.28515625" style="90" customWidth="1"/>
    <col min="8706" max="8706" width="13.5703125" style="90" customWidth="1"/>
    <col min="8707" max="8707" width="6.5703125" style="90" customWidth="1"/>
    <col min="8708" max="8708" width="29.42578125" style="90" customWidth="1"/>
    <col min="8709" max="8709" width="10.42578125" style="90" bestFit="1" customWidth="1"/>
    <col min="8710" max="8954" width="9.140625" style="90"/>
    <col min="8955" max="8955" width="0" style="90" hidden="1" customWidth="1"/>
    <col min="8956" max="8956" width="3.5703125" style="90" customWidth="1"/>
    <col min="8957" max="8957" width="51" style="90" customWidth="1"/>
    <col min="8958" max="8958" width="13.7109375" style="90" customWidth="1"/>
    <col min="8959" max="8959" width="8.5703125" style="90" customWidth="1"/>
    <col min="8960" max="8960" width="8.42578125" style="90" customWidth="1"/>
    <col min="8961" max="8961" width="14.28515625" style="90" customWidth="1"/>
    <col min="8962" max="8962" width="13.5703125" style="90" customWidth="1"/>
    <col min="8963" max="8963" width="6.5703125" style="90" customWidth="1"/>
    <col min="8964" max="8964" width="29.42578125" style="90" customWidth="1"/>
    <col min="8965" max="8965" width="10.42578125" style="90" bestFit="1" customWidth="1"/>
    <col min="8966" max="9210" width="9.140625" style="90"/>
    <col min="9211" max="9211" width="0" style="90" hidden="1" customWidth="1"/>
    <col min="9212" max="9212" width="3.5703125" style="90" customWidth="1"/>
    <col min="9213" max="9213" width="51" style="90" customWidth="1"/>
    <col min="9214" max="9214" width="13.7109375" style="90" customWidth="1"/>
    <col min="9215" max="9215" width="8.5703125" style="90" customWidth="1"/>
    <col min="9216" max="9216" width="8.42578125" style="90" customWidth="1"/>
    <col min="9217" max="9217" width="14.28515625" style="90" customWidth="1"/>
    <col min="9218" max="9218" width="13.5703125" style="90" customWidth="1"/>
    <col min="9219" max="9219" width="6.5703125" style="90" customWidth="1"/>
    <col min="9220" max="9220" width="29.42578125" style="90" customWidth="1"/>
    <col min="9221" max="9221" width="10.42578125" style="90" bestFit="1" customWidth="1"/>
    <col min="9222" max="9466" width="9.140625" style="90"/>
    <col min="9467" max="9467" width="0" style="90" hidden="1" customWidth="1"/>
    <col min="9468" max="9468" width="3.5703125" style="90" customWidth="1"/>
    <col min="9469" max="9469" width="51" style="90" customWidth="1"/>
    <col min="9470" max="9470" width="13.7109375" style="90" customWidth="1"/>
    <col min="9471" max="9471" width="8.5703125" style="90" customWidth="1"/>
    <col min="9472" max="9472" width="8.42578125" style="90" customWidth="1"/>
    <col min="9473" max="9473" width="14.28515625" style="90" customWidth="1"/>
    <col min="9474" max="9474" width="13.5703125" style="90" customWidth="1"/>
    <col min="9475" max="9475" width="6.5703125" style="90" customWidth="1"/>
    <col min="9476" max="9476" width="29.42578125" style="90" customWidth="1"/>
    <col min="9477" max="9477" width="10.42578125" style="90" bestFit="1" customWidth="1"/>
    <col min="9478" max="9722" width="9.140625" style="90"/>
    <col min="9723" max="9723" width="0" style="90" hidden="1" customWidth="1"/>
    <col min="9724" max="9724" width="3.5703125" style="90" customWidth="1"/>
    <col min="9725" max="9725" width="51" style="90" customWidth="1"/>
    <col min="9726" max="9726" width="13.7109375" style="90" customWidth="1"/>
    <col min="9727" max="9727" width="8.5703125" style="90" customWidth="1"/>
    <col min="9728" max="9728" width="8.42578125" style="90" customWidth="1"/>
    <col min="9729" max="9729" width="14.28515625" style="90" customWidth="1"/>
    <col min="9730" max="9730" width="13.5703125" style="90" customWidth="1"/>
    <col min="9731" max="9731" width="6.5703125" style="90" customWidth="1"/>
    <col min="9732" max="9732" width="29.42578125" style="90" customWidth="1"/>
    <col min="9733" max="9733" width="10.42578125" style="90" bestFit="1" customWidth="1"/>
    <col min="9734" max="9978" width="9.140625" style="90"/>
    <col min="9979" max="9979" width="0" style="90" hidden="1" customWidth="1"/>
    <col min="9980" max="9980" width="3.5703125" style="90" customWidth="1"/>
    <col min="9981" max="9981" width="51" style="90" customWidth="1"/>
    <col min="9982" max="9982" width="13.7109375" style="90" customWidth="1"/>
    <col min="9983" max="9983" width="8.5703125" style="90" customWidth="1"/>
    <col min="9984" max="9984" width="8.42578125" style="90" customWidth="1"/>
    <col min="9985" max="9985" width="14.28515625" style="90" customWidth="1"/>
    <col min="9986" max="9986" width="13.5703125" style="90" customWidth="1"/>
    <col min="9987" max="9987" width="6.5703125" style="90" customWidth="1"/>
    <col min="9988" max="9988" width="29.42578125" style="90" customWidth="1"/>
    <col min="9989" max="9989" width="10.42578125" style="90" bestFit="1" customWidth="1"/>
    <col min="9990" max="10234" width="9.140625" style="90"/>
    <col min="10235" max="10235" width="0" style="90" hidden="1" customWidth="1"/>
    <col min="10236" max="10236" width="3.5703125" style="90" customWidth="1"/>
    <col min="10237" max="10237" width="51" style="90" customWidth="1"/>
    <col min="10238" max="10238" width="13.7109375" style="90" customWidth="1"/>
    <col min="10239" max="10239" width="8.5703125" style="90" customWidth="1"/>
    <col min="10240" max="10240" width="8.42578125" style="90" customWidth="1"/>
    <col min="10241" max="10241" width="14.28515625" style="90" customWidth="1"/>
    <col min="10242" max="10242" width="13.5703125" style="90" customWidth="1"/>
    <col min="10243" max="10243" width="6.5703125" style="90" customWidth="1"/>
    <col min="10244" max="10244" width="29.42578125" style="90" customWidth="1"/>
    <col min="10245" max="10245" width="10.42578125" style="90" bestFit="1" customWidth="1"/>
    <col min="10246" max="10490" width="9.140625" style="90"/>
    <col min="10491" max="10491" width="0" style="90" hidden="1" customWidth="1"/>
    <col min="10492" max="10492" width="3.5703125" style="90" customWidth="1"/>
    <col min="10493" max="10493" width="51" style="90" customWidth="1"/>
    <col min="10494" max="10494" width="13.7109375" style="90" customWidth="1"/>
    <col min="10495" max="10495" width="8.5703125" style="90" customWidth="1"/>
    <col min="10496" max="10496" width="8.42578125" style="90" customWidth="1"/>
    <col min="10497" max="10497" width="14.28515625" style="90" customWidth="1"/>
    <col min="10498" max="10498" width="13.5703125" style="90" customWidth="1"/>
    <col min="10499" max="10499" width="6.5703125" style="90" customWidth="1"/>
    <col min="10500" max="10500" width="29.42578125" style="90" customWidth="1"/>
    <col min="10501" max="10501" width="10.42578125" style="90" bestFit="1" customWidth="1"/>
    <col min="10502" max="10746" width="9.140625" style="90"/>
    <col min="10747" max="10747" width="0" style="90" hidden="1" customWidth="1"/>
    <col min="10748" max="10748" width="3.5703125" style="90" customWidth="1"/>
    <col min="10749" max="10749" width="51" style="90" customWidth="1"/>
    <col min="10750" max="10750" width="13.7109375" style="90" customWidth="1"/>
    <col min="10751" max="10751" width="8.5703125" style="90" customWidth="1"/>
    <col min="10752" max="10752" width="8.42578125" style="90" customWidth="1"/>
    <col min="10753" max="10753" width="14.28515625" style="90" customWidth="1"/>
    <col min="10754" max="10754" width="13.5703125" style="90" customWidth="1"/>
    <col min="10755" max="10755" width="6.5703125" style="90" customWidth="1"/>
    <col min="10756" max="10756" width="29.42578125" style="90" customWidth="1"/>
    <col min="10757" max="10757" width="10.42578125" style="90" bestFit="1" customWidth="1"/>
    <col min="10758" max="11002" width="9.140625" style="90"/>
    <col min="11003" max="11003" width="0" style="90" hidden="1" customWidth="1"/>
    <col min="11004" max="11004" width="3.5703125" style="90" customWidth="1"/>
    <col min="11005" max="11005" width="51" style="90" customWidth="1"/>
    <col min="11006" max="11006" width="13.7109375" style="90" customWidth="1"/>
    <col min="11007" max="11007" width="8.5703125" style="90" customWidth="1"/>
    <col min="11008" max="11008" width="8.42578125" style="90" customWidth="1"/>
    <col min="11009" max="11009" width="14.28515625" style="90" customWidth="1"/>
    <col min="11010" max="11010" width="13.5703125" style="90" customWidth="1"/>
    <col min="11011" max="11011" width="6.5703125" style="90" customWidth="1"/>
    <col min="11012" max="11012" width="29.42578125" style="90" customWidth="1"/>
    <col min="11013" max="11013" width="10.42578125" style="90" bestFit="1" customWidth="1"/>
    <col min="11014" max="11258" width="9.140625" style="90"/>
    <col min="11259" max="11259" width="0" style="90" hidden="1" customWidth="1"/>
    <col min="11260" max="11260" width="3.5703125" style="90" customWidth="1"/>
    <col min="11261" max="11261" width="51" style="90" customWidth="1"/>
    <col min="11262" max="11262" width="13.7109375" style="90" customWidth="1"/>
    <col min="11263" max="11263" width="8.5703125" style="90" customWidth="1"/>
    <col min="11264" max="11264" width="8.42578125" style="90" customWidth="1"/>
    <col min="11265" max="11265" width="14.28515625" style="90" customWidth="1"/>
    <col min="11266" max="11266" width="13.5703125" style="90" customWidth="1"/>
    <col min="11267" max="11267" width="6.5703125" style="90" customWidth="1"/>
    <col min="11268" max="11268" width="29.42578125" style="90" customWidth="1"/>
    <col min="11269" max="11269" width="10.42578125" style="90" bestFit="1" customWidth="1"/>
    <col min="11270" max="11514" width="9.140625" style="90"/>
    <col min="11515" max="11515" width="0" style="90" hidden="1" customWidth="1"/>
    <col min="11516" max="11516" width="3.5703125" style="90" customWidth="1"/>
    <col min="11517" max="11517" width="51" style="90" customWidth="1"/>
    <col min="11518" max="11518" width="13.7109375" style="90" customWidth="1"/>
    <col min="11519" max="11519" width="8.5703125" style="90" customWidth="1"/>
    <col min="11520" max="11520" width="8.42578125" style="90" customWidth="1"/>
    <col min="11521" max="11521" width="14.28515625" style="90" customWidth="1"/>
    <col min="11522" max="11522" width="13.5703125" style="90" customWidth="1"/>
    <col min="11523" max="11523" width="6.5703125" style="90" customWidth="1"/>
    <col min="11524" max="11524" width="29.42578125" style="90" customWidth="1"/>
    <col min="11525" max="11525" width="10.42578125" style="90" bestFit="1" customWidth="1"/>
    <col min="11526" max="11770" width="9.140625" style="90"/>
    <col min="11771" max="11771" width="0" style="90" hidden="1" customWidth="1"/>
    <col min="11772" max="11772" width="3.5703125" style="90" customWidth="1"/>
    <col min="11773" max="11773" width="51" style="90" customWidth="1"/>
    <col min="11774" max="11774" width="13.7109375" style="90" customWidth="1"/>
    <col min="11775" max="11775" width="8.5703125" style="90" customWidth="1"/>
    <col min="11776" max="11776" width="8.42578125" style="90" customWidth="1"/>
    <col min="11777" max="11777" width="14.28515625" style="90" customWidth="1"/>
    <col min="11778" max="11778" width="13.5703125" style="90" customWidth="1"/>
    <col min="11779" max="11779" width="6.5703125" style="90" customWidth="1"/>
    <col min="11780" max="11780" width="29.42578125" style="90" customWidth="1"/>
    <col min="11781" max="11781" width="10.42578125" style="90" bestFit="1" customWidth="1"/>
    <col min="11782" max="12026" width="9.140625" style="90"/>
    <col min="12027" max="12027" width="0" style="90" hidden="1" customWidth="1"/>
    <col min="12028" max="12028" width="3.5703125" style="90" customWidth="1"/>
    <col min="12029" max="12029" width="51" style="90" customWidth="1"/>
    <col min="12030" max="12030" width="13.7109375" style="90" customWidth="1"/>
    <col min="12031" max="12031" width="8.5703125" style="90" customWidth="1"/>
    <col min="12032" max="12032" width="8.42578125" style="90" customWidth="1"/>
    <col min="12033" max="12033" width="14.28515625" style="90" customWidth="1"/>
    <col min="12034" max="12034" width="13.5703125" style="90" customWidth="1"/>
    <col min="12035" max="12035" width="6.5703125" style="90" customWidth="1"/>
    <col min="12036" max="12036" width="29.42578125" style="90" customWidth="1"/>
    <col min="12037" max="12037" width="10.42578125" style="90" bestFit="1" customWidth="1"/>
    <col min="12038" max="12282" width="9.140625" style="90"/>
    <col min="12283" max="12283" width="0" style="90" hidden="1" customWidth="1"/>
    <col min="12284" max="12284" width="3.5703125" style="90" customWidth="1"/>
    <col min="12285" max="12285" width="51" style="90" customWidth="1"/>
    <col min="12286" max="12286" width="13.7109375" style="90" customWidth="1"/>
    <col min="12287" max="12287" width="8.5703125" style="90" customWidth="1"/>
    <col min="12288" max="12288" width="8.42578125" style="90" customWidth="1"/>
    <col min="12289" max="12289" width="14.28515625" style="90" customWidth="1"/>
    <col min="12290" max="12290" width="13.5703125" style="90" customWidth="1"/>
    <col min="12291" max="12291" width="6.5703125" style="90" customWidth="1"/>
    <col min="12292" max="12292" width="29.42578125" style="90" customWidth="1"/>
    <col min="12293" max="12293" width="10.42578125" style="90" bestFit="1" customWidth="1"/>
    <col min="12294" max="12538" width="9.140625" style="90"/>
    <col min="12539" max="12539" width="0" style="90" hidden="1" customWidth="1"/>
    <col min="12540" max="12540" width="3.5703125" style="90" customWidth="1"/>
    <col min="12541" max="12541" width="51" style="90" customWidth="1"/>
    <col min="12542" max="12542" width="13.7109375" style="90" customWidth="1"/>
    <col min="12543" max="12543" width="8.5703125" style="90" customWidth="1"/>
    <col min="12544" max="12544" width="8.42578125" style="90" customWidth="1"/>
    <col min="12545" max="12545" width="14.28515625" style="90" customWidth="1"/>
    <col min="12546" max="12546" width="13.5703125" style="90" customWidth="1"/>
    <col min="12547" max="12547" width="6.5703125" style="90" customWidth="1"/>
    <col min="12548" max="12548" width="29.42578125" style="90" customWidth="1"/>
    <col min="12549" max="12549" width="10.42578125" style="90" bestFit="1" customWidth="1"/>
    <col min="12550" max="12794" width="9.140625" style="90"/>
    <col min="12795" max="12795" width="0" style="90" hidden="1" customWidth="1"/>
    <col min="12796" max="12796" width="3.5703125" style="90" customWidth="1"/>
    <col min="12797" max="12797" width="51" style="90" customWidth="1"/>
    <col min="12798" max="12798" width="13.7109375" style="90" customWidth="1"/>
    <col min="12799" max="12799" width="8.5703125" style="90" customWidth="1"/>
    <col min="12800" max="12800" width="8.42578125" style="90" customWidth="1"/>
    <col min="12801" max="12801" width="14.28515625" style="90" customWidth="1"/>
    <col min="12802" max="12802" width="13.5703125" style="90" customWidth="1"/>
    <col min="12803" max="12803" width="6.5703125" style="90" customWidth="1"/>
    <col min="12804" max="12804" width="29.42578125" style="90" customWidth="1"/>
    <col min="12805" max="12805" width="10.42578125" style="90" bestFit="1" customWidth="1"/>
    <col min="12806" max="13050" width="9.140625" style="90"/>
    <col min="13051" max="13051" width="0" style="90" hidden="1" customWidth="1"/>
    <col min="13052" max="13052" width="3.5703125" style="90" customWidth="1"/>
    <col min="13053" max="13053" width="51" style="90" customWidth="1"/>
    <col min="13054" max="13054" width="13.7109375" style="90" customWidth="1"/>
    <col min="13055" max="13055" width="8.5703125" style="90" customWidth="1"/>
    <col min="13056" max="13056" width="8.42578125" style="90" customWidth="1"/>
    <col min="13057" max="13057" width="14.28515625" style="90" customWidth="1"/>
    <col min="13058" max="13058" width="13.5703125" style="90" customWidth="1"/>
    <col min="13059" max="13059" width="6.5703125" style="90" customWidth="1"/>
    <col min="13060" max="13060" width="29.42578125" style="90" customWidth="1"/>
    <col min="13061" max="13061" width="10.42578125" style="90" bestFit="1" customWidth="1"/>
    <col min="13062" max="13306" width="9.140625" style="90"/>
    <col min="13307" max="13307" width="0" style="90" hidden="1" customWidth="1"/>
    <col min="13308" max="13308" width="3.5703125" style="90" customWidth="1"/>
    <col min="13309" max="13309" width="51" style="90" customWidth="1"/>
    <col min="13310" max="13310" width="13.7109375" style="90" customWidth="1"/>
    <col min="13311" max="13311" width="8.5703125" style="90" customWidth="1"/>
    <col min="13312" max="13312" width="8.42578125" style="90" customWidth="1"/>
    <col min="13313" max="13313" width="14.28515625" style="90" customWidth="1"/>
    <col min="13314" max="13314" width="13.5703125" style="90" customWidth="1"/>
    <col min="13315" max="13315" width="6.5703125" style="90" customWidth="1"/>
    <col min="13316" max="13316" width="29.42578125" style="90" customWidth="1"/>
    <col min="13317" max="13317" width="10.42578125" style="90" bestFit="1" customWidth="1"/>
    <col min="13318" max="13562" width="9.140625" style="90"/>
    <col min="13563" max="13563" width="0" style="90" hidden="1" customWidth="1"/>
    <col min="13564" max="13564" width="3.5703125" style="90" customWidth="1"/>
    <col min="13565" max="13565" width="51" style="90" customWidth="1"/>
    <col min="13566" max="13566" width="13.7109375" style="90" customWidth="1"/>
    <col min="13567" max="13567" width="8.5703125" style="90" customWidth="1"/>
    <col min="13568" max="13568" width="8.42578125" style="90" customWidth="1"/>
    <col min="13569" max="13569" width="14.28515625" style="90" customWidth="1"/>
    <col min="13570" max="13570" width="13.5703125" style="90" customWidth="1"/>
    <col min="13571" max="13571" width="6.5703125" style="90" customWidth="1"/>
    <col min="13572" max="13572" width="29.42578125" style="90" customWidth="1"/>
    <col min="13573" max="13573" width="10.42578125" style="90" bestFit="1" customWidth="1"/>
    <col min="13574" max="13818" width="9.140625" style="90"/>
    <col min="13819" max="13819" width="0" style="90" hidden="1" customWidth="1"/>
    <col min="13820" max="13820" width="3.5703125" style="90" customWidth="1"/>
    <col min="13821" max="13821" width="51" style="90" customWidth="1"/>
    <col min="13822" max="13822" width="13.7109375" style="90" customWidth="1"/>
    <col min="13823" max="13823" width="8.5703125" style="90" customWidth="1"/>
    <col min="13824" max="13824" width="8.42578125" style="90" customWidth="1"/>
    <col min="13825" max="13825" width="14.28515625" style="90" customWidth="1"/>
    <col min="13826" max="13826" width="13.5703125" style="90" customWidth="1"/>
    <col min="13827" max="13827" width="6.5703125" style="90" customWidth="1"/>
    <col min="13828" max="13828" width="29.42578125" style="90" customWidth="1"/>
    <col min="13829" max="13829" width="10.42578125" style="90" bestFit="1" customWidth="1"/>
    <col min="13830" max="14074" width="9.140625" style="90"/>
    <col min="14075" max="14075" width="0" style="90" hidden="1" customWidth="1"/>
    <col min="14076" max="14076" width="3.5703125" style="90" customWidth="1"/>
    <col min="14077" max="14077" width="51" style="90" customWidth="1"/>
    <col min="14078" max="14078" width="13.7109375" style="90" customWidth="1"/>
    <col min="14079" max="14079" width="8.5703125" style="90" customWidth="1"/>
    <col min="14080" max="14080" width="8.42578125" style="90" customWidth="1"/>
    <col min="14081" max="14081" width="14.28515625" style="90" customWidth="1"/>
    <col min="14082" max="14082" width="13.5703125" style="90" customWidth="1"/>
    <col min="14083" max="14083" width="6.5703125" style="90" customWidth="1"/>
    <col min="14084" max="14084" width="29.42578125" style="90" customWidth="1"/>
    <col min="14085" max="14085" width="10.42578125" style="90" bestFit="1" customWidth="1"/>
    <col min="14086" max="14330" width="9.140625" style="90"/>
    <col min="14331" max="14331" width="0" style="90" hidden="1" customWidth="1"/>
    <col min="14332" max="14332" width="3.5703125" style="90" customWidth="1"/>
    <col min="14333" max="14333" width="51" style="90" customWidth="1"/>
    <col min="14334" max="14334" width="13.7109375" style="90" customWidth="1"/>
    <col min="14335" max="14335" width="8.5703125" style="90" customWidth="1"/>
    <col min="14336" max="14336" width="8.42578125" style="90" customWidth="1"/>
    <col min="14337" max="14337" width="14.28515625" style="90" customWidth="1"/>
    <col min="14338" max="14338" width="13.5703125" style="90" customWidth="1"/>
    <col min="14339" max="14339" width="6.5703125" style="90" customWidth="1"/>
    <col min="14340" max="14340" width="29.42578125" style="90" customWidth="1"/>
    <col min="14341" max="14341" width="10.42578125" style="90" bestFit="1" customWidth="1"/>
    <col min="14342" max="14586" width="9.140625" style="90"/>
    <col min="14587" max="14587" width="0" style="90" hidden="1" customWidth="1"/>
    <col min="14588" max="14588" width="3.5703125" style="90" customWidth="1"/>
    <col min="14589" max="14589" width="51" style="90" customWidth="1"/>
    <col min="14590" max="14590" width="13.7109375" style="90" customWidth="1"/>
    <col min="14591" max="14591" width="8.5703125" style="90" customWidth="1"/>
    <col min="14592" max="14592" width="8.42578125" style="90" customWidth="1"/>
    <col min="14593" max="14593" width="14.28515625" style="90" customWidth="1"/>
    <col min="14594" max="14594" width="13.5703125" style="90" customWidth="1"/>
    <col min="14595" max="14595" width="6.5703125" style="90" customWidth="1"/>
    <col min="14596" max="14596" width="29.42578125" style="90" customWidth="1"/>
    <col min="14597" max="14597" width="10.42578125" style="90" bestFit="1" customWidth="1"/>
    <col min="14598" max="14842" width="9.140625" style="90"/>
    <col min="14843" max="14843" width="0" style="90" hidden="1" customWidth="1"/>
    <col min="14844" max="14844" width="3.5703125" style="90" customWidth="1"/>
    <col min="14845" max="14845" width="51" style="90" customWidth="1"/>
    <col min="14846" max="14846" width="13.7109375" style="90" customWidth="1"/>
    <col min="14847" max="14847" width="8.5703125" style="90" customWidth="1"/>
    <col min="14848" max="14848" width="8.42578125" style="90" customWidth="1"/>
    <col min="14849" max="14849" width="14.28515625" style="90" customWidth="1"/>
    <col min="14850" max="14850" width="13.5703125" style="90" customWidth="1"/>
    <col min="14851" max="14851" width="6.5703125" style="90" customWidth="1"/>
    <col min="14852" max="14852" width="29.42578125" style="90" customWidth="1"/>
    <col min="14853" max="14853" width="10.42578125" style="90" bestFit="1" customWidth="1"/>
    <col min="14854" max="15098" width="9.140625" style="90"/>
    <col min="15099" max="15099" width="0" style="90" hidden="1" customWidth="1"/>
    <col min="15100" max="15100" width="3.5703125" style="90" customWidth="1"/>
    <col min="15101" max="15101" width="51" style="90" customWidth="1"/>
    <col min="15102" max="15102" width="13.7109375" style="90" customWidth="1"/>
    <col min="15103" max="15103" width="8.5703125" style="90" customWidth="1"/>
    <col min="15104" max="15104" width="8.42578125" style="90" customWidth="1"/>
    <col min="15105" max="15105" width="14.28515625" style="90" customWidth="1"/>
    <col min="15106" max="15106" width="13.5703125" style="90" customWidth="1"/>
    <col min="15107" max="15107" width="6.5703125" style="90" customWidth="1"/>
    <col min="15108" max="15108" width="29.42578125" style="90" customWidth="1"/>
    <col min="15109" max="15109" width="10.42578125" style="90" bestFit="1" customWidth="1"/>
    <col min="15110" max="15354" width="9.140625" style="90"/>
    <col min="15355" max="15355" width="0" style="90" hidden="1" customWidth="1"/>
    <col min="15356" max="15356" width="3.5703125" style="90" customWidth="1"/>
    <col min="15357" max="15357" width="51" style="90" customWidth="1"/>
    <col min="15358" max="15358" width="13.7109375" style="90" customWidth="1"/>
    <col min="15359" max="15359" width="8.5703125" style="90" customWidth="1"/>
    <col min="15360" max="15360" width="8.42578125" style="90" customWidth="1"/>
    <col min="15361" max="15361" width="14.28515625" style="90" customWidth="1"/>
    <col min="15362" max="15362" width="13.5703125" style="90" customWidth="1"/>
    <col min="15363" max="15363" width="6.5703125" style="90" customWidth="1"/>
    <col min="15364" max="15364" width="29.42578125" style="90" customWidth="1"/>
    <col min="15365" max="15365" width="10.42578125" style="90" bestFit="1" customWidth="1"/>
    <col min="15366" max="15610" width="9.140625" style="90"/>
    <col min="15611" max="15611" width="0" style="90" hidden="1" customWidth="1"/>
    <col min="15612" max="15612" width="3.5703125" style="90" customWidth="1"/>
    <col min="15613" max="15613" width="51" style="90" customWidth="1"/>
    <col min="15614" max="15614" width="13.7109375" style="90" customWidth="1"/>
    <col min="15615" max="15615" width="8.5703125" style="90" customWidth="1"/>
    <col min="15616" max="15616" width="8.42578125" style="90" customWidth="1"/>
    <col min="15617" max="15617" width="14.28515625" style="90" customWidth="1"/>
    <col min="15618" max="15618" width="13.5703125" style="90" customWidth="1"/>
    <col min="15619" max="15619" width="6.5703125" style="90" customWidth="1"/>
    <col min="15620" max="15620" width="29.42578125" style="90" customWidth="1"/>
    <col min="15621" max="15621" width="10.42578125" style="90" bestFit="1" customWidth="1"/>
    <col min="15622" max="15866" width="9.140625" style="90"/>
    <col min="15867" max="15867" width="0" style="90" hidden="1" customWidth="1"/>
    <col min="15868" max="15868" width="3.5703125" style="90" customWidth="1"/>
    <col min="15869" max="15869" width="51" style="90" customWidth="1"/>
    <col min="15870" max="15870" width="13.7109375" style="90" customWidth="1"/>
    <col min="15871" max="15871" width="8.5703125" style="90" customWidth="1"/>
    <col min="15872" max="15872" width="8.42578125" style="90" customWidth="1"/>
    <col min="15873" max="15873" width="14.28515625" style="90" customWidth="1"/>
    <col min="15874" max="15874" width="13.5703125" style="90" customWidth="1"/>
    <col min="15875" max="15875" width="6.5703125" style="90" customWidth="1"/>
    <col min="15876" max="15876" width="29.42578125" style="90" customWidth="1"/>
    <col min="15877" max="15877" width="10.42578125" style="90" bestFit="1" customWidth="1"/>
    <col min="15878" max="16122" width="9.140625" style="90"/>
    <col min="16123" max="16123" width="0" style="90" hidden="1" customWidth="1"/>
    <col min="16124" max="16124" width="3.5703125" style="90" customWidth="1"/>
    <col min="16125" max="16125" width="51" style="90" customWidth="1"/>
    <col min="16126" max="16126" width="13.7109375" style="90" customWidth="1"/>
    <col min="16127" max="16127" width="8.5703125" style="90" customWidth="1"/>
    <col min="16128" max="16128" width="8.42578125" style="90" customWidth="1"/>
    <col min="16129" max="16129" width="14.28515625" style="90" customWidth="1"/>
    <col min="16130" max="16130" width="13.5703125" style="90" customWidth="1"/>
    <col min="16131" max="16131" width="6.5703125" style="90" customWidth="1"/>
    <col min="16132" max="16132" width="29.42578125" style="90" customWidth="1"/>
    <col min="16133" max="16133" width="10.42578125" style="90" bestFit="1" customWidth="1"/>
    <col min="16134" max="16383" width="9.140625" style="90"/>
    <col min="16384" max="16384" width="9.140625" style="90" customWidth="1"/>
  </cols>
  <sheetData>
    <row r="1" spans="2:9" ht="15.75" customHeight="1">
      <c r="B1" s="1080" t="s">
        <v>591</v>
      </c>
      <c r="C1" s="1080"/>
      <c r="D1" s="1080"/>
      <c r="E1" s="1080"/>
      <c r="F1" s="1080"/>
      <c r="G1" s="1080"/>
    </row>
    <row r="2" spans="2:9" ht="8.4499999999999993" customHeight="1">
      <c r="B2" s="10"/>
      <c r="C2" s="10"/>
      <c r="D2" s="10"/>
      <c r="E2" s="10"/>
      <c r="F2" s="10"/>
      <c r="G2" s="10"/>
    </row>
    <row r="3" spans="2:9" ht="12" customHeight="1">
      <c r="B3" s="1023" t="s">
        <v>73</v>
      </c>
      <c r="C3" s="1023"/>
      <c r="D3" s="1023"/>
      <c r="E3" s="1023"/>
      <c r="F3" s="1023"/>
      <c r="G3" s="1023"/>
    </row>
    <row r="4" spans="2:9" ht="61.15" customHeight="1">
      <c r="B4" s="452" t="s">
        <v>211</v>
      </c>
      <c r="C4" s="380" t="s">
        <v>212</v>
      </c>
      <c r="D4" s="380" t="s">
        <v>564</v>
      </c>
      <c r="E4" s="380" t="s">
        <v>274</v>
      </c>
      <c r="F4" s="380" t="s">
        <v>275</v>
      </c>
      <c r="G4" s="380" t="s">
        <v>275</v>
      </c>
      <c r="H4" s="380" t="s">
        <v>491</v>
      </c>
      <c r="I4" s="453"/>
    </row>
    <row r="5" spans="2:9">
      <c r="B5" s="88" t="s">
        <v>296</v>
      </c>
      <c r="C5" s="97" t="s">
        <v>214</v>
      </c>
      <c r="D5" s="87"/>
      <c r="E5" s="88"/>
      <c r="F5" s="88"/>
      <c r="G5" s="92"/>
      <c r="H5" s="827"/>
    </row>
    <row r="6" spans="2:9" ht="47.45" customHeight="1">
      <c r="B6" s="88" t="s">
        <v>66</v>
      </c>
      <c r="C6" s="447" t="s">
        <v>161</v>
      </c>
      <c r="D6" s="108" t="s">
        <v>215</v>
      </c>
      <c r="E6" s="284">
        <v>40</v>
      </c>
      <c r="F6" s="89">
        <f>(H6/60)*E6</f>
        <v>44.333333333333336</v>
      </c>
      <c r="G6" s="598">
        <f>('соц. роб ІІ віддділення'!E25+'соц. роб ІІ віддділення'!F35)/60*'ІІ відділення'!E6</f>
        <v>66.533333333333346</v>
      </c>
      <c r="H6" s="89">
        <v>66.5</v>
      </c>
    </row>
    <row r="7" spans="2:9">
      <c r="B7" s="88" t="s">
        <v>219</v>
      </c>
      <c r="C7" s="97" t="s">
        <v>218</v>
      </c>
      <c r="D7" s="106"/>
      <c r="E7" s="88"/>
      <c r="F7" s="89"/>
      <c r="G7" s="89"/>
      <c r="H7" s="88"/>
    </row>
    <row r="8" spans="2:9" ht="46.15" customHeight="1">
      <c r="B8" s="88" t="s">
        <v>107</v>
      </c>
      <c r="C8" s="447" t="s">
        <v>297</v>
      </c>
      <c r="D8" s="108" t="s">
        <v>114</v>
      </c>
      <c r="E8" s="284">
        <v>45</v>
      </c>
      <c r="F8" s="89">
        <f>H8/60*E8</f>
        <v>66.150000000000006</v>
      </c>
      <c r="G8" s="89">
        <f>('соц. роб ІІ віддділення'!E25+'соц. роб ІІ віддділення'!F43)/60*'ІІ відділення'!E8</f>
        <v>88.215000000000003</v>
      </c>
      <c r="H8" s="89">
        <v>88.2</v>
      </c>
    </row>
    <row r="9" spans="2:9">
      <c r="B9" s="88" t="s">
        <v>223</v>
      </c>
      <c r="C9" s="97" t="s">
        <v>220</v>
      </c>
      <c r="D9" s="106"/>
      <c r="E9" s="88"/>
      <c r="F9" s="89"/>
      <c r="G9" s="89"/>
      <c r="H9" s="88"/>
    </row>
    <row r="10" spans="2:9">
      <c r="B10" s="88" t="s">
        <v>224</v>
      </c>
      <c r="C10" s="447" t="s">
        <v>286</v>
      </c>
      <c r="D10" s="108"/>
      <c r="E10" s="88"/>
      <c r="F10" s="89"/>
      <c r="G10" s="89"/>
      <c r="H10" s="88"/>
    </row>
    <row r="11" spans="2:9" s="91" customFormat="1" ht="22.9" customHeight="1">
      <c r="B11" s="88"/>
      <c r="C11" s="828" t="s">
        <v>519</v>
      </c>
      <c r="D11" s="108" t="s">
        <v>85</v>
      </c>
      <c r="E11" s="284">
        <v>40</v>
      </c>
      <c r="F11" s="89">
        <f>H11/60*E11</f>
        <v>41.333333333333336</v>
      </c>
      <c r="G11" s="89">
        <f>'Перукар ІІ відд'!E52/60*'ІІ відділення'!E11</f>
        <v>61.966666666666669</v>
      </c>
      <c r="H11" s="89">
        <v>62</v>
      </c>
    </row>
    <row r="12" spans="2:9" ht="29.45" customHeight="1">
      <c r="B12" s="88"/>
      <c r="C12" s="828" t="s">
        <v>520</v>
      </c>
      <c r="D12" s="108" t="s">
        <v>85</v>
      </c>
      <c r="E12" s="284">
        <v>45</v>
      </c>
      <c r="F12" s="89">
        <f>H12/60*E12</f>
        <v>51.6</v>
      </c>
      <c r="G12" s="89">
        <f>'Перукар ІІ відд'!E91/60*'ІІ відділення'!E12</f>
        <v>68.8125</v>
      </c>
      <c r="H12" s="89">
        <v>68.8</v>
      </c>
    </row>
    <row r="13" spans="2:9">
      <c r="B13" s="88" t="s">
        <v>226</v>
      </c>
      <c r="C13" s="447" t="s">
        <v>779</v>
      </c>
      <c r="D13" s="108" t="s">
        <v>288</v>
      </c>
      <c r="E13" s="284">
        <v>55</v>
      </c>
      <c r="F13" s="89">
        <f>$H$13/60*E13</f>
        <v>127.50833333333334</v>
      </c>
      <c r="G13" s="89">
        <f>('соц. роб ІІ віддділення'!E25+'соц. роб ІІ віддділення'!F55+'соц. роб ІІ віддділення'!F45+'соц. роб ІІ віддділення'!F60)/60*'ІІ відділення'!E13</f>
        <v>139.04916666666665</v>
      </c>
      <c r="H13" s="89">
        <v>139.1</v>
      </c>
    </row>
    <row r="14" spans="2:9">
      <c r="B14" s="88" t="s">
        <v>228</v>
      </c>
      <c r="C14" s="447" t="s">
        <v>780</v>
      </c>
      <c r="D14" s="108" t="s">
        <v>288</v>
      </c>
      <c r="E14" s="284">
        <v>45</v>
      </c>
      <c r="F14" s="89"/>
      <c r="G14" s="89">
        <f>('соц. роб ІІ віддділення'!E25+'соц. роб ІІ віддділення'!F55+'соц. роб ІІ віддділення'!F45+'соц. роб ІІ віддділення'!F60)/60*'ІІ відділення'!E14</f>
        <v>113.76749999999998</v>
      </c>
      <c r="H14" s="89">
        <v>113.8</v>
      </c>
    </row>
    <row r="15" spans="2:9" ht="28.9" customHeight="1">
      <c r="B15" s="88" t="s">
        <v>300</v>
      </c>
      <c r="C15" s="447" t="s">
        <v>301</v>
      </c>
      <c r="D15" s="108" t="s">
        <v>85</v>
      </c>
      <c r="E15" s="284">
        <v>60</v>
      </c>
      <c r="F15" s="89"/>
      <c r="G15" s="89">
        <f>('соц. роб ІІ віддділення'!E25+'соц. роб ІІ віддділення'!F43)/60*'ІІ відділення'!E15</f>
        <v>117.62</v>
      </c>
      <c r="H15" s="89">
        <v>117.6</v>
      </c>
    </row>
    <row r="16" spans="2:9">
      <c r="B16" s="88" t="s">
        <v>235</v>
      </c>
      <c r="C16" s="829" t="s">
        <v>234</v>
      </c>
      <c r="D16" s="106"/>
      <c r="E16" s="88"/>
      <c r="F16" s="89"/>
      <c r="G16" s="89"/>
      <c r="H16" s="89"/>
    </row>
    <row r="17" spans="2:8" ht="60">
      <c r="B17" s="88" t="s">
        <v>126</v>
      </c>
      <c r="C17" s="213" t="s">
        <v>165</v>
      </c>
      <c r="D17" s="108" t="s">
        <v>292</v>
      </c>
      <c r="E17" s="88">
        <v>120</v>
      </c>
      <c r="F17" s="89">
        <f>$H$6/60*E17</f>
        <v>133</v>
      </c>
      <c r="G17" s="598">
        <f>('соц. роб ІІ віддділення'!$E$25+'соц. роб ІІ віддділення'!F35)/60*'ІІ відділення'!E17</f>
        <v>199.60000000000002</v>
      </c>
      <c r="H17" s="89">
        <v>199.6</v>
      </c>
    </row>
    <row r="18" spans="2:8" ht="12.6" customHeight="1">
      <c r="B18" s="88" t="s">
        <v>238</v>
      </c>
      <c r="C18" s="97" t="s">
        <v>237</v>
      </c>
      <c r="D18" s="106"/>
      <c r="E18" s="88"/>
      <c r="F18" s="89"/>
      <c r="G18" s="598"/>
      <c r="H18" s="89"/>
    </row>
    <row r="19" spans="2:8" ht="25.5">
      <c r="B19" s="88" t="s">
        <v>138</v>
      </c>
      <c r="C19" s="447" t="s">
        <v>293</v>
      </c>
      <c r="D19" s="108" t="s">
        <v>294</v>
      </c>
      <c r="E19" s="88">
        <v>30</v>
      </c>
      <c r="F19" s="89">
        <f>H19/60*E19</f>
        <v>24.95</v>
      </c>
      <c r="G19" s="598">
        <f>('соц. роб ІІ віддділення'!$E$25+'соц. роб ІІ віддділення'!F35)/60*'ІІ відділення'!E19</f>
        <v>49.900000000000006</v>
      </c>
      <c r="H19" s="89">
        <v>49.9</v>
      </c>
    </row>
    <row r="20" spans="2:8" ht="30">
      <c r="B20" s="88" t="s">
        <v>289</v>
      </c>
      <c r="C20" s="447" t="s">
        <v>629</v>
      </c>
      <c r="D20" s="108" t="s">
        <v>85</v>
      </c>
      <c r="E20" s="88">
        <v>160</v>
      </c>
      <c r="F20" s="89"/>
      <c r="G20" s="598">
        <f>('соц. роб ІІ віддділення'!$E$25+'соц. роб ІІ віддділення'!F35)/60*'ІІ відділення'!E20</f>
        <v>266.13333333333338</v>
      </c>
      <c r="H20" s="89">
        <v>266.10000000000002</v>
      </c>
    </row>
    <row r="21" spans="2:8" ht="13.15" customHeight="1">
      <c r="B21" s="88" t="s">
        <v>290</v>
      </c>
      <c r="C21" s="447" t="s">
        <v>781</v>
      </c>
      <c r="D21" s="108" t="s">
        <v>85</v>
      </c>
      <c r="E21" s="88">
        <v>60</v>
      </c>
      <c r="F21" s="89">
        <f>H21/60*E21</f>
        <v>122.9</v>
      </c>
      <c r="G21" s="89">
        <f>('соц. роб ІІ віддділення'!E25+'соц. роб ІІ віддділення'!F88)/60*'ІІ відділення'!E21+'соц. роб ІІ віддділення'!F96+'соц. роб ІІ віддділення'!F91</f>
        <v>122.91000000000001</v>
      </c>
      <c r="H21" s="89">
        <v>122.9</v>
      </c>
    </row>
    <row r="22" spans="2:8" ht="12.6" customHeight="1">
      <c r="B22" s="88" t="s">
        <v>630</v>
      </c>
      <c r="C22" s="447" t="s">
        <v>782</v>
      </c>
      <c r="D22" s="108" t="s">
        <v>85</v>
      </c>
      <c r="E22" s="88">
        <v>60</v>
      </c>
      <c r="F22" s="89">
        <f>H22/60*E22</f>
        <v>169.9</v>
      </c>
      <c r="G22" s="89">
        <f>'соц. роб ІІ віддділення'!E25+'соц. роб ІІ віддділення'!F74/60*'ІІ відділення'!E22+'соц. роб ІІ віддділення'!F79+'соц. роб ІІ віддділення'!F63</f>
        <v>169.85000000000002</v>
      </c>
      <c r="H22" s="89">
        <v>169.9</v>
      </c>
    </row>
    <row r="23" spans="2:8" ht="13.9" customHeight="1">
      <c r="B23" s="88" t="s">
        <v>1120</v>
      </c>
      <c r="C23" s="97" t="s">
        <v>1110</v>
      </c>
      <c r="D23" s="87"/>
      <c r="E23" s="88"/>
      <c r="F23" s="88"/>
      <c r="G23" s="92"/>
      <c r="H23" s="827"/>
    </row>
    <row r="24" spans="2:8" ht="60">
      <c r="B24" s="849" t="s">
        <v>141</v>
      </c>
      <c r="C24" s="898" t="s">
        <v>1091</v>
      </c>
      <c r="D24" s="843" t="s">
        <v>85</v>
      </c>
      <c r="E24" s="284">
        <v>30</v>
      </c>
      <c r="F24" s="89"/>
      <c r="G24" s="598">
        <v>66.62</v>
      </c>
      <c r="H24" s="89">
        <v>66.599999999999994</v>
      </c>
    </row>
    <row r="25" spans="2:8" ht="16.899999999999999" customHeight="1"/>
    <row r="27" spans="2:8" ht="15" customHeight="1"/>
    <row r="28" spans="2:8" ht="15" customHeight="1"/>
    <row r="29" spans="2:8" ht="15" customHeight="1"/>
    <row r="30" spans="2:8" ht="15" customHeight="1"/>
    <row r="31" spans="2:8" ht="15" customHeight="1">
      <c r="B31" s="295" t="s">
        <v>23</v>
      </c>
      <c r="C31" s="37"/>
      <c r="D31" s="51"/>
      <c r="E31" s="51" t="s">
        <v>51</v>
      </c>
    </row>
    <row r="32" spans="2:8" ht="15" customHeight="1"/>
    <row r="33" ht="15" customHeight="1"/>
    <row r="34" ht="15" customHeight="1"/>
    <row r="35" ht="15" customHeight="1"/>
    <row r="41" ht="31.5" customHeight="1"/>
    <row r="42" ht="33.75" customHeight="1"/>
  </sheetData>
  <mergeCells count="2">
    <mergeCell ref="B1:G1"/>
    <mergeCell ref="B3:G3"/>
  </mergeCells>
  <printOptions horizontalCentered="1"/>
  <pageMargins left="0.70866141732283472" right="0.55118110236220474" top="0.59055118110236227" bottom="0.59055118110236227" header="0.27559055118110237" footer="0.51181102362204722"/>
  <pageSetup paperSize="9" scale="8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24"/>
  <sheetViews>
    <sheetView view="pageBreakPreview" topLeftCell="A55" zoomScale="58" zoomScaleNormal="85" zoomScaleSheetLayoutView="58" workbookViewId="0">
      <selection activeCell="I89" sqref="I89"/>
    </sheetView>
  </sheetViews>
  <sheetFormatPr defaultRowHeight="15.75"/>
  <cols>
    <col min="1" max="1" width="7.85546875" style="33" customWidth="1"/>
    <col min="2" max="2" width="66" style="35" customWidth="1"/>
    <col min="3" max="3" width="22.7109375" style="36" customWidth="1"/>
    <col min="4" max="4" width="9.140625" style="33" customWidth="1"/>
    <col min="5" max="5" width="10.140625" style="33" customWidth="1"/>
    <col min="6" max="6" width="9.5703125" style="34" customWidth="1"/>
    <col min="7" max="7" width="6" style="33" customWidth="1"/>
    <col min="8" max="8" width="8.42578125" style="33" customWidth="1"/>
    <col min="9" max="9" width="42.7109375" style="33" customWidth="1"/>
    <col min="10" max="10" width="10.42578125" style="33" customWidth="1"/>
    <col min="11" max="11" width="19.28515625" style="37" customWidth="1"/>
    <col min="12" max="12" width="19" style="37" customWidth="1"/>
    <col min="13" max="13" width="32.28515625" style="33" customWidth="1"/>
    <col min="14" max="14" width="10" style="33" customWidth="1"/>
    <col min="15" max="15" width="10.140625" style="33" customWidth="1"/>
    <col min="16" max="16" width="13.140625" style="33" customWidth="1"/>
    <col min="17" max="17" width="10.85546875" style="33" customWidth="1"/>
    <col min="18" max="18" width="15.85546875" style="33" customWidth="1"/>
    <col min="19" max="19" width="14.7109375" style="33" customWidth="1"/>
    <col min="20" max="20" width="16" style="33" customWidth="1"/>
    <col min="21" max="21" width="13.28515625" style="33" customWidth="1"/>
    <col min="22" max="22" width="24.7109375" style="33" customWidth="1"/>
    <col min="23" max="23" width="14.42578125" style="33" customWidth="1"/>
    <col min="24" max="33" width="9.140625" style="33"/>
    <col min="34" max="34" width="6.140625" style="33" customWidth="1"/>
    <col min="35" max="257" width="9.140625" style="33"/>
    <col min="258" max="258" width="89.85546875" style="33" customWidth="1"/>
    <col min="259" max="259" width="17.5703125" style="33" customWidth="1"/>
    <col min="260" max="260" width="10.28515625" style="33" customWidth="1"/>
    <col min="261" max="261" width="12.140625" style="33" customWidth="1"/>
    <col min="262" max="262" width="18.85546875" style="33" customWidth="1"/>
    <col min="263" max="263" width="6" style="33" customWidth="1"/>
    <col min="264" max="264" width="8.42578125" style="33" customWidth="1"/>
    <col min="265" max="265" width="51.85546875" style="33" customWidth="1"/>
    <col min="266" max="266" width="10.42578125" style="33" customWidth="1"/>
    <col min="267" max="267" width="12.140625" style="33" customWidth="1"/>
    <col min="268" max="268" width="19.85546875" style="33" customWidth="1"/>
    <col min="269" max="269" width="25.85546875" style="33" customWidth="1"/>
    <col min="270" max="270" width="4.42578125" style="33" customWidth="1"/>
    <col min="271" max="271" width="7.7109375" style="33" customWidth="1"/>
    <col min="272" max="272" width="8.28515625" style="33" customWidth="1"/>
    <col min="273" max="273" width="9.140625" style="33"/>
    <col min="274" max="274" width="52.42578125" style="33" customWidth="1"/>
    <col min="275" max="275" width="14.7109375" style="33" customWidth="1"/>
    <col min="276" max="276" width="16" style="33" customWidth="1"/>
    <col min="277" max="277" width="13.28515625" style="33" customWidth="1"/>
    <col min="278" max="278" width="24.7109375" style="33" customWidth="1"/>
    <col min="279" max="279" width="14.42578125" style="33" customWidth="1"/>
    <col min="280" max="289" width="9.140625" style="33"/>
    <col min="290" max="290" width="6.140625" style="33" customWidth="1"/>
    <col min="291" max="513" width="9.140625" style="33"/>
    <col min="514" max="514" width="89.85546875" style="33" customWidth="1"/>
    <col min="515" max="515" width="17.5703125" style="33" customWidth="1"/>
    <col min="516" max="516" width="10.28515625" style="33" customWidth="1"/>
    <col min="517" max="517" width="12.140625" style="33" customWidth="1"/>
    <col min="518" max="518" width="18.85546875" style="33" customWidth="1"/>
    <col min="519" max="519" width="6" style="33" customWidth="1"/>
    <col min="520" max="520" width="8.42578125" style="33" customWidth="1"/>
    <col min="521" max="521" width="51.85546875" style="33" customWidth="1"/>
    <col min="522" max="522" width="10.42578125" style="33" customWidth="1"/>
    <col min="523" max="523" width="12.140625" style="33" customWidth="1"/>
    <col min="524" max="524" width="19.85546875" style="33" customWidth="1"/>
    <col min="525" max="525" width="25.85546875" style="33" customWidth="1"/>
    <col min="526" max="526" width="4.42578125" style="33" customWidth="1"/>
    <col min="527" max="527" width="7.7109375" style="33" customWidth="1"/>
    <col min="528" max="528" width="8.28515625" style="33" customWidth="1"/>
    <col min="529" max="529" width="9.140625" style="33"/>
    <col min="530" max="530" width="52.42578125" style="33" customWidth="1"/>
    <col min="531" max="531" width="14.7109375" style="33" customWidth="1"/>
    <col min="532" max="532" width="16" style="33" customWidth="1"/>
    <col min="533" max="533" width="13.28515625" style="33" customWidth="1"/>
    <col min="534" max="534" width="24.7109375" style="33" customWidth="1"/>
    <col min="535" max="535" width="14.42578125" style="33" customWidth="1"/>
    <col min="536" max="545" width="9.140625" style="33"/>
    <col min="546" max="546" width="6.140625" style="33" customWidth="1"/>
    <col min="547" max="769" width="9.140625" style="33"/>
    <col min="770" max="770" width="89.85546875" style="33" customWidth="1"/>
    <col min="771" max="771" width="17.5703125" style="33" customWidth="1"/>
    <col min="772" max="772" width="10.28515625" style="33" customWidth="1"/>
    <col min="773" max="773" width="12.140625" style="33" customWidth="1"/>
    <col min="774" max="774" width="18.85546875" style="33" customWidth="1"/>
    <col min="775" max="775" width="6" style="33" customWidth="1"/>
    <col min="776" max="776" width="8.42578125" style="33" customWidth="1"/>
    <col min="777" max="777" width="51.85546875" style="33" customWidth="1"/>
    <col min="778" max="778" width="10.42578125" style="33" customWidth="1"/>
    <col min="779" max="779" width="12.140625" style="33" customWidth="1"/>
    <col min="780" max="780" width="19.85546875" style="33" customWidth="1"/>
    <col min="781" max="781" width="25.85546875" style="33" customWidth="1"/>
    <col min="782" max="782" width="4.42578125" style="33" customWidth="1"/>
    <col min="783" max="783" width="7.7109375" style="33" customWidth="1"/>
    <col min="784" max="784" width="8.28515625" style="33" customWidth="1"/>
    <col min="785" max="785" width="9.140625" style="33"/>
    <col min="786" max="786" width="52.42578125" style="33" customWidth="1"/>
    <col min="787" max="787" width="14.7109375" style="33" customWidth="1"/>
    <col min="788" max="788" width="16" style="33" customWidth="1"/>
    <col min="789" max="789" width="13.28515625" style="33" customWidth="1"/>
    <col min="790" max="790" width="24.7109375" style="33" customWidth="1"/>
    <col min="791" max="791" width="14.42578125" style="33" customWidth="1"/>
    <col min="792" max="801" width="9.140625" style="33"/>
    <col min="802" max="802" width="6.140625" style="33" customWidth="1"/>
    <col min="803" max="1025" width="9.140625" style="33"/>
    <col min="1026" max="1026" width="89.85546875" style="33" customWidth="1"/>
    <col min="1027" max="1027" width="17.5703125" style="33" customWidth="1"/>
    <col min="1028" max="1028" width="10.28515625" style="33" customWidth="1"/>
    <col min="1029" max="1029" width="12.140625" style="33" customWidth="1"/>
    <col min="1030" max="1030" width="18.85546875" style="33" customWidth="1"/>
    <col min="1031" max="1031" width="6" style="33" customWidth="1"/>
    <col min="1032" max="1032" width="8.42578125" style="33" customWidth="1"/>
    <col min="1033" max="1033" width="51.85546875" style="33" customWidth="1"/>
    <col min="1034" max="1034" width="10.42578125" style="33" customWidth="1"/>
    <col min="1035" max="1035" width="12.140625" style="33" customWidth="1"/>
    <col min="1036" max="1036" width="19.85546875" style="33" customWidth="1"/>
    <col min="1037" max="1037" width="25.85546875" style="33" customWidth="1"/>
    <col min="1038" max="1038" width="4.42578125" style="33" customWidth="1"/>
    <col min="1039" max="1039" width="7.7109375" style="33" customWidth="1"/>
    <col min="1040" max="1040" width="8.28515625" style="33" customWidth="1"/>
    <col min="1041" max="1041" width="9.140625" style="33"/>
    <col min="1042" max="1042" width="52.42578125" style="33" customWidth="1"/>
    <col min="1043" max="1043" width="14.7109375" style="33" customWidth="1"/>
    <col min="1044" max="1044" width="16" style="33" customWidth="1"/>
    <col min="1045" max="1045" width="13.28515625" style="33" customWidth="1"/>
    <col min="1046" max="1046" width="24.7109375" style="33" customWidth="1"/>
    <col min="1047" max="1047" width="14.42578125" style="33" customWidth="1"/>
    <col min="1048" max="1057" width="9.140625" style="33"/>
    <col min="1058" max="1058" width="6.140625" style="33" customWidth="1"/>
    <col min="1059" max="1281" width="9.140625" style="33"/>
    <col min="1282" max="1282" width="89.85546875" style="33" customWidth="1"/>
    <col min="1283" max="1283" width="17.5703125" style="33" customWidth="1"/>
    <col min="1284" max="1284" width="10.28515625" style="33" customWidth="1"/>
    <col min="1285" max="1285" width="12.140625" style="33" customWidth="1"/>
    <col min="1286" max="1286" width="18.85546875" style="33" customWidth="1"/>
    <col min="1287" max="1287" width="6" style="33" customWidth="1"/>
    <col min="1288" max="1288" width="8.42578125" style="33" customWidth="1"/>
    <col min="1289" max="1289" width="51.85546875" style="33" customWidth="1"/>
    <col min="1290" max="1290" width="10.42578125" style="33" customWidth="1"/>
    <col min="1291" max="1291" width="12.140625" style="33" customWidth="1"/>
    <col min="1292" max="1292" width="19.85546875" style="33" customWidth="1"/>
    <col min="1293" max="1293" width="25.85546875" style="33" customWidth="1"/>
    <col min="1294" max="1294" width="4.42578125" style="33" customWidth="1"/>
    <col min="1295" max="1295" width="7.7109375" style="33" customWidth="1"/>
    <col min="1296" max="1296" width="8.28515625" style="33" customWidth="1"/>
    <col min="1297" max="1297" width="9.140625" style="33"/>
    <col min="1298" max="1298" width="52.42578125" style="33" customWidth="1"/>
    <col min="1299" max="1299" width="14.7109375" style="33" customWidth="1"/>
    <col min="1300" max="1300" width="16" style="33" customWidth="1"/>
    <col min="1301" max="1301" width="13.28515625" style="33" customWidth="1"/>
    <col min="1302" max="1302" width="24.7109375" style="33" customWidth="1"/>
    <col min="1303" max="1303" width="14.42578125" style="33" customWidth="1"/>
    <col min="1304" max="1313" width="9.140625" style="33"/>
    <col min="1314" max="1314" width="6.140625" style="33" customWidth="1"/>
    <col min="1315" max="1537" width="9.140625" style="33"/>
    <col min="1538" max="1538" width="89.85546875" style="33" customWidth="1"/>
    <col min="1539" max="1539" width="17.5703125" style="33" customWidth="1"/>
    <col min="1540" max="1540" width="10.28515625" style="33" customWidth="1"/>
    <col min="1541" max="1541" width="12.140625" style="33" customWidth="1"/>
    <col min="1542" max="1542" width="18.85546875" style="33" customWidth="1"/>
    <col min="1543" max="1543" width="6" style="33" customWidth="1"/>
    <col min="1544" max="1544" width="8.42578125" style="33" customWidth="1"/>
    <col min="1545" max="1545" width="51.85546875" style="33" customWidth="1"/>
    <col min="1546" max="1546" width="10.42578125" style="33" customWidth="1"/>
    <col min="1547" max="1547" width="12.140625" style="33" customWidth="1"/>
    <col min="1548" max="1548" width="19.85546875" style="33" customWidth="1"/>
    <col min="1549" max="1549" width="25.85546875" style="33" customWidth="1"/>
    <col min="1550" max="1550" width="4.42578125" style="33" customWidth="1"/>
    <col min="1551" max="1551" width="7.7109375" style="33" customWidth="1"/>
    <col min="1552" max="1552" width="8.28515625" style="33" customWidth="1"/>
    <col min="1553" max="1553" width="9.140625" style="33"/>
    <col min="1554" max="1554" width="52.42578125" style="33" customWidth="1"/>
    <col min="1555" max="1555" width="14.7109375" style="33" customWidth="1"/>
    <col min="1556" max="1556" width="16" style="33" customWidth="1"/>
    <col min="1557" max="1557" width="13.28515625" style="33" customWidth="1"/>
    <col min="1558" max="1558" width="24.7109375" style="33" customWidth="1"/>
    <col min="1559" max="1559" width="14.42578125" style="33" customWidth="1"/>
    <col min="1560" max="1569" width="9.140625" style="33"/>
    <col min="1570" max="1570" width="6.140625" style="33" customWidth="1"/>
    <col min="1571" max="1793" width="9.140625" style="33"/>
    <col min="1794" max="1794" width="89.85546875" style="33" customWidth="1"/>
    <col min="1795" max="1795" width="17.5703125" style="33" customWidth="1"/>
    <col min="1796" max="1796" width="10.28515625" style="33" customWidth="1"/>
    <col min="1797" max="1797" width="12.140625" style="33" customWidth="1"/>
    <col min="1798" max="1798" width="18.85546875" style="33" customWidth="1"/>
    <col min="1799" max="1799" width="6" style="33" customWidth="1"/>
    <col min="1800" max="1800" width="8.42578125" style="33" customWidth="1"/>
    <col min="1801" max="1801" width="51.85546875" style="33" customWidth="1"/>
    <col min="1802" max="1802" width="10.42578125" style="33" customWidth="1"/>
    <col min="1803" max="1803" width="12.140625" style="33" customWidth="1"/>
    <col min="1804" max="1804" width="19.85546875" style="33" customWidth="1"/>
    <col min="1805" max="1805" width="25.85546875" style="33" customWidth="1"/>
    <col min="1806" max="1806" width="4.42578125" style="33" customWidth="1"/>
    <col min="1807" max="1807" width="7.7109375" style="33" customWidth="1"/>
    <col min="1808" max="1808" width="8.28515625" style="33" customWidth="1"/>
    <col min="1809" max="1809" width="9.140625" style="33"/>
    <col min="1810" max="1810" width="52.42578125" style="33" customWidth="1"/>
    <col min="1811" max="1811" width="14.7109375" style="33" customWidth="1"/>
    <col min="1812" max="1812" width="16" style="33" customWidth="1"/>
    <col min="1813" max="1813" width="13.28515625" style="33" customWidth="1"/>
    <col min="1814" max="1814" width="24.7109375" style="33" customWidth="1"/>
    <col min="1815" max="1815" width="14.42578125" style="33" customWidth="1"/>
    <col min="1816" max="1825" width="9.140625" style="33"/>
    <col min="1826" max="1826" width="6.140625" style="33" customWidth="1"/>
    <col min="1827" max="2049" width="9.140625" style="33"/>
    <col min="2050" max="2050" width="89.85546875" style="33" customWidth="1"/>
    <col min="2051" max="2051" width="17.5703125" style="33" customWidth="1"/>
    <col min="2052" max="2052" width="10.28515625" style="33" customWidth="1"/>
    <col min="2053" max="2053" width="12.140625" style="33" customWidth="1"/>
    <col min="2054" max="2054" width="18.85546875" style="33" customWidth="1"/>
    <col min="2055" max="2055" width="6" style="33" customWidth="1"/>
    <col min="2056" max="2056" width="8.42578125" style="33" customWidth="1"/>
    <col min="2057" max="2057" width="51.85546875" style="33" customWidth="1"/>
    <col min="2058" max="2058" width="10.42578125" style="33" customWidth="1"/>
    <col min="2059" max="2059" width="12.140625" style="33" customWidth="1"/>
    <col min="2060" max="2060" width="19.85546875" style="33" customWidth="1"/>
    <col min="2061" max="2061" width="25.85546875" style="33" customWidth="1"/>
    <col min="2062" max="2062" width="4.42578125" style="33" customWidth="1"/>
    <col min="2063" max="2063" width="7.7109375" style="33" customWidth="1"/>
    <col min="2064" max="2064" width="8.28515625" style="33" customWidth="1"/>
    <col min="2065" max="2065" width="9.140625" style="33"/>
    <col min="2066" max="2066" width="52.42578125" style="33" customWidth="1"/>
    <col min="2067" max="2067" width="14.7109375" style="33" customWidth="1"/>
    <col min="2068" max="2068" width="16" style="33" customWidth="1"/>
    <col min="2069" max="2069" width="13.28515625" style="33" customWidth="1"/>
    <col min="2070" max="2070" width="24.7109375" style="33" customWidth="1"/>
    <col min="2071" max="2071" width="14.42578125" style="33" customWidth="1"/>
    <col min="2072" max="2081" width="9.140625" style="33"/>
    <col min="2082" max="2082" width="6.140625" style="33" customWidth="1"/>
    <col min="2083" max="2305" width="9.140625" style="33"/>
    <col min="2306" max="2306" width="89.85546875" style="33" customWidth="1"/>
    <col min="2307" max="2307" width="17.5703125" style="33" customWidth="1"/>
    <col min="2308" max="2308" width="10.28515625" style="33" customWidth="1"/>
    <col min="2309" max="2309" width="12.140625" style="33" customWidth="1"/>
    <col min="2310" max="2310" width="18.85546875" style="33" customWidth="1"/>
    <col min="2311" max="2311" width="6" style="33" customWidth="1"/>
    <col min="2312" max="2312" width="8.42578125" style="33" customWidth="1"/>
    <col min="2313" max="2313" width="51.85546875" style="33" customWidth="1"/>
    <col min="2314" max="2314" width="10.42578125" style="33" customWidth="1"/>
    <col min="2315" max="2315" width="12.140625" style="33" customWidth="1"/>
    <col min="2316" max="2316" width="19.85546875" style="33" customWidth="1"/>
    <col min="2317" max="2317" width="25.85546875" style="33" customWidth="1"/>
    <col min="2318" max="2318" width="4.42578125" style="33" customWidth="1"/>
    <col min="2319" max="2319" width="7.7109375" style="33" customWidth="1"/>
    <col min="2320" max="2320" width="8.28515625" style="33" customWidth="1"/>
    <col min="2321" max="2321" width="9.140625" style="33"/>
    <col min="2322" max="2322" width="52.42578125" style="33" customWidth="1"/>
    <col min="2323" max="2323" width="14.7109375" style="33" customWidth="1"/>
    <col min="2324" max="2324" width="16" style="33" customWidth="1"/>
    <col min="2325" max="2325" width="13.28515625" style="33" customWidth="1"/>
    <col min="2326" max="2326" width="24.7109375" style="33" customWidth="1"/>
    <col min="2327" max="2327" width="14.42578125" style="33" customWidth="1"/>
    <col min="2328" max="2337" width="9.140625" style="33"/>
    <col min="2338" max="2338" width="6.140625" style="33" customWidth="1"/>
    <col min="2339" max="2561" width="9.140625" style="33"/>
    <col min="2562" max="2562" width="89.85546875" style="33" customWidth="1"/>
    <col min="2563" max="2563" width="17.5703125" style="33" customWidth="1"/>
    <col min="2564" max="2564" width="10.28515625" style="33" customWidth="1"/>
    <col min="2565" max="2565" width="12.140625" style="33" customWidth="1"/>
    <col min="2566" max="2566" width="18.85546875" style="33" customWidth="1"/>
    <col min="2567" max="2567" width="6" style="33" customWidth="1"/>
    <col min="2568" max="2568" width="8.42578125" style="33" customWidth="1"/>
    <col min="2569" max="2569" width="51.85546875" style="33" customWidth="1"/>
    <col min="2570" max="2570" width="10.42578125" style="33" customWidth="1"/>
    <col min="2571" max="2571" width="12.140625" style="33" customWidth="1"/>
    <col min="2572" max="2572" width="19.85546875" style="33" customWidth="1"/>
    <col min="2573" max="2573" width="25.85546875" style="33" customWidth="1"/>
    <col min="2574" max="2574" width="4.42578125" style="33" customWidth="1"/>
    <col min="2575" max="2575" width="7.7109375" style="33" customWidth="1"/>
    <col min="2576" max="2576" width="8.28515625" style="33" customWidth="1"/>
    <col min="2577" max="2577" width="9.140625" style="33"/>
    <col min="2578" max="2578" width="52.42578125" style="33" customWidth="1"/>
    <col min="2579" max="2579" width="14.7109375" style="33" customWidth="1"/>
    <col min="2580" max="2580" width="16" style="33" customWidth="1"/>
    <col min="2581" max="2581" width="13.28515625" style="33" customWidth="1"/>
    <col min="2582" max="2582" width="24.7109375" style="33" customWidth="1"/>
    <col min="2583" max="2583" width="14.42578125" style="33" customWidth="1"/>
    <col min="2584" max="2593" width="9.140625" style="33"/>
    <col min="2594" max="2594" width="6.140625" style="33" customWidth="1"/>
    <col min="2595" max="2817" width="9.140625" style="33"/>
    <col min="2818" max="2818" width="89.85546875" style="33" customWidth="1"/>
    <col min="2819" max="2819" width="17.5703125" style="33" customWidth="1"/>
    <col min="2820" max="2820" width="10.28515625" style="33" customWidth="1"/>
    <col min="2821" max="2821" width="12.140625" style="33" customWidth="1"/>
    <col min="2822" max="2822" width="18.85546875" style="33" customWidth="1"/>
    <col min="2823" max="2823" width="6" style="33" customWidth="1"/>
    <col min="2824" max="2824" width="8.42578125" style="33" customWidth="1"/>
    <col min="2825" max="2825" width="51.85546875" style="33" customWidth="1"/>
    <col min="2826" max="2826" width="10.42578125" style="33" customWidth="1"/>
    <col min="2827" max="2827" width="12.140625" style="33" customWidth="1"/>
    <col min="2828" max="2828" width="19.85546875" style="33" customWidth="1"/>
    <col min="2829" max="2829" width="25.85546875" style="33" customWidth="1"/>
    <col min="2830" max="2830" width="4.42578125" style="33" customWidth="1"/>
    <col min="2831" max="2831" width="7.7109375" style="33" customWidth="1"/>
    <col min="2832" max="2832" width="8.28515625" style="33" customWidth="1"/>
    <col min="2833" max="2833" width="9.140625" style="33"/>
    <col min="2834" max="2834" width="52.42578125" style="33" customWidth="1"/>
    <col min="2835" max="2835" width="14.7109375" style="33" customWidth="1"/>
    <col min="2836" max="2836" width="16" style="33" customWidth="1"/>
    <col min="2837" max="2837" width="13.28515625" style="33" customWidth="1"/>
    <col min="2838" max="2838" width="24.7109375" style="33" customWidth="1"/>
    <col min="2839" max="2839" width="14.42578125" style="33" customWidth="1"/>
    <col min="2840" max="2849" width="9.140625" style="33"/>
    <col min="2850" max="2850" width="6.140625" style="33" customWidth="1"/>
    <col min="2851" max="3073" width="9.140625" style="33"/>
    <col min="3074" max="3074" width="89.85546875" style="33" customWidth="1"/>
    <col min="3075" max="3075" width="17.5703125" style="33" customWidth="1"/>
    <col min="3076" max="3076" width="10.28515625" style="33" customWidth="1"/>
    <col min="3077" max="3077" width="12.140625" style="33" customWidth="1"/>
    <col min="3078" max="3078" width="18.85546875" style="33" customWidth="1"/>
    <col min="3079" max="3079" width="6" style="33" customWidth="1"/>
    <col min="3080" max="3080" width="8.42578125" style="33" customWidth="1"/>
    <col min="3081" max="3081" width="51.85546875" style="33" customWidth="1"/>
    <col min="3082" max="3082" width="10.42578125" style="33" customWidth="1"/>
    <col min="3083" max="3083" width="12.140625" style="33" customWidth="1"/>
    <col min="3084" max="3084" width="19.85546875" style="33" customWidth="1"/>
    <col min="3085" max="3085" width="25.85546875" style="33" customWidth="1"/>
    <col min="3086" max="3086" width="4.42578125" style="33" customWidth="1"/>
    <col min="3087" max="3087" width="7.7109375" style="33" customWidth="1"/>
    <col min="3088" max="3088" width="8.28515625" style="33" customWidth="1"/>
    <col min="3089" max="3089" width="9.140625" style="33"/>
    <col min="3090" max="3090" width="52.42578125" style="33" customWidth="1"/>
    <col min="3091" max="3091" width="14.7109375" style="33" customWidth="1"/>
    <col min="3092" max="3092" width="16" style="33" customWidth="1"/>
    <col min="3093" max="3093" width="13.28515625" style="33" customWidth="1"/>
    <col min="3094" max="3094" width="24.7109375" style="33" customWidth="1"/>
    <col min="3095" max="3095" width="14.42578125" style="33" customWidth="1"/>
    <col min="3096" max="3105" width="9.140625" style="33"/>
    <col min="3106" max="3106" width="6.140625" style="33" customWidth="1"/>
    <col min="3107" max="3329" width="9.140625" style="33"/>
    <col min="3330" max="3330" width="89.85546875" style="33" customWidth="1"/>
    <col min="3331" max="3331" width="17.5703125" style="33" customWidth="1"/>
    <col min="3332" max="3332" width="10.28515625" style="33" customWidth="1"/>
    <col min="3333" max="3333" width="12.140625" style="33" customWidth="1"/>
    <col min="3334" max="3334" width="18.85546875" style="33" customWidth="1"/>
    <col min="3335" max="3335" width="6" style="33" customWidth="1"/>
    <col min="3336" max="3336" width="8.42578125" style="33" customWidth="1"/>
    <col min="3337" max="3337" width="51.85546875" style="33" customWidth="1"/>
    <col min="3338" max="3338" width="10.42578125" style="33" customWidth="1"/>
    <col min="3339" max="3339" width="12.140625" style="33" customWidth="1"/>
    <col min="3340" max="3340" width="19.85546875" style="33" customWidth="1"/>
    <col min="3341" max="3341" width="25.85546875" style="33" customWidth="1"/>
    <col min="3342" max="3342" width="4.42578125" style="33" customWidth="1"/>
    <col min="3343" max="3343" width="7.7109375" style="33" customWidth="1"/>
    <col min="3344" max="3344" width="8.28515625" style="33" customWidth="1"/>
    <col min="3345" max="3345" width="9.140625" style="33"/>
    <col min="3346" max="3346" width="52.42578125" style="33" customWidth="1"/>
    <col min="3347" max="3347" width="14.7109375" style="33" customWidth="1"/>
    <col min="3348" max="3348" width="16" style="33" customWidth="1"/>
    <col min="3349" max="3349" width="13.28515625" style="33" customWidth="1"/>
    <col min="3350" max="3350" width="24.7109375" style="33" customWidth="1"/>
    <col min="3351" max="3351" width="14.42578125" style="33" customWidth="1"/>
    <col min="3352" max="3361" width="9.140625" style="33"/>
    <col min="3362" max="3362" width="6.140625" style="33" customWidth="1"/>
    <col min="3363" max="3585" width="9.140625" style="33"/>
    <col min="3586" max="3586" width="89.85546875" style="33" customWidth="1"/>
    <col min="3587" max="3587" width="17.5703125" style="33" customWidth="1"/>
    <col min="3588" max="3588" width="10.28515625" style="33" customWidth="1"/>
    <col min="3589" max="3589" width="12.140625" style="33" customWidth="1"/>
    <col min="3590" max="3590" width="18.85546875" style="33" customWidth="1"/>
    <col min="3591" max="3591" width="6" style="33" customWidth="1"/>
    <col min="3592" max="3592" width="8.42578125" style="33" customWidth="1"/>
    <col min="3593" max="3593" width="51.85546875" style="33" customWidth="1"/>
    <col min="3594" max="3594" width="10.42578125" style="33" customWidth="1"/>
    <col min="3595" max="3595" width="12.140625" style="33" customWidth="1"/>
    <col min="3596" max="3596" width="19.85546875" style="33" customWidth="1"/>
    <col min="3597" max="3597" width="25.85546875" style="33" customWidth="1"/>
    <col min="3598" max="3598" width="4.42578125" style="33" customWidth="1"/>
    <col min="3599" max="3599" width="7.7109375" style="33" customWidth="1"/>
    <col min="3600" max="3600" width="8.28515625" style="33" customWidth="1"/>
    <col min="3601" max="3601" width="9.140625" style="33"/>
    <col min="3602" max="3602" width="52.42578125" style="33" customWidth="1"/>
    <col min="3603" max="3603" width="14.7109375" style="33" customWidth="1"/>
    <col min="3604" max="3604" width="16" style="33" customWidth="1"/>
    <col min="3605" max="3605" width="13.28515625" style="33" customWidth="1"/>
    <col min="3606" max="3606" width="24.7109375" style="33" customWidth="1"/>
    <col min="3607" max="3607" width="14.42578125" style="33" customWidth="1"/>
    <col min="3608" max="3617" width="9.140625" style="33"/>
    <col min="3618" max="3618" width="6.140625" style="33" customWidth="1"/>
    <col min="3619" max="3841" width="9.140625" style="33"/>
    <col min="3842" max="3842" width="89.85546875" style="33" customWidth="1"/>
    <col min="3843" max="3843" width="17.5703125" style="33" customWidth="1"/>
    <col min="3844" max="3844" width="10.28515625" style="33" customWidth="1"/>
    <col min="3845" max="3845" width="12.140625" style="33" customWidth="1"/>
    <col min="3846" max="3846" width="18.85546875" style="33" customWidth="1"/>
    <col min="3847" max="3847" width="6" style="33" customWidth="1"/>
    <col min="3848" max="3848" width="8.42578125" style="33" customWidth="1"/>
    <col min="3849" max="3849" width="51.85546875" style="33" customWidth="1"/>
    <col min="3850" max="3850" width="10.42578125" style="33" customWidth="1"/>
    <col min="3851" max="3851" width="12.140625" style="33" customWidth="1"/>
    <col min="3852" max="3852" width="19.85546875" style="33" customWidth="1"/>
    <col min="3853" max="3853" width="25.85546875" style="33" customWidth="1"/>
    <col min="3854" max="3854" width="4.42578125" style="33" customWidth="1"/>
    <col min="3855" max="3855" width="7.7109375" style="33" customWidth="1"/>
    <col min="3856" max="3856" width="8.28515625" style="33" customWidth="1"/>
    <col min="3857" max="3857" width="9.140625" style="33"/>
    <col min="3858" max="3858" width="52.42578125" style="33" customWidth="1"/>
    <col min="3859" max="3859" width="14.7109375" style="33" customWidth="1"/>
    <col min="3860" max="3860" width="16" style="33" customWidth="1"/>
    <col min="3861" max="3861" width="13.28515625" style="33" customWidth="1"/>
    <col min="3862" max="3862" width="24.7109375" style="33" customWidth="1"/>
    <col min="3863" max="3863" width="14.42578125" style="33" customWidth="1"/>
    <col min="3864" max="3873" width="9.140625" style="33"/>
    <col min="3874" max="3874" width="6.140625" style="33" customWidth="1"/>
    <col min="3875" max="4097" width="9.140625" style="33"/>
    <col min="4098" max="4098" width="89.85546875" style="33" customWidth="1"/>
    <col min="4099" max="4099" width="17.5703125" style="33" customWidth="1"/>
    <col min="4100" max="4100" width="10.28515625" style="33" customWidth="1"/>
    <col min="4101" max="4101" width="12.140625" style="33" customWidth="1"/>
    <col min="4102" max="4102" width="18.85546875" style="33" customWidth="1"/>
    <col min="4103" max="4103" width="6" style="33" customWidth="1"/>
    <col min="4104" max="4104" width="8.42578125" style="33" customWidth="1"/>
    <col min="4105" max="4105" width="51.85546875" style="33" customWidth="1"/>
    <col min="4106" max="4106" width="10.42578125" style="33" customWidth="1"/>
    <col min="4107" max="4107" width="12.140625" style="33" customWidth="1"/>
    <col min="4108" max="4108" width="19.85546875" style="33" customWidth="1"/>
    <col min="4109" max="4109" width="25.85546875" style="33" customWidth="1"/>
    <col min="4110" max="4110" width="4.42578125" style="33" customWidth="1"/>
    <col min="4111" max="4111" width="7.7109375" style="33" customWidth="1"/>
    <col min="4112" max="4112" width="8.28515625" style="33" customWidth="1"/>
    <col min="4113" max="4113" width="9.140625" style="33"/>
    <col min="4114" max="4114" width="52.42578125" style="33" customWidth="1"/>
    <col min="4115" max="4115" width="14.7109375" style="33" customWidth="1"/>
    <col min="4116" max="4116" width="16" style="33" customWidth="1"/>
    <col min="4117" max="4117" width="13.28515625" style="33" customWidth="1"/>
    <col min="4118" max="4118" width="24.7109375" style="33" customWidth="1"/>
    <col min="4119" max="4119" width="14.42578125" style="33" customWidth="1"/>
    <col min="4120" max="4129" width="9.140625" style="33"/>
    <col min="4130" max="4130" width="6.140625" style="33" customWidth="1"/>
    <col min="4131" max="4353" width="9.140625" style="33"/>
    <col min="4354" max="4354" width="89.85546875" style="33" customWidth="1"/>
    <col min="4355" max="4355" width="17.5703125" style="33" customWidth="1"/>
    <col min="4356" max="4356" width="10.28515625" style="33" customWidth="1"/>
    <col min="4357" max="4357" width="12.140625" style="33" customWidth="1"/>
    <col min="4358" max="4358" width="18.85546875" style="33" customWidth="1"/>
    <col min="4359" max="4359" width="6" style="33" customWidth="1"/>
    <col min="4360" max="4360" width="8.42578125" style="33" customWidth="1"/>
    <col min="4361" max="4361" width="51.85546875" style="33" customWidth="1"/>
    <col min="4362" max="4362" width="10.42578125" style="33" customWidth="1"/>
    <col min="4363" max="4363" width="12.140625" style="33" customWidth="1"/>
    <col min="4364" max="4364" width="19.85546875" style="33" customWidth="1"/>
    <col min="4365" max="4365" width="25.85546875" style="33" customWidth="1"/>
    <col min="4366" max="4366" width="4.42578125" style="33" customWidth="1"/>
    <col min="4367" max="4367" width="7.7109375" style="33" customWidth="1"/>
    <col min="4368" max="4368" width="8.28515625" style="33" customWidth="1"/>
    <col min="4369" max="4369" width="9.140625" style="33"/>
    <col min="4370" max="4370" width="52.42578125" style="33" customWidth="1"/>
    <col min="4371" max="4371" width="14.7109375" style="33" customWidth="1"/>
    <col min="4372" max="4372" width="16" style="33" customWidth="1"/>
    <col min="4373" max="4373" width="13.28515625" style="33" customWidth="1"/>
    <col min="4374" max="4374" width="24.7109375" style="33" customWidth="1"/>
    <col min="4375" max="4375" width="14.42578125" style="33" customWidth="1"/>
    <col min="4376" max="4385" width="9.140625" style="33"/>
    <col min="4386" max="4386" width="6.140625" style="33" customWidth="1"/>
    <col min="4387" max="4609" width="9.140625" style="33"/>
    <col min="4610" max="4610" width="89.85546875" style="33" customWidth="1"/>
    <col min="4611" max="4611" width="17.5703125" style="33" customWidth="1"/>
    <col min="4612" max="4612" width="10.28515625" style="33" customWidth="1"/>
    <col min="4613" max="4613" width="12.140625" style="33" customWidth="1"/>
    <col min="4614" max="4614" width="18.85546875" style="33" customWidth="1"/>
    <col min="4615" max="4615" width="6" style="33" customWidth="1"/>
    <col min="4616" max="4616" width="8.42578125" style="33" customWidth="1"/>
    <col min="4617" max="4617" width="51.85546875" style="33" customWidth="1"/>
    <col min="4618" max="4618" width="10.42578125" style="33" customWidth="1"/>
    <col min="4619" max="4619" width="12.140625" style="33" customWidth="1"/>
    <col min="4620" max="4620" width="19.85546875" style="33" customWidth="1"/>
    <col min="4621" max="4621" width="25.85546875" style="33" customWidth="1"/>
    <col min="4622" max="4622" width="4.42578125" style="33" customWidth="1"/>
    <col min="4623" max="4623" width="7.7109375" style="33" customWidth="1"/>
    <col min="4624" max="4624" width="8.28515625" style="33" customWidth="1"/>
    <col min="4625" max="4625" width="9.140625" style="33"/>
    <col min="4626" max="4626" width="52.42578125" style="33" customWidth="1"/>
    <col min="4627" max="4627" width="14.7109375" style="33" customWidth="1"/>
    <col min="4628" max="4628" width="16" style="33" customWidth="1"/>
    <col min="4629" max="4629" width="13.28515625" style="33" customWidth="1"/>
    <col min="4630" max="4630" width="24.7109375" style="33" customWidth="1"/>
    <col min="4631" max="4631" width="14.42578125" style="33" customWidth="1"/>
    <col min="4632" max="4641" width="9.140625" style="33"/>
    <col min="4642" max="4642" width="6.140625" style="33" customWidth="1"/>
    <col min="4643" max="4865" width="9.140625" style="33"/>
    <col min="4866" max="4866" width="89.85546875" style="33" customWidth="1"/>
    <col min="4867" max="4867" width="17.5703125" style="33" customWidth="1"/>
    <col min="4868" max="4868" width="10.28515625" style="33" customWidth="1"/>
    <col min="4869" max="4869" width="12.140625" style="33" customWidth="1"/>
    <col min="4870" max="4870" width="18.85546875" style="33" customWidth="1"/>
    <col min="4871" max="4871" width="6" style="33" customWidth="1"/>
    <col min="4872" max="4872" width="8.42578125" style="33" customWidth="1"/>
    <col min="4873" max="4873" width="51.85546875" style="33" customWidth="1"/>
    <col min="4874" max="4874" width="10.42578125" style="33" customWidth="1"/>
    <col min="4875" max="4875" width="12.140625" style="33" customWidth="1"/>
    <col min="4876" max="4876" width="19.85546875" style="33" customWidth="1"/>
    <col min="4877" max="4877" width="25.85546875" style="33" customWidth="1"/>
    <col min="4878" max="4878" width="4.42578125" style="33" customWidth="1"/>
    <col min="4879" max="4879" width="7.7109375" style="33" customWidth="1"/>
    <col min="4880" max="4880" width="8.28515625" style="33" customWidth="1"/>
    <col min="4881" max="4881" width="9.140625" style="33"/>
    <col min="4882" max="4882" width="52.42578125" style="33" customWidth="1"/>
    <col min="4883" max="4883" width="14.7109375" style="33" customWidth="1"/>
    <col min="4884" max="4884" width="16" style="33" customWidth="1"/>
    <col min="4885" max="4885" width="13.28515625" style="33" customWidth="1"/>
    <col min="4886" max="4886" width="24.7109375" style="33" customWidth="1"/>
    <col min="4887" max="4887" width="14.42578125" style="33" customWidth="1"/>
    <col min="4888" max="4897" width="9.140625" style="33"/>
    <col min="4898" max="4898" width="6.140625" style="33" customWidth="1"/>
    <col min="4899" max="5121" width="9.140625" style="33"/>
    <col min="5122" max="5122" width="89.85546875" style="33" customWidth="1"/>
    <col min="5123" max="5123" width="17.5703125" style="33" customWidth="1"/>
    <col min="5124" max="5124" width="10.28515625" style="33" customWidth="1"/>
    <col min="5125" max="5125" width="12.140625" style="33" customWidth="1"/>
    <col min="5126" max="5126" width="18.85546875" style="33" customWidth="1"/>
    <col min="5127" max="5127" width="6" style="33" customWidth="1"/>
    <col min="5128" max="5128" width="8.42578125" style="33" customWidth="1"/>
    <col min="5129" max="5129" width="51.85546875" style="33" customWidth="1"/>
    <col min="5130" max="5130" width="10.42578125" style="33" customWidth="1"/>
    <col min="5131" max="5131" width="12.140625" style="33" customWidth="1"/>
    <col min="5132" max="5132" width="19.85546875" style="33" customWidth="1"/>
    <col min="5133" max="5133" width="25.85546875" style="33" customWidth="1"/>
    <col min="5134" max="5134" width="4.42578125" style="33" customWidth="1"/>
    <col min="5135" max="5135" width="7.7109375" style="33" customWidth="1"/>
    <col min="5136" max="5136" width="8.28515625" style="33" customWidth="1"/>
    <col min="5137" max="5137" width="9.140625" style="33"/>
    <col min="5138" max="5138" width="52.42578125" style="33" customWidth="1"/>
    <col min="5139" max="5139" width="14.7109375" style="33" customWidth="1"/>
    <col min="5140" max="5140" width="16" style="33" customWidth="1"/>
    <col min="5141" max="5141" width="13.28515625" style="33" customWidth="1"/>
    <col min="5142" max="5142" width="24.7109375" style="33" customWidth="1"/>
    <col min="5143" max="5143" width="14.42578125" style="33" customWidth="1"/>
    <col min="5144" max="5153" width="9.140625" style="33"/>
    <col min="5154" max="5154" width="6.140625" style="33" customWidth="1"/>
    <col min="5155" max="5377" width="9.140625" style="33"/>
    <col min="5378" max="5378" width="89.85546875" style="33" customWidth="1"/>
    <col min="5379" max="5379" width="17.5703125" style="33" customWidth="1"/>
    <col min="5380" max="5380" width="10.28515625" style="33" customWidth="1"/>
    <col min="5381" max="5381" width="12.140625" style="33" customWidth="1"/>
    <col min="5382" max="5382" width="18.85546875" style="33" customWidth="1"/>
    <col min="5383" max="5383" width="6" style="33" customWidth="1"/>
    <col min="5384" max="5384" width="8.42578125" style="33" customWidth="1"/>
    <col min="5385" max="5385" width="51.85546875" style="33" customWidth="1"/>
    <col min="5386" max="5386" width="10.42578125" style="33" customWidth="1"/>
    <col min="5387" max="5387" width="12.140625" style="33" customWidth="1"/>
    <col min="5388" max="5388" width="19.85546875" style="33" customWidth="1"/>
    <col min="5389" max="5389" width="25.85546875" style="33" customWidth="1"/>
    <col min="5390" max="5390" width="4.42578125" style="33" customWidth="1"/>
    <col min="5391" max="5391" width="7.7109375" style="33" customWidth="1"/>
    <col min="5392" max="5392" width="8.28515625" style="33" customWidth="1"/>
    <col min="5393" max="5393" width="9.140625" style="33"/>
    <col min="5394" max="5394" width="52.42578125" style="33" customWidth="1"/>
    <col min="5395" max="5395" width="14.7109375" style="33" customWidth="1"/>
    <col min="5396" max="5396" width="16" style="33" customWidth="1"/>
    <col min="5397" max="5397" width="13.28515625" style="33" customWidth="1"/>
    <col min="5398" max="5398" width="24.7109375" style="33" customWidth="1"/>
    <col min="5399" max="5399" width="14.42578125" style="33" customWidth="1"/>
    <col min="5400" max="5409" width="9.140625" style="33"/>
    <col min="5410" max="5410" width="6.140625" style="33" customWidth="1"/>
    <col min="5411" max="5633" width="9.140625" style="33"/>
    <col min="5634" max="5634" width="89.85546875" style="33" customWidth="1"/>
    <col min="5635" max="5635" width="17.5703125" style="33" customWidth="1"/>
    <col min="5636" max="5636" width="10.28515625" style="33" customWidth="1"/>
    <col min="5637" max="5637" width="12.140625" style="33" customWidth="1"/>
    <col min="5638" max="5638" width="18.85546875" style="33" customWidth="1"/>
    <col min="5639" max="5639" width="6" style="33" customWidth="1"/>
    <col min="5640" max="5640" width="8.42578125" style="33" customWidth="1"/>
    <col min="5641" max="5641" width="51.85546875" style="33" customWidth="1"/>
    <col min="5642" max="5642" width="10.42578125" style="33" customWidth="1"/>
    <col min="5643" max="5643" width="12.140625" style="33" customWidth="1"/>
    <col min="5644" max="5644" width="19.85546875" style="33" customWidth="1"/>
    <col min="5645" max="5645" width="25.85546875" style="33" customWidth="1"/>
    <col min="5646" max="5646" width="4.42578125" style="33" customWidth="1"/>
    <col min="5647" max="5647" width="7.7109375" style="33" customWidth="1"/>
    <col min="5648" max="5648" width="8.28515625" style="33" customWidth="1"/>
    <col min="5649" max="5649" width="9.140625" style="33"/>
    <col min="5650" max="5650" width="52.42578125" style="33" customWidth="1"/>
    <col min="5651" max="5651" width="14.7109375" style="33" customWidth="1"/>
    <col min="5652" max="5652" width="16" style="33" customWidth="1"/>
    <col min="5653" max="5653" width="13.28515625" style="33" customWidth="1"/>
    <col min="5654" max="5654" width="24.7109375" style="33" customWidth="1"/>
    <col min="5655" max="5655" width="14.42578125" style="33" customWidth="1"/>
    <col min="5656" max="5665" width="9.140625" style="33"/>
    <col min="5666" max="5666" width="6.140625" style="33" customWidth="1"/>
    <col min="5667" max="5889" width="9.140625" style="33"/>
    <col min="5890" max="5890" width="89.85546875" style="33" customWidth="1"/>
    <col min="5891" max="5891" width="17.5703125" style="33" customWidth="1"/>
    <col min="5892" max="5892" width="10.28515625" style="33" customWidth="1"/>
    <col min="5893" max="5893" width="12.140625" style="33" customWidth="1"/>
    <col min="5894" max="5894" width="18.85546875" style="33" customWidth="1"/>
    <col min="5895" max="5895" width="6" style="33" customWidth="1"/>
    <col min="5896" max="5896" width="8.42578125" style="33" customWidth="1"/>
    <col min="5897" max="5897" width="51.85546875" style="33" customWidth="1"/>
    <col min="5898" max="5898" width="10.42578125" style="33" customWidth="1"/>
    <col min="5899" max="5899" width="12.140625" style="33" customWidth="1"/>
    <col min="5900" max="5900" width="19.85546875" style="33" customWidth="1"/>
    <col min="5901" max="5901" width="25.85546875" style="33" customWidth="1"/>
    <col min="5902" max="5902" width="4.42578125" style="33" customWidth="1"/>
    <col min="5903" max="5903" width="7.7109375" style="33" customWidth="1"/>
    <col min="5904" max="5904" width="8.28515625" style="33" customWidth="1"/>
    <col min="5905" max="5905" width="9.140625" style="33"/>
    <col min="5906" max="5906" width="52.42578125" style="33" customWidth="1"/>
    <col min="5907" max="5907" width="14.7109375" style="33" customWidth="1"/>
    <col min="5908" max="5908" width="16" style="33" customWidth="1"/>
    <col min="5909" max="5909" width="13.28515625" style="33" customWidth="1"/>
    <col min="5910" max="5910" width="24.7109375" style="33" customWidth="1"/>
    <col min="5911" max="5911" width="14.42578125" style="33" customWidth="1"/>
    <col min="5912" max="5921" width="9.140625" style="33"/>
    <col min="5922" max="5922" width="6.140625" style="33" customWidth="1"/>
    <col min="5923" max="6145" width="9.140625" style="33"/>
    <col min="6146" max="6146" width="89.85546875" style="33" customWidth="1"/>
    <col min="6147" max="6147" width="17.5703125" style="33" customWidth="1"/>
    <col min="6148" max="6148" width="10.28515625" style="33" customWidth="1"/>
    <col min="6149" max="6149" width="12.140625" style="33" customWidth="1"/>
    <col min="6150" max="6150" width="18.85546875" style="33" customWidth="1"/>
    <col min="6151" max="6151" width="6" style="33" customWidth="1"/>
    <col min="6152" max="6152" width="8.42578125" style="33" customWidth="1"/>
    <col min="6153" max="6153" width="51.85546875" style="33" customWidth="1"/>
    <col min="6154" max="6154" width="10.42578125" style="33" customWidth="1"/>
    <col min="6155" max="6155" width="12.140625" style="33" customWidth="1"/>
    <col min="6156" max="6156" width="19.85546875" style="33" customWidth="1"/>
    <col min="6157" max="6157" width="25.85546875" style="33" customWidth="1"/>
    <col min="6158" max="6158" width="4.42578125" style="33" customWidth="1"/>
    <col min="6159" max="6159" width="7.7109375" style="33" customWidth="1"/>
    <col min="6160" max="6160" width="8.28515625" style="33" customWidth="1"/>
    <col min="6161" max="6161" width="9.140625" style="33"/>
    <col min="6162" max="6162" width="52.42578125" style="33" customWidth="1"/>
    <col min="6163" max="6163" width="14.7109375" style="33" customWidth="1"/>
    <col min="6164" max="6164" width="16" style="33" customWidth="1"/>
    <col min="6165" max="6165" width="13.28515625" style="33" customWidth="1"/>
    <col min="6166" max="6166" width="24.7109375" style="33" customWidth="1"/>
    <col min="6167" max="6167" width="14.42578125" style="33" customWidth="1"/>
    <col min="6168" max="6177" width="9.140625" style="33"/>
    <col min="6178" max="6178" width="6.140625" style="33" customWidth="1"/>
    <col min="6179" max="6401" width="9.140625" style="33"/>
    <col min="6402" max="6402" width="89.85546875" style="33" customWidth="1"/>
    <col min="6403" max="6403" width="17.5703125" style="33" customWidth="1"/>
    <col min="6404" max="6404" width="10.28515625" style="33" customWidth="1"/>
    <col min="6405" max="6405" width="12.140625" style="33" customWidth="1"/>
    <col min="6406" max="6406" width="18.85546875" style="33" customWidth="1"/>
    <col min="6407" max="6407" width="6" style="33" customWidth="1"/>
    <col min="6408" max="6408" width="8.42578125" style="33" customWidth="1"/>
    <col min="6409" max="6409" width="51.85546875" style="33" customWidth="1"/>
    <col min="6410" max="6410" width="10.42578125" style="33" customWidth="1"/>
    <col min="6411" max="6411" width="12.140625" style="33" customWidth="1"/>
    <col min="6412" max="6412" width="19.85546875" style="33" customWidth="1"/>
    <col min="6413" max="6413" width="25.85546875" style="33" customWidth="1"/>
    <col min="6414" max="6414" width="4.42578125" style="33" customWidth="1"/>
    <col min="6415" max="6415" width="7.7109375" style="33" customWidth="1"/>
    <col min="6416" max="6416" width="8.28515625" style="33" customWidth="1"/>
    <col min="6417" max="6417" width="9.140625" style="33"/>
    <col min="6418" max="6418" width="52.42578125" style="33" customWidth="1"/>
    <col min="6419" max="6419" width="14.7109375" style="33" customWidth="1"/>
    <col min="6420" max="6420" width="16" style="33" customWidth="1"/>
    <col min="6421" max="6421" width="13.28515625" style="33" customWidth="1"/>
    <col min="6422" max="6422" width="24.7109375" style="33" customWidth="1"/>
    <col min="6423" max="6423" width="14.42578125" style="33" customWidth="1"/>
    <col min="6424" max="6433" width="9.140625" style="33"/>
    <col min="6434" max="6434" width="6.140625" style="33" customWidth="1"/>
    <col min="6435" max="6657" width="9.140625" style="33"/>
    <col min="6658" max="6658" width="89.85546875" style="33" customWidth="1"/>
    <col min="6659" max="6659" width="17.5703125" style="33" customWidth="1"/>
    <col min="6660" max="6660" width="10.28515625" style="33" customWidth="1"/>
    <col min="6661" max="6661" width="12.140625" style="33" customWidth="1"/>
    <col min="6662" max="6662" width="18.85546875" style="33" customWidth="1"/>
    <col min="6663" max="6663" width="6" style="33" customWidth="1"/>
    <col min="6664" max="6664" width="8.42578125" style="33" customWidth="1"/>
    <col min="6665" max="6665" width="51.85546875" style="33" customWidth="1"/>
    <col min="6666" max="6666" width="10.42578125" style="33" customWidth="1"/>
    <col min="6667" max="6667" width="12.140625" style="33" customWidth="1"/>
    <col min="6668" max="6668" width="19.85546875" style="33" customWidth="1"/>
    <col min="6669" max="6669" width="25.85546875" style="33" customWidth="1"/>
    <col min="6670" max="6670" width="4.42578125" style="33" customWidth="1"/>
    <col min="6671" max="6671" width="7.7109375" style="33" customWidth="1"/>
    <col min="6672" max="6672" width="8.28515625" style="33" customWidth="1"/>
    <col min="6673" max="6673" width="9.140625" style="33"/>
    <col min="6674" max="6674" width="52.42578125" style="33" customWidth="1"/>
    <col min="6675" max="6675" width="14.7109375" style="33" customWidth="1"/>
    <col min="6676" max="6676" width="16" style="33" customWidth="1"/>
    <col min="6677" max="6677" width="13.28515625" style="33" customWidth="1"/>
    <col min="6678" max="6678" width="24.7109375" style="33" customWidth="1"/>
    <col min="6679" max="6679" width="14.42578125" style="33" customWidth="1"/>
    <col min="6680" max="6689" width="9.140625" style="33"/>
    <col min="6690" max="6690" width="6.140625" style="33" customWidth="1"/>
    <col min="6691" max="6913" width="9.140625" style="33"/>
    <col min="6914" max="6914" width="89.85546875" style="33" customWidth="1"/>
    <col min="6915" max="6915" width="17.5703125" style="33" customWidth="1"/>
    <col min="6916" max="6916" width="10.28515625" style="33" customWidth="1"/>
    <col min="6917" max="6917" width="12.140625" style="33" customWidth="1"/>
    <col min="6918" max="6918" width="18.85546875" style="33" customWidth="1"/>
    <col min="6919" max="6919" width="6" style="33" customWidth="1"/>
    <col min="6920" max="6920" width="8.42578125" style="33" customWidth="1"/>
    <col min="6921" max="6921" width="51.85546875" style="33" customWidth="1"/>
    <col min="6922" max="6922" width="10.42578125" style="33" customWidth="1"/>
    <col min="6923" max="6923" width="12.140625" style="33" customWidth="1"/>
    <col min="6924" max="6924" width="19.85546875" style="33" customWidth="1"/>
    <col min="6925" max="6925" width="25.85546875" style="33" customWidth="1"/>
    <col min="6926" max="6926" width="4.42578125" style="33" customWidth="1"/>
    <col min="6927" max="6927" width="7.7109375" style="33" customWidth="1"/>
    <col min="6928" max="6928" width="8.28515625" style="33" customWidth="1"/>
    <col min="6929" max="6929" width="9.140625" style="33"/>
    <col min="6930" max="6930" width="52.42578125" style="33" customWidth="1"/>
    <col min="6931" max="6931" width="14.7109375" style="33" customWidth="1"/>
    <col min="6932" max="6932" width="16" style="33" customWidth="1"/>
    <col min="6933" max="6933" width="13.28515625" style="33" customWidth="1"/>
    <col min="6934" max="6934" width="24.7109375" style="33" customWidth="1"/>
    <col min="6935" max="6935" width="14.42578125" style="33" customWidth="1"/>
    <col min="6936" max="6945" width="9.140625" style="33"/>
    <col min="6946" max="6946" width="6.140625" style="33" customWidth="1"/>
    <col min="6947" max="7169" width="9.140625" style="33"/>
    <col min="7170" max="7170" width="89.85546875" style="33" customWidth="1"/>
    <col min="7171" max="7171" width="17.5703125" style="33" customWidth="1"/>
    <col min="7172" max="7172" width="10.28515625" style="33" customWidth="1"/>
    <col min="7173" max="7173" width="12.140625" style="33" customWidth="1"/>
    <col min="7174" max="7174" width="18.85546875" style="33" customWidth="1"/>
    <col min="7175" max="7175" width="6" style="33" customWidth="1"/>
    <col min="7176" max="7176" width="8.42578125" style="33" customWidth="1"/>
    <col min="7177" max="7177" width="51.85546875" style="33" customWidth="1"/>
    <col min="7178" max="7178" width="10.42578125" style="33" customWidth="1"/>
    <col min="7179" max="7179" width="12.140625" style="33" customWidth="1"/>
    <col min="7180" max="7180" width="19.85546875" style="33" customWidth="1"/>
    <col min="7181" max="7181" width="25.85546875" style="33" customWidth="1"/>
    <col min="7182" max="7182" width="4.42578125" style="33" customWidth="1"/>
    <col min="7183" max="7183" width="7.7109375" style="33" customWidth="1"/>
    <col min="7184" max="7184" width="8.28515625" style="33" customWidth="1"/>
    <col min="7185" max="7185" width="9.140625" style="33"/>
    <col min="7186" max="7186" width="52.42578125" style="33" customWidth="1"/>
    <col min="7187" max="7187" width="14.7109375" style="33" customWidth="1"/>
    <col min="7188" max="7188" width="16" style="33" customWidth="1"/>
    <col min="7189" max="7189" width="13.28515625" style="33" customWidth="1"/>
    <col min="7190" max="7190" width="24.7109375" style="33" customWidth="1"/>
    <col min="7191" max="7191" width="14.42578125" style="33" customWidth="1"/>
    <col min="7192" max="7201" width="9.140625" style="33"/>
    <col min="7202" max="7202" width="6.140625" style="33" customWidth="1"/>
    <col min="7203" max="7425" width="9.140625" style="33"/>
    <col min="7426" max="7426" width="89.85546875" style="33" customWidth="1"/>
    <col min="7427" max="7427" width="17.5703125" style="33" customWidth="1"/>
    <col min="7428" max="7428" width="10.28515625" style="33" customWidth="1"/>
    <col min="7429" max="7429" width="12.140625" style="33" customWidth="1"/>
    <col min="7430" max="7430" width="18.85546875" style="33" customWidth="1"/>
    <col min="7431" max="7431" width="6" style="33" customWidth="1"/>
    <col min="7432" max="7432" width="8.42578125" style="33" customWidth="1"/>
    <col min="7433" max="7433" width="51.85546875" style="33" customWidth="1"/>
    <col min="7434" max="7434" width="10.42578125" style="33" customWidth="1"/>
    <col min="7435" max="7435" width="12.140625" style="33" customWidth="1"/>
    <col min="7436" max="7436" width="19.85546875" style="33" customWidth="1"/>
    <col min="7437" max="7437" width="25.85546875" style="33" customWidth="1"/>
    <col min="7438" max="7438" width="4.42578125" style="33" customWidth="1"/>
    <col min="7439" max="7439" width="7.7109375" style="33" customWidth="1"/>
    <col min="7440" max="7440" width="8.28515625" style="33" customWidth="1"/>
    <col min="7441" max="7441" width="9.140625" style="33"/>
    <col min="7442" max="7442" width="52.42578125" style="33" customWidth="1"/>
    <col min="7443" max="7443" width="14.7109375" style="33" customWidth="1"/>
    <col min="7444" max="7444" width="16" style="33" customWidth="1"/>
    <col min="7445" max="7445" width="13.28515625" style="33" customWidth="1"/>
    <col min="7446" max="7446" width="24.7109375" style="33" customWidth="1"/>
    <col min="7447" max="7447" width="14.42578125" style="33" customWidth="1"/>
    <col min="7448" max="7457" width="9.140625" style="33"/>
    <col min="7458" max="7458" width="6.140625" style="33" customWidth="1"/>
    <col min="7459" max="7681" width="9.140625" style="33"/>
    <col min="7682" max="7682" width="89.85546875" style="33" customWidth="1"/>
    <col min="7683" max="7683" width="17.5703125" style="33" customWidth="1"/>
    <col min="7684" max="7684" width="10.28515625" style="33" customWidth="1"/>
    <col min="7685" max="7685" width="12.140625" style="33" customWidth="1"/>
    <col min="7686" max="7686" width="18.85546875" style="33" customWidth="1"/>
    <col min="7687" max="7687" width="6" style="33" customWidth="1"/>
    <col min="7688" max="7688" width="8.42578125" style="33" customWidth="1"/>
    <col min="7689" max="7689" width="51.85546875" style="33" customWidth="1"/>
    <col min="7690" max="7690" width="10.42578125" style="33" customWidth="1"/>
    <col min="7691" max="7691" width="12.140625" style="33" customWidth="1"/>
    <col min="7692" max="7692" width="19.85546875" style="33" customWidth="1"/>
    <col min="7693" max="7693" width="25.85546875" style="33" customWidth="1"/>
    <col min="7694" max="7694" width="4.42578125" style="33" customWidth="1"/>
    <col min="7695" max="7695" width="7.7109375" style="33" customWidth="1"/>
    <col min="7696" max="7696" width="8.28515625" style="33" customWidth="1"/>
    <col min="7697" max="7697" width="9.140625" style="33"/>
    <col min="7698" max="7698" width="52.42578125" style="33" customWidth="1"/>
    <col min="7699" max="7699" width="14.7109375" style="33" customWidth="1"/>
    <col min="7700" max="7700" width="16" style="33" customWidth="1"/>
    <col min="7701" max="7701" width="13.28515625" style="33" customWidth="1"/>
    <col min="7702" max="7702" width="24.7109375" style="33" customWidth="1"/>
    <col min="7703" max="7703" width="14.42578125" style="33" customWidth="1"/>
    <col min="7704" max="7713" width="9.140625" style="33"/>
    <col min="7714" max="7714" width="6.140625" style="33" customWidth="1"/>
    <col min="7715" max="7937" width="9.140625" style="33"/>
    <col min="7938" max="7938" width="89.85546875" style="33" customWidth="1"/>
    <col min="7939" max="7939" width="17.5703125" style="33" customWidth="1"/>
    <col min="7940" max="7940" width="10.28515625" style="33" customWidth="1"/>
    <col min="7941" max="7941" width="12.140625" style="33" customWidth="1"/>
    <col min="7942" max="7942" width="18.85546875" style="33" customWidth="1"/>
    <col min="7943" max="7943" width="6" style="33" customWidth="1"/>
    <col min="7944" max="7944" width="8.42578125" style="33" customWidth="1"/>
    <col min="7945" max="7945" width="51.85546875" style="33" customWidth="1"/>
    <col min="7946" max="7946" width="10.42578125" style="33" customWidth="1"/>
    <col min="7947" max="7947" width="12.140625" style="33" customWidth="1"/>
    <col min="7948" max="7948" width="19.85546875" style="33" customWidth="1"/>
    <col min="7949" max="7949" width="25.85546875" style="33" customWidth="1"/>
    <col min="7950" max="7950" width="4.42578125" style="33" customWidth="1"/>
    <col min="7951" max="7951" width="7.7109375" style="33" customWidth="1"/>
    <col min="7952" max="7952" width="8.28515625" style="33" customWidth="1"/>
    <col min="7953" max="7953" width="9.140625" style="33"/>
    <col min="7954" max="7954" width="52.42578125" style="33" customWidth="1"/>
    <col min="7955" max="7955" width="14.7109375" style="33" customWidth="1"/>
    <col min="7956" max="7956" width="16" style="33" customWidth="1"/>
    <col min="7957" max="7957" width="13.28515625" style="33" customWidth="1"/>
    <col min="7958" max="7958" width="24.7109375" style="33" customWidth="1"/>
    <col min="7959" max="7959" width="14.42578125" style="33" customWidth="1"/>
    <col min="7960" max="7969" width="9.140625" style="33"/>
    <col min="7970" max="7970" width="6.140625" style="33" customWidth="1"/>
    <col min="7971" max="8193" width="9.140625" style="33"/>
    <col min="8194" max="8194" width="89.85546875" style="33" customWidth="1"/>
    <col min="8195" max="8195" width="17.5703125" style="33" customWidth="1"/>
    <col min="8196" max="8196" width="10.28515625" style="33" customWidth="1"/>
    <col min="8197" max="8197" width="12.140625" style="33" customWidth="1"/>
    <col min="8198" max="8198" width="18.85546875" style="33" customWidth="1"/>
    <col min="8199" max="8199" width="6" style="33" customWidth="1"/>
    <col min="8200" max="8200" width="8.42578125" style="33" customWidth="1"/>
    <col min="8201" max="8201" width="51.85546875" style="33" customWidth="1"/>
    <col min="8202" max="8202" width="10.42578125" style="33" customWidth="1"/>
    <col min="8203" max="8203" width="12.140625" style="33" customWidth="1"/>
    <col min="8204" max="8204" width="19.85546875" style="33" customWidth="1"/>
    <col min="8205" max="8205" width="25.85546875" style="33" customWidth="1"/>
    <col min="8206" max="8206" width="4.42578125" style="33" customWidth="1"/>
    <col min="8207" max="8207" width="7.7109375" style="33" customWidth="1"/>
    <col min="8208" max="8208" width="8.28515625" style="33" customWidth="1"/>
    <col min="8209" max="8209" width="9.140625" style="33"/>
    <col min="8210" max="8210" width="52.42578125" style="33" customWidth="1"/>
    <col min="8211" max="8211" width="14.7109375" style="33" customWidth="1"/>
    <col min="8212" max="8212" width="16" style="33" customWidth="1"/>
    <col min="8213" max="8213" width="13.28515625" style="33" customWidth="1"/>
    <col min="8214" max="8214" width="24.7109375" style="33" customWidth="1"/>
    <col min="8215" max="8215" width="14.42578125" style="33" customWidth="1"/>
    <col min="8216" max="8225" width="9.140625" style="33"/>
    <col min="8226" max="8226" width="6.140625" style="33" customWidth="1"/>
    <col min="8227" max="8449" width="9.140625" style="33"/>
    <col min="8450" max="8450" width="89.85546875" style="33" customWidth="1"/>
    <col min="8451" max="8451" width="17.5703125" style="33" customWidth="1"/>
    <col min="8452" max="8452" width="10.28515625" style="33" customWidth="1"/>
    <col min="8453" max="8453" width="12.140625" style="33" customWidth="1"/>
    <col min="8454" max="8454" width="18.85546875" style="33" customWidth="1"/>
    <col min="8455" max="8455" width="6" style="33" customWidth="1"/>
    <col min="8456" max="8456" width="8.42578125" style="33" customWidth="1"/>
    <col min="8457" max="8457" width="51.85546875" style="33" customWidth="1"/>
    <col min="8458" max="8458" width="10.42578125" style="33" customWidth="1"/>
    <col min="8459" max="8459" width="12.140625" style="33" customWidth="1"/>
    <col min="8460" max="8460" width="19.85546875" style="33" customWidth="1"/>
    <col min="8461" max="8461" width="25.85546875" style="33" customWidth="1"/>
    <col min="8462" max="8462" width="4.42578125" style="33" customWidth="1"/>
    <col min="8463" max="8463" width="7.7109375" style="33" customWidth="1"/>
    <col min="8464" max="8464" width="8.28515625" style="33" customWidth="1"/>
    <col min="8465" max="8465" width="9.140625" style="33"/>
    <col min="8466" max="8466" width="52.42578125" style="33" customWidth="1"/>
    <col min="8467" max="8467" width="14.7109375" style="33" customWidth="1"/>
    <col min="8468" max="8468" width="16" style="33" customWidth="1"/>
    <col min="8469" max="8469" width="13.28515625" style="33" customWidth="1"/>
    <col min="8470" max="8470" width="24.7109375" style="33" customWidth="1"/>
    <col min="8471" max="8471" width="14.42578125" style="33" customWidth="1"/>
    <col min="8472" max="8481" width="9.140625" style="33"/>
    <col min="8482" max="8482" width="6.140625" style="33" customWidth="1"/>
    <col min="8483" max="8705" width="9.140625" style="33"/>
    <col min="8706" max="8706" width="89.85546875" style="33" customWidth="1"/>
    <col min="8707" max="8707" width="17.5703125" style="33" customWidth="1"/>
    <col min="8708" max="8708" width="10.28515625" style="33" customWidth="1"/>
    <col min="8709" max="8709" width="12.140625" style="33" customWidth="1"/>
    <col min="8710" max="8710" width="18.85546875" style="33" customWidth="1"/>
    <col min="8711" max="8711" width="6" style="33" customWidth="1"/>
    <col min="8712" max="8712" width="8.42578125" style="33" customWidth="1"/>
    <col min="8713" max="8713" width="51.85546875" style="33" customWidth="1"/>
    <col min="8714" max="8714" width="10.42578125" style="33" customWidth="1"/>
    <col min="8715" max="8715" width="12.140625" style="33" customWidth="1"/>
    <col min="8716" max="8716" width="19.85546875" style="33" customWidth="1"/>
    <col min="8717" max="8717" width="25.85546875" style="33" customWidth="1"/>
    <col min="8718" max="8718" width="4.42578125" style="33" customWidth="1"/>
    <col min="8719" max="8719" width="7.7109375" style="33" customWidth="1"/>
    <col min="8720" max="8720" width="8.28515625" style="33" customWidth="1"/>
    <col min="8721" max="8721" width="9.140625" style="33"/>
    <col min="8722" max="8722" width="52.42578125" style="33" customWidth="1"/>
    <col min="8723" max="8723" width="14.7109375" style="33" customWidth="1"/>
    <col min="8724" max="8724" width="16" style="33" customWidth="1"/>
    <col min="8725" max="8725" width="13.28515625" style="33" customWidth="1"/>
    <col min="8726" max="8726" width="24.7109375" style="33" customWidth="1"/>
    <col min="8727" max="8727" width="14.42578125" style="33" customWidth="1"/>
    <col min="8728" max="8737" width="9.140625" style="33"/>
    <col min="8738" max="8738" width="6.140625" style="33" customWidth="1"/>
    <col min="8739" max="8961" width="9.140625" style="33"/>
    <col min="8962" max="8962" width="89.85546875" style="33" customWidth="1"/>
    <col min="8963" max="8963" width="17.5703125" style="33" customWidth="1"/>
    <col min="8964" max="8964" width="10.28515625" style="33" customWidth="1"/>
    <col min="8965" max="8965" width="12.140625" style="33" customWidth="1"/>
    <col min="8966" max="8966" width="18.85546875" style="33" customWidth="1"/>
    <col min="8967" max="8967" width="6" style="33" customWidth="1"/>
    <col min="8968" max="8968" width="8.42578125" style="33" customWidth="1"/>
    <col min="8969" max="8969" width="51.85546875" style="33" customWidth="1"/>
    <col min="8970" max="8970" width="10.42578125" style="33" customWidth="1"/>
    <col min="8971" max="8971" width="12.140625" style="33" customWidth="1"/>
    <col min="8972" max="8972" width="19.85546875" style="33" customWidth="1"/>
    <col min="8973" max="8973" width="25.85546875" style="33" customWidth="1"/>
    <col min="8974" max="8974" width="4.42578125" style="33" customWidth="1"/>
    <col min="8975" max="8975" width="7.7109375" style="33" customWidth="1"/>
    <col min="8976" max="8976" width="8.28515625" style="33" customWidth="1"/>
    <col min="8977" max="8977" width="9.140625" style="33"/>
    <col min="8978" max="8978" width="52.42578125" style="33" customWidth="1"/>
    <col min="8979" max="8979" width="14.7109375" style="33" customWidth="1"/>
    <col min="8980" max="8980" width="16" style="33" customWidth="1"/>
    <col min="8981" max="8981" width="13.28515625" style="33" customWidth="1"/>
    <col min="8982" max="8982" width="24.7109375" style="33" customWidth="1"/>
    <col min="8983" max="8983" width="14.42578125" style="33" customWidth="1"/>
    <col min="8984" max="8993" width="9.140625" style="33"/>
    <col min="8994" max="8994" width="6.140625" style="33" customWidth="1"/>
    <col min="8995" max="9217" width="9.140625" style="33"/>
    <col min="9218" max="9218" width="89.85546875" style="33" customWidth="1"/>
    <col min="9219" max="9219" width="17.5703125" style="33" customWidth="1"/>
    <col min="9220" max="9220" width="10.28515625" style="33" customWidth="1"/>
    <col min="9221" max="9221" width="12.140625" style="33" customWidth="1"/>
    <col min="9222" max="9222" width="18.85546875" style="33" customWidth="1"/>
    <col min="9223" max="9223" width="6" style="33" customWidth="1"/>
    <col min="9224" max="9224" width="8.42578125" style="33" customWidth="1"/>
    <col min="9225" max="9225" width="51.85546875" style="33" customWidth="1"/>
    <col min="9226" max="9226" width="10.42578125" style="33" customWidth="1"/>
    <col min="9227" max="9227" width="12.140625" style="33" customWidth="1"/>
    <col min="9228" max="9228" width="19.85546875" style="33" customWidth="1"/>
    <col min="9229" max="9229" width="25.85546875" style="33" customWidth="1"/>
    <col min="9230" max="9230" width="4.42578125" style="33" customWidth="1"/>
    <col min="9231" max="9231" width="7.7109375" style="33" customWidth="1"/>
    <col min="9232" max="9232" width="8.28515625" style="33" customWidth="1"/>
    <col min="9233" max="9233" width="9.140625" style="33"/>
    <col min="9234" max="9234" width="52.42578125" style="33" customWidth="1"/>
    <col min="9235" max="9235" width="14.7109375" style="33" customWidth="1"/>
    <col min="9236" max="9236" width="16" style="33" customWidth="1"/>
    <col min="9237" max="9237" width="13.28515625" style="33" customWidth="1"/>
    <col min="9238" max="9238" width="24.7109375" style="33" customWidth="1"/>
    <col min="9239" max="9239" width="14.42578125" style="33" customWidth="1"/>
    <col min="9240" max="9249" width="9.140625" style="33"/>
    <col min="9250" max="9250" width="6.140625" style="33" customWidth="1"/>
    <col min="9251" max="9473" width="9.140625" style="33"/>
    <col min="9474" max="9474" width="89.85546875" style="33" customWidth="1"/>
    <col min="9475" max="9475" width="17.5703125" style="33" customWidth="1"/>
    <col min="9476" max="9476" width="10.28515625" style="33" customWidth="1"/>
    <col min="9477" max="9477" width="12.140625" style="33" customWidth="1"/>
    <col min="9478" max="9478" width="18.85546875" style="33" customWidth="1"/>
    <col min="9479" max="9479" width="6" style="33" customWidth="1"/>
    <col min="9480" max="9480" width="8.42578125" style="33" customWidth="1"/>
    <col min="9481" max="9481" width="51.85546875" style="33" customWidth="1"/>
    <col min="9482" max="9482" width="10.42578125" style="33" customWidth="1"/>
    <col min="9483" max="9483" width="12.140625" style="33" customWidth="1"/>
    <col min="9484" max="9484" width="19.85546875" style="33" customWidth="1"/>
    <col min="9485" max="9485" width="25.85546875" style="33" customWidth="1"/>
    <col min="9486" max="9486" width="4.42578125" style="33" customWidth="1"/>
    <col min="9487" max="9487" width="7.7109375" style="33" customWidth="1"/>
    <col min="9488" max="9488" width="8.28515625" style="33" customWidth="1"/>
    <col min="9489" max="9489" width="9.140625" style="33"/>
    <col min="9490" max="9490" width="52.42578125" style="33" customWidth="1"/>
    <col min="9491" max="9491" width="14.7109375" style="33" customWidth="1"/>
    <col min="9492" max="9492" width="16" style="33" customWidth="1"/>
    <col min="9493" max="9493" width="13.28515625" style="33" customWidth="1"/>
    <col min="9494" max="9494" width="24.7109375" style="33" customWidth="1"/>
    <col min="9495" max="9495" width="14.42578125" style="33" customWidth="1"/>
    <col min="9496" max="9505" width="9.140625" style="33"/>
    <col min="9506" max="9506" width="6.140625" style="33" customWidth="1"/>
    <col min="9507" max="9729" width="9.140625" style="33"/>
    <col min="9730" max="9730" width="89.85546875" style="33" customWidth="1"/>
    <col min="9731" max="9731" width="17.5703125" style="33" customWidth="1"/>
    <col min="9732" max="9732" width="10.28515625" style="33" customWidth="1"/>
    <col min="9733" max="9733" width="12.140625" style="33" customWidth="1"/>
    <col min="9734" max="9734" width="18.85546875" style="33" customWidth="1"/>
    <col min="9735" max="9735" width="6" style="33" customWidth="1"/>
    <col min="9736" max="9736" width="8.42578125" style="33" customWidth="1"/>
    <col min="9737" max="9737" width="51.85546875" style="33" customWidth="1"/>
    <col min="9738" max="9738" width="10.42578125" style="33" customWidth="1"/>
    <col min="9739" max="9739" width="12.140625" style="33" customWidth="1"/>
    <col min="9740" max="9740" width="19.85546875" style="33" customWidth="1"/>
    <col min="9741" max="9741" width="25.85546875" style="33" customWidth="1"/>
    <col min="9742" max="9742" width="4.42578125" style="33" customWidth="1"/>
    <col min="9743" max="9743" width="7.7109375" style="33" customWidth="1"/>
    <col min="9744" max="9744" width="8.28515625" style="33" customWidth="1"/>
    <col min="9745" max="9745" width="9.140625" style="33"/>
    <col min="9746" max="9746" width="52.42578125" style="33" customWidth="1"/>
    <col min="9747" max="9747" width="14.7109375" style="33" customWidth="1"/>
    <col min="9748" max="9748" width="16" style="33" customWidth="1"/>
    <col min="9749" max="9749" width="13.28515625" style="33" customWidth="1"/>
    <col min="9750" max="9750" width="24.7109375" style="33" customWidth="1"/>
    <col min="9751" max="9751" width="14.42578125" style="33" customWidth="1"/>
    <col min="9752" max="9761" width="9.140625" style="33"/>
    <col min="9762" max="9762" width="6.140625" style="33" customWidth="1"/>
    <col min="9763" max="9985" width="9.140625" style="33"/>
    <col min="9986" max="9986" width="89.85546875" style="33" customWidth="1"/>
    <col min="9987" max="9987" width="17.5703125" style="33" customWidth="1"/>
    <col min="9988" max="9988" width="10.28515625" style="33" customWidth="1"/>
    <col min="9989" max="9989" width="12.140625" style="33" customWidth="1"/>
    <col min="9990" max="9990" width="18.85546875" style="33" customWidth="1"/>
    <col min="9991" max="9991" width="6" style="33" customWidth="1"/>
    <col min="9992" max="9992" width="8.42578125" style="33" customWidth="1"/>
    <col min="9993" max="9993" width="51.85546875" style="33" customWidth="1"/>
    <col min="9994" max="9994" width="10.42578125" style="33" customWidth="1"/>
    <col min="9995" max="9995" width="12.140625" style="33" customWidth="1"/>
    <col min="9996" max="9996" width="19.85546875" style="33" customWidth="1"/>
    <col min="9997" max="9997" width="25.85546875" style="33" customWidth="1"/>
    <col min="9998" max="9998" width="4.42578125" style="33" customWidth="1"/>
    <col min="9999" max="9999" width="7.7109375" style="33" customWidth="1"/>
    <col min="10000" max="10000" width="8.28515625" style="33" customWidth="1"/>
    <col min="10001" max="10001" width="9.140625" style="33"/>
    <col min="10002" max="10002" width="52.42578125" style="33" customWidth="1"/>
    <col min="10003" max="10003" width="14.7109375" style="33" customWidth="1"/>
    <col min="10004" max="10004" width="16" style="33" customWidth="1"/>
    <col min="10005" max="10005" width="13.28515625" style="33" customWidth="1"/>
    <col min="10006" max="10006" width="24.7109375" style="33" customWidth="1"/>
    <col min="10007" max="10007" width="14.42578125" style="33" customWidth="1"/>
    <col min="10008" max="10017" width="9.140625" style="33"/>
    <col min="10018" max="10018" width="6.140625" style="33" customWidth="1"/>
    <col min="10019" max="10241" width="9.140625" style="33"/>
    <col min="10242" max="10242" width="89.85546875" style="33" customWidth="1"/>
    <col min="10243" max="10243" width="17.5703125" style="33" customWidth="1"/>
    <col min="10244" max="10244" width="10.28515625" style="33" customWidth="1"/>
    <col min="10245" max="10245" width="12.140625" style="33" customWidth="1"/>
    <col min="10246" max="10246" width="18.85546875" style="33" customWidth="1"/>
    <col min="10247" max="10247" width="6" style="33" customWidth="1"/>
    <col min="10248" max="10248" width="8.42578125" style="33" customWidth="1"/>
    <col min="10249" max="10249" width="51.85546875" style="33" customWidth="1"/>
    <col min="10250" max="10250" width="10.42578125" style="33" customWidth="1"/>
    <col min="10251" max="10251" width="12.140625" style="33" customWidth="1"/>
    <col min="10252" max="10252" width="19.85546875" style="33" customWidth="1"/>
    <col min="10253" max="10253" width="25.85546875" style="33" customWidth="1"/>
    <col min="10254" max="10254" width="4.42578125" style="33" customWidth="1"/>
    <col min="10255" max="10255" width="7.7109375" style="33" customWidth="1"/>
    <col min="10256" max="10256" width="8.28515625" style="33" customWidth="1"/>
    <col min="10257" max="10257" width="9.140625" style="33"/>
    <col min="10258" max="10258" width="52.42578125" style="33" customWidth="1"/>
    <col min="10259" max="10259" width="14.7109375" style="33" customWidth="1"/>
    <col min="10260" max="10260" width="16" style="33" customWidth="1"/>
    <col min="10261" max="10261" width="13.28515625" style="33" customWidth="1"/>
    <col min="10262" max="10262" width="24.7109375" style="33" customWidth="1"/>
    <col min="10263" max="10263" width="14.42578125" style="33" customWidth="1"/>
    <col min="10264" max="10273" width="9.140625" style="33"/>
    <col min="10274" max="10274" width="6.140625" style="33" customWidth="1"/>
    <col min="10275" max="10497" width="9.140625" style="33"/>
    <col min="10498" max="10498" width="89.85546875" style="33" customWidth="1"/>
    <col min="10499" max="10499" width="17.5703125" style="33" customWidth="1"/>
    <col min="10500" max="10500" width="10.28515625" style="33" customWidth="1"/>
    <col min="10501" max="10501" width="12.140625" style="33" customWidth="1"/>
    <col min="10502" max="10502" width="18.85546875" style="33" customWidth="1"/>
    <col min="10503" max="10503" width="6" style="33" customWidth="1"/>
    <col min="10504" max="10504" width="8.42578125" style="33" customWidth="1"/>
    <col min="10505" max="10505" width="51.85546875" style="33" customWidth="1"/>
    <col min="10506" max="10506" width="10.42578125" style="33" customWidth="1"/>
    <col min="10507" max="10507" width="12.140625" style="33" customWidth="1"/>
    <col min="10508" max="10508" width="19.85546875" style="33" customWidth="1"/>
    <col min="10509" max="10509" width="25.85546875" style="33" customWidth="1"/>
    <col min="10510" max="10510" width="4.42578125" style="33" customWidth="1"/>
    <col min="10511" max="10511" width="7.7109375" style="33" customWidth="1"/>
    <col min="10512" max="10512" width="8.28515625" style="33" customWidth="1"/>
    <col min="10513" max="10513" width="9.140625" style="33"/>
    <col min="10514" max="10514" width="52.42578125" style="33" customWidth="1"/>
    <col min="10515" max="10515" width="14.7109375" style="33" customWidth="1"/>
    <col min="10516" max="10516" width="16" style="33" customWidth="1"/>
    <col min="10517" max="10517" width="13.28515625" style="33" customWidth="1"/>
    <col min="10518" max="10518" width="24.7109375" style="33" customWidth="1"/>
    <col min="10519" max="10519" width="14.42578125" style="33" customWidth="1"/>
    <col min="10520" max="10529" width="9.140625" style="33"/>
    <col min="10530" max="10530" width="6.140625" style="33" customWidth="1"/>
    <col min="10531" max="10753" width="9.140625" style="33"/>
    <col min="10754" max="10754" width="89.85546875" style="33" customWidth="1"/>
    <col min="10755" max="10755" width="17.5703125" style="33" customWidth="1"/>
    <col min="10756" max="10756" width="10.28515625" style="33" customWidth="1"/>
    <col min="10757" max="10757" width="12.140625" style="33" customWidth="1"/>
    <col min="10758" max="10758" width="18.85546875" style="33" customWidth="1"/>
    <col min="10759" max="10759" width="6" style="33" customWidth="1"/>
    <col min="10760" max="10760" width="8.42578125" style="33" customWidth="1"/>
    <col min="10761" max="10761" width="51.85546875" style="33" customWidth="1"/>
    <col min="10762" max="10762" width="10.42578125" style="33" customWidth="1"/>
    <col min="10763" max="10763" width="12.140625" style="33" customWidth="1"/>
    <col min="10764" max="10764" width="19.85546875" style="33" customWidth="1"/>
    <col min="10765" max="10765" width="25.85546875" style="33" customWidth="1"/>
    <col min="10766" max="10766" width="4.42578125" style="33" customWidth="1"/>
    <col min="10767" max="10767" width="7.7109375" style="33" customWidth="1"/>
    <col min="10768" max="10768" width="8.28515625" style="33" customWidth="1"/>
    <col min="10769" max="10769" width="9.140625" style="33"/>
    <col min="10770" max="10770" width="52.42578125" style="33" customWidth="1"/>
    <col min="10771" max="10771" width="14.7109375" style="33" customWidth="1"/>
    <col min="10772" max="10772" width="16" style="33" customWidth="1"/>
    <col min="10773" max="10773" width="13.28515625" style="33" customWidth="1"/>
    <col min="10774" max="10774" width="24.7109375" style="33" customWidth="1"/>
    <col min="10775" max="10775" width="14.42578125" style="33" customWidth="1"/>
    <col min="10776" max="10785" width="9.140625" style="33"/>
    <col min="10786" max="10786" width="6.140625" style="33" customWidth="1"/>
    <col min="10787" max="11009" width="9.140625" style="33"/>
    <col min="11010" max="11010" width="89.85546875" style="33" customWidth="1"/>
    <col min="11011" max="11011" width="17.5703125" style="33" customWidth="1"/>
    <col min="11012" max="11012" width="10.28515625" style="33" customWidth="1"/>
    <col min="11013" max="11013" width="12.140625" style="33" customWidth="1"/>
    <col min="11014" max="11014" width="18.85546875" style="33" customWidth="1"/>
    <col min="11015" max="11015" width="6" style="33" customWidth="1"/>
    <col min="11016" max="11016" width="8.42578125" style="33" customWidth="1"/>
    <col min="11017" max="11017" width="51.85546875" style="33" customWidth="1"/>
    <col min="11018" max="11018" width="10.42578125" style="33" customWidth="1"/>
    <col min="11019" max="11019" width="12.140625" style="33" customWidth="1"/>
    <col min="11020" max="11020" width="19.85546875" style="33" customWidth="1"/>
    <col min="11021" max="11021" width="25.85546875" style="33" customWidth="1"/>
    <col min="11022" max="11022" width="4.42578125" style="33" customWidth="1"/>
    <col min="11023" max="11023" width="7.7109375" style="33" customWidth="1"/>
    <col min="11024" max="11024" width="8.28515625" style="33" customWidth="1"/>
    <col min="11025" max="11025" width="9.140625" style="33"/>
    <col min="11026" max="11026" width="52.42578125" style="33" customWidth="1"/>
    <col min="11027" max="11027" width="14.7109375" style="33" customWidth="1"/>
    <col min="11028" max="11028" width="16" style="33" customWidth="1"/>
    <col min="11029" max="11029" width="13.28515625" style="33" customWidth="1"/>
    <col min="11030" max="11030" width="24.7109375" style="33" customWidth="1"/>
    <col min="11031" max="11031" width="14.42578125" style="33" customWidth="1"/>
    <col min="11032" max="11041" width="9.140625" style="33"/>
    <col min="11042" max="11042" width="6.140625" style="33" customWidth="1"/>
    <col min="11043" max="11265" width="9.140625" style="33"/>
    <col min="11266" max="11266" width="89.85546875" style="33" customWidth="1"/>
    <col min="11267" max="11267" width="17.5703125" style="33" customWidth="1"/>
    <col min="11268" max="11268" width="10.28515625" style="33" customWidth="1"/>
    <col min="11269" max="11269" width="12.140625" style="33" customWidth="1"/>
    <col min="11270" max="11270" width="18.85546875" style="33" customWidth="1"/>
    <col min="11271" max="11271" width="6" style="33" customWidth="1"/>
    <col min="11272" max="11272" width="8.42578125" style="33" customWidth="1"/>
    <col min="11273" max="11273" width="51.85546875" style="33" customWidth="1"/>
    <col min="11274" max="11274" width="10.42578125" style="33" customWidth="1"/>
    <col min="11275" max="11275" width="12.140625" style="33" customWidth="1"/>
    <col min="11276" max="11276" width="19.85546875" style="33" customWidth="1"/>
    <col min="11277" max="11277" width="25.85546875" style="33" customWidth="1"/>
    <col min="11278" max="11278" width="4.42578125" style="33" customWidth="1"/>
    <col min="11279" max="11279" width="7.7109375" style="33" customWidth="1"/>
    <col min="11280" max="11280" width="8.28515625" style="33" customWidth="1"/>
    <col min="11281" max="11281" width="9.140625" style="33"/>
    <col min="11282" max="11282" width="52.42578125" style="33" customWidth="1"/>
    <col min="11283" max="11283" width="14.7109375" style="33" customWidth="1"/>
    <col min="11284" max="11284" width="16" style="33" customWidth="1"/>
    <col min="11285" max="11285" width="13.28515625" style="33" customWidth="1"/>
    <col min="11286" max="11286" width="24.7109375" style="33" customWidth="1"/>
    <col min="11287" max="11287" width="14.42578125" style="33" customWidth="1"/>
    <col min="11288" max="11297" width="9.140625" style="33"/>
    <col min="11298" max="11298" width="6.140625" style="33" customWidth="1"/>
    <col min="11299" max="11521" width="9.140625" style="33"/>
    <col min="11522" max="11522" width="89.85546875" style="33" customWidth="1"/>
    <col min="11523" max="11523" width="17.5703125" style="33" customWidth="1"/>
    <col min="11524" max="11524" width="10.28515625" style="33" customWidth="1"/>
    <col min="11525" max="11525" width="12.140625" style="33" customWidth="1"/>
    <col min="11526" max="11526" width="18.85546875" style="33" customWidth="1"/>
    <col min="11527" max="11527" width="6" style="33" customWidth="1"/>
    <col min="11528" max="11528" width="8.42578125" style="33" customWidth="1"/>
    <col min="11529" max="11529" width="51.85546875" style="33" customWidth="1"/>
    <col min="11530" max="11530" width="10.42578125" style="33" customWidth="1"/>
    <col min="11531" max="11531" width="12.140625" style="33" customWidth="1"/>
    <col min="11532" max="11532" width="19.85546875" style="33" customWidth="1"/>
    <col min="11533" max="11533" width="25.85546875" style="33" customWidth="1"/>
    <col min="11534" max="11534" width="4.42578125" style="33" customWidth="1"/>
    <col min="11535" max="11535" width="7.7109375" style="33" customWidth="1"/>
    <col min="11536" max="11536" width="8.28515625" style="33" customWidth="1"/>
    <col min="11537" max="11537" width="9.140625" style="33"/>
    <col min="11538" max="11538" width="52.42578125" style="33" customWidth="1"/>
    <col min="11539" max="11539" width="14.7109375" style="33" customWidth="1"/>
    <col min="11540" max="11540" width="16" style="33" customWidth="1"/>
    <col min="11541" max="11541" width="13.28515625" style="33" customWidth="1"/>
    <col min="11542" max="11542" width="24.7109375" style="33" customWidth="1"/>
    <col min="11543" max="11543" width="14.42578125" style="33" customWidth="1"/>
    <col min="11544" max="11553" width="9.140625" style="33"/>
    <col min="11554" max="11554" width="6.140625" style="33" customWidth="1"/>
    <col min="11555" max="11777" width="9.140625" style="33"/>
    <col min="11778" max="11778" width="89.85546875" style="33" customWidth="1"/>
    <col min="11779" max="11779" width="17.5703125" style="33" customWidth="1"/>
    <col min="11780" max="11780" width="10.28515625" style="33" customWidth="1"/>
    <col min="11781" max="11781" width="12.140625" style="33" customWidth="1"/>
    <col min="11782" max="11782" width="18.85546875" style="33" customWidth="1"/>
    <col min="11783" max="11783" width="6" style="33" customWidth="1"/>
    <col min="11784" max="11784" width="8.42578125" style="33" customWidth="1"/>
    <col min="11785" max="11785" width="51.85546875" style="33" customWidth="1"/>
    <col min="11786" max="11786" width="10.42578125" style="33" customWidth="1"/>
    <col min="11787" max="11787" width="12.140625" style="33" customWidth="1"/>
    <col min="11788" max="11788" width="19.85546875" style="33" customWidth="1"/>
    <col min="11789" max="11789" width="25.85546875" style="33" customWidth="1"/>
    <col min="11790" max="11790" width="4.42578125" style="33" customWidth="1"/>
    <col min="11791" max="11791" width="7.7109375" style="33" customWidth="1"/>
    <col min="11792" max="11792" width="8.28515625" style="33" customWidth="1"/>
    <col min="11793" max="11793" width="9.140625" style="33"/>
    <col min="11794" max="11794" width="52.42578125" style="33" customWidth="1"/>
    <col min="11795" max="11795" width="14.7109375" style="33" customWidth="1"/>
    <col min="11796" max="11796" width="16" style="33" customWidth="1"/>
    <col min="11797" max="11797" width="13.28515625" style="33" customWidth="1"/>
    <col min="11798" max="11798" width="24.7109375" style="33" customWidth="1"/>
    <col min="11799" max="11799" width="14.42578125" style="33" customWidth="1"/>
    <col min="11800" max="11809" width="9.140625" style="33"/>
    <col min="11810" max="11810" width="6.140625" style="33" customWidth="1"/>
    <col min="11811" max="12033" width="9.140625" style="33"/>
    <col min="12034" max="12034" width="89.85546875" style="33" customWidth="1"/>
    <col min="12035" max="12035" width="17.5703125" style="33" customWidth="1"/>
    <col min="12036" max="12036" width="10.28515625" style="33" customWidth="1"/>
    <col min="12037" max="12037" width="12.140625" style="33" customWidth="1"/>
    <col min="12038" max="12038" width="18.85546875" style="33" customWidth="1"/>
    <col min="12039" max="12039" width="6" style="33" customWidth="1"/>
    <col min="12040" max="12040" width="8.42578125" style="33" customWidth="1"/>
    <col min="12041" max="12041" width="51.85546875" style="33" customWidth="1"/>
    <col min="12042" max="12042" width="10.42578125" style="33" customWidth="1"/>
    <col min="12043" max="12043" width="12.140625" style="33" customWidth="1"/>
    <col min="12044" max="12044" width="19.85546875" style="33" customWidth="1"/>
    <col min="12045" max="12045" width="25.85546875" style="33" customWidth="1"/>
    <col min="12046" max="12046" width="4.42578125" style="33" customWidth="1"/>
    <col min="12047" max="12047" width="7.7109375" style="33" customWidth="1"/>
    <col min="12048" max="12048" width="8.28515625" style="33" customWidth="1"/>
    <col min="12049" max="12049" width="9.140625" style="33"/>
    <col min="12050" max="12050" width="52.42578125" style="33" customWidth="1"/>
    <col min="12051" max="12051" width="14.7109375" style="33" customWidth="1"/>
    <col min="12052" max="12052" width="16" style="33" customWidth="1"/>
    <col min="12053" max="12053" width="13.28515625" style="33" customWidth="1"/>
    <col min="12054" max="12054" width="24.7109375" style="33" customWidth="1"/>
    <col min="12055" max="12055" width="14.42578125" style="33" customWidth="1"/>
    <col min="12056" max="12065" width="9.140625" style="33"/>
    <col min="12066" max="12066" width="6.140625" style="33" customWidth="1"/>
    <col min="12067" max="12289" width="9.140625" style="33"/>
    <col min="12290" max="12290" width="89.85546875" style="33" customWidth="1"/>
    <col min="12291" max="12291" width="17.5703125" style="33" customWidth="1"/>
    <col min="12292" max="12292" width="10.28515625" style="33" customWidth="1"/>
    <col min="12293" max="12293" width="12.140625" style="33" customWidth="1"/>
    <col min="12294" max="12294" width="18.85546875" style="33" customWidth="1"/>
    <col min="12295" max="12295" width="6" style="33" customWidth="1"/>
    <col min="12296" max="12296" width="8.42578125" style="33" customWidth="1"/>
    <col min="12297" max="12297" width="51.85546875" style="33" customWidth="1"/>
    <col min="12298" max="12298" width="10.42578125" style="33" customWidth="1"/>
    <col min="12299" max="12299" width="12.140625" style="33" customWidth="1"/>
    <col min="12300" max="12300" width="19.85546875" style="33" customWidth="1"/>
    <col min="12301" max="12301" width="25.85546875" style="33" customWidth="1"/>
    <col min="12302" max="12302" width="4.42578125" style="33" customWidth="1"/>
    <col min="12303" max="12303" width="7.7109375" style="33" customWidth="1"/>
    <col min="12304" max="12304" width="8.28515625" style="33" customWidth="1"/>
    <col min="12305" max="12305" width="9.140625" style="33"/>
    <col min="12306" max="12306" width="52.42578125" style="33" customWidth="1"/>
    <col min="12307" max="12307" width="14.7109375" style="33" customWidth="1"/>
    <col min="12308" max="12308" width="16" style="33" customWidth="1"/>
    <col min="12309" max="12309" width="13.28515625" style="33" customWidth="1"/>
    <col min="12310" max="12310" width="24.7109375" style="33" customWidth="1"/>
    <col min="12311" max="12311" width="14.42578125" style="33" customWidth="1"/>
    <col min="12312" max="12321" width="9.140625" style="33"/>
    <col min="12322" max="12322" width="6.140625" style="33" customWidth="1"/>
    <col min="12323" max="12545" width="9.140625" style="33"/>
    <col min="12546" max="12546" width="89.85546875" style="33" customWidth="1"/>
    <col min="12547" max="12547" width="17.5703125" style="33" customWidth="1"/>
    <col min="12548" max="12548" width="10.28515625" style="33" customWidth="1"/>
    <col min="12549" max="12549" width="12.140625" style="33" customWidth="1"/>
    <col min="12550" max="12550" width="18.85546875" style="33" customWidth="1"/>
    <col min="12551" max="12551" width="6" style="33" customWidth="1"/>
    <col min="12552" max="12552" width="8.42578125" style="33" customWidth="1"/>
    <col min="12553" max="12553" width="51.85546875" style="33" customWidth="1"/>
    <col min="12554" max="12554" width="10.42578125" style="33" customWidth="1"/>
    <col min="12555" max="12555" width="12.140625" style="33" customWidth="1"/>
    <col min="12556" max="12556" width="19.85546875" style="33" customWidth="1"/>
    <col min="12557" max="12557" width="25.85546875" style="33" customWidth="1"/>
    <col min="12558" max="12558" width="4.42578125" style="33" customWidth="1"/>
    <col min="12559" max="12559" width="7.7109375" style="33" customWidth="1"/>
    <col min="12560" max="12560" width="8.28515625" style="33" customWidth="1"/>
    <col min="12561" max="12561" width="9.140625" style="33"/>
    <col min="12562" max="12562" width="52.42578125" style="33" customWidth="1"/>
    <col min="12563" max="12563" width="14.7109375" style="33" customWidth="1"/>
    <col min="12564" max="12564" width="16" style="33" customWidth="1"/>
    <col min="12565" max="12565" width="13.28515625" style="33" customWidth="1"/>
    <col min="12566" max="12566" width="24.7109375" style="33" customWidth="1"/>
    <col min="12567" max="12567" width="14.42578125" style="33" customWidth="1"/>
    <col min="12568" max="12577" width="9.140625" style="33"/>
    <col min="12578" max="12578" width="6.140625" style="33" customWidth="1"/>
    <col min="12579" max="12801" width="9.140625" style="33"/>
    <col min="12802" max="12802" width="89.85546875" style="33" customWidth="1"/>
    <col min="12803" max="12803" width="17.5703125" style="33" customWidth="1"/>
    <col min="12804" max="12804" width="10.28515625" style="33" customWidth="1"/>
    <col min="12805" max="12805" width="12.140625" style="33" customWidth="1"/>
    <col min="12806" max="12806" width="18.85546875" style="33" customWidth="1"/>
    <col min="12807" max="12807" width="6" style="33" customWidth="1"/>
    <col min="12808" max="12808" width="8.42578125" style="33" customWidth="1"/>
    <col min="12809" max="12809" width="51.85546875" style="33" customWidth="1"/>
    <col min="12810" max="12810" width="10.42578125" style="33" customWidth="1"/>
    <col min="12811" max="12811" width="12.140625" style="33" customWidth="1"/>
    <col min="12812" max="12812" width="19.85546875" style="33" customWidth="1"/>
    <col min="12813" max="12813" width="25.85546875" style="33" customWidth="1"/>
    <col min="12814" max="12814" width="4.42578125" style="33" customWidth="1"/>
    <col min="12815" max="12815" width="7.7109375" style="33" customWidth="1"/>
    <col min="12816" max="12816" width="8.28515625" style="33" customWidth="1"/>
    <col min="12817" max="12817" width="9.140625" style="33"/>
    <col min="12818" max="12818" width="52.42578125" style="33" customWidth="1"/>
    <col min="12819" max="12819" width="14.7109375" style="33" customWidth="1"/>
    <col min="12820" max="12820" width="16" style="33" customWidth="1"/>
    <col min="12821" max="12821" width="13.28515625" style="33" customWidth="1"/>
    <col min="12822" max="12822" width="24.7109375" style="33" customWidth="1"/>
    <col min="12823" max="12823" width="14.42578125" style="33" customWidth="1"/>
    <col min="12824" max="12833" width="9.140625" style="33"/>
    <col min="12834" max="12834" width="6.140625" style="33" customWidth="1"/>
    <col min="12835" max="13057" width="9.140625" style="33"/>
    <col min="13058" max="13058" width="89.85546875" style="33" customWidth="1"/>
    <col min="13059" max="13059" width="17.5703125" style="33" customWidth="1"/>
    <col min="13060" max="13060" width="10.28515625" style="33" customWidth="1"/>
    <col min="13061" max="13061" width="12.140625" style="33" customWidth="1"/>
    <col min="13062" max="13062" width="18.85546875" style="33" customWidth="1"/>
    <col min="13063" max="13063" width="6" style="33" customWidth="1"/>
    <col min="13064" max="13064" width="8.42578125" style="33" customWidth="1"/>
    <col min="13065" max="13065" width="51.85546875" style="33" customWidth="1"/>
    <col min="13066" max="13066" width="10.42578125" style="33" customWidth="1"/>
    <col min="13067" max="13067" width="12.140625" style="33" customWidth="1"/>
    <col min="13068" max="13068" width="19.85546875" style="33" customWidth="1"/>
    <col min="13069" max="13069" width="25.85546875" style="33" customWidth="1"/>
    <col min="13070" max="13070" width="4.42578125" style="33" customWidth="1"/>
    <col min="13071" max="13071" width="7.7109375" style="33" customWidth="1"/>
    <col min="13072" max="13072" width="8.28515625" style="33" customWidth="1"/>
    <col min="13073" max="13073" width="9.140625" style="33"/>
    <col min="13074" max="13074" width="52.42578125" style="33" customWidth="1"/>
    <col min="13075" max="13075" width="14.7109375" style="33" customWidth="1"/>
    <col min="13076" max="13076" width="16" style="33" customWidth="1"/>
    <col min="13077" max="13077" width="13.28515625" style="33" customWidth="1"/>
    <col min="13078" max="13078" width="24.7109375" style="33" customWidth="1"/>
    <col min="13079" max="13079" width="14.42578125" style="33" customWidth="1"/>
    <col min="13080" max="13089" width="9.140625" style="33"/>
    <col min="13090" max="13090" width="6.140625" style="33" customWidth="1"/>
    <col min="13091" max="13313" width="9.140625" style="33"/>
    <col min="13314" max="13314" width="89.85546875" style="33" customWidth="1"/>
    <col min="13315" max="13315" width="17.5703125" style="33" customWidth="1"/>
    <col min="13316" max="13316" width="10.28515625" style="33" customWidth="1"/>
    <col min="13317" max="13317" width="12.140625" style="33" customWidth="1"/>
    <col min="13318" max="13318" width="18.85546875" style="33" customWidth="1"/>
    <col min="13319" max="13319" width="6" style="33" customWidth="1"/>
    <col min="13320" max="13320" width="8.42578125" style="33" customWidth="1"/>
    <col min="13321" max="13321" width="51.85546875" style="33" customWidth="1"/>
    <col min="13322" max="13322" width="10.42578125" style="33" customWidth="1"/>
    <col min="13323" max="13323" width="12.140625" style="33" customWidth="1"/>
    <col min="13324" max="13324" width="19.85546875" style="33" customWidth="1"/>
    <col min="13325" max="13325" width="25.85546875" style="33" customWidth="1"/>
    <col min="13326" max="13326" width="4.42578125" style="33" customWidth="1"/>
    <col min="13327" max="13327" width="7.7109375" style="33" customWidth="1"/>
    <col min="13328" max="13328" width="8.28515625" style="33" customWidth="1"/>
    <col min="13329" max="13329" width="9.140625" style="33"/>
    <col min="13330" max="13330" width="52.42578125" style="33" customWidth="1"/>
    <col min="13331" max="13331" width="14.7109375" style="33" customWidth="1"/>
    <col min="13332" max="13332" width="16" style="33" customWidth="1"/>
    <col min="13333" max="13333" width="13.28515625" style="33" customWidth="1"/>
    <col min="13334" max="13334" width="24.7109375" style="33" customWidth="1"/>
    <col min="13335" max="13335" width="14.42578125" style="33" customWidth="1"/>
    <col min="13336" max="13345" width="9.140625" style="33"/>
    <col min="13346" max="13346" width="6.140625" style="33" customWidth="1"/>
    <col min="13347" max="13569" width="9.140625" style="33"/>
    <col min="13570" max="13570" width="89.85546875" style="33" customWidth="1"/>
    <col min="13571" max="13571" width="17.5703125" style="33" customWidth="1"/>
    <col min="13572" max="13572" width="10.28515625" style="33" customWidth="1"/>
    <col min="13573" max="13573" width="12.140625" style="33" customWidth="1"/>
    <col min="13574" max="13574" width="18.85546875" style="33" customWidth="1"/>
    <col min="13575" max="13575" width="6" style="33" customWidth="1"/>
    <col min="13576" max="13576" width="8.42578125" style="33" customWidth="1"/>
    <col min="13577" max="13577" width="51.85546875" style="33" customWidth="1"/>
    <col min="13578" max="13578" width="10.42578125" style="33" customWidth="1"/>
    <col min="13579" max="13579" width="12.140625" style="33" customWidth="1"/>
    <col min="13580" max="13580" width="19.85546875" style="33" customWidth="1"/>
    <col min="13581" max="13581" width="25.85546875" style="33" customWidth="1"/>
    <col min="13582" max="13582" width="4.42578125" style="33" customWidth="1"/>
    <col min="13583" max="13583" width="7.7109375" style="33" customWidth="1"/>
    <col min="13584" max="13584" width="8.28515625" style="33" customWidth="1"/>
    <col min="13585" max="13585" width="9.140625" style="33"/>
    <col min="13586" max="13586" width="52.42578125" style="33" customWidth="1"/>
    <col min="13587" max="13587" width="14.7109375" style="33" customWidth="1"/>
    <col min="13588" max="13588" width="16" style="33" customWidth="1"/>
    <col min="13589" max="13589" width="13.28515625" style="33" customWidth="1"/>
    <col min="13590" max="13590" width="24.7109375" style="33" customWidth="1"/>
    <col min="13591" max="13591" width="14.42578125" style="33" customWidth="1"/>
    <col min="13592" max="13601" width="9.140625" style="33"/>
    <col min="13602" max="13602" width="6.140625" style="33" customWidth="1"/>
    <col min="13603" max="13825" width="9.140625" style="33"/>
    <col min="13826" max="13826" width="89.85546875" style="33" customWidth="1"/>
    <col min="13827" max="13827" width="17.5703125" style="33" customWidth="1"/>
    <col min="13828" max="13828" width="10.28515625" style="33" customWidth="1"/>
    <col min="13829" max="13829" width="12.140625" style="33" customWidth="1"/>
    <col min="13830" max="13830" width="18.85546875" style="33" customWidth="1"/>
    <col min="13831" max="13831" width="6" style="33" customWidth="1"/>
    <col min="13832" max="13832" width="8.42578125" style="33" customWidth="1"/>
    <col min="13833" max="13833" width="51.85546875" style="33" customWidth="1"/>
    <col min="13834" max="13834" width="10.42578125" style="33" customWidth="1"/>
    <col min="13835" max="13835" width="12.140625" style="33" customWidth="1"/>
    <col min="13836" max="13836" width="19.85546875" style="33" customWidth="1"/>
    <col min="13837" max="13837" width="25.85546875" style="33" customWidth="1"/>
    <col min="13838" max="13838" width="4.42578125" style="33" customWidth="1"/>
    <col min="13839" max="13839" width="7.7109375" style="33" customWidth="1"/>
    <col min="13840" max="13840" width="8.28515625" style="33" customWidth="1"/>
    <col min="13841" max="13841" width="9.140625" style="33"/>
    <col min="13842" max="13842" width="52.42578125" style="33" customWidth="1"/>
    <col min="13843" max="13843" width="14.7109375" style="33" customWidth="1"/>
    <col min="13844" max="13844" width="16" style="33" customWidth="1"/>
    <col min="13845" max="13845" width="13.28515625" style="33" customWidth="1"/>
    <col min="13846" max="13846" width="24.7109375" style="33" customWidth="1"/>
    <col min="13847" max="13847" width="14.42578125" style="33" customWidth="1"/>
    <col min="13848" max="13857" width="9.140625" style="33"/>
    <col min="13858" max="13858" width="6.140625" style="33" customWidth="1"/>
    <col min="13859" max="14081" width="9.140625" style="33"/>
    <col min="14082" max="14082" width="89.85546875" style="33" customWidth="1"/>
    <col min="14083" max="14083" width="17.5703125" style="33" customWidth="1"/>
    <col min="14084" max="14084" width="10.28515625" style="33" customWidth="1"/>
    <col min="14085" max="14085" width="12.140625" style="33" customWidth="1"/>
    <col min="14086" max="14086" width="18.85546875" style="33" customWidth="1"/>
    <col min="14087" max="14087" width="6" style="33" customWidth="1"/>
    <col min="14088" max="14088" width="8.42578125" style="33" customWidth="1"/>
    <col min="14089" max="14089" width="51.85546875" style="33" customWidth="1"/>
    <col min="14090" max="14090" width="10.42578125" style="33" customWidth="1"/>
    <col min="14091" max="14091" width="12.140625" style="33" customWidth="1"/>
    <col min="14092" max="14092" width="19.85546875" style="33" customWidth="1"/>
    <col min="14093" max="14093" width="25.85546875" style="33" customWidth="1"/>
    <col min="14094" max="14094" width="4.42578125" style="33" customWidth="1"/>
    <col min="14095" max="14095" width="7.7109375" style="33" customWidth="1"/>
    <col min="14096" max="14096" width="8.28515625" style="33" customWidth="1"/>
    <col min="14097" max="14097" width="9.140625" style="33"/>
    <col min="14098" max="14098" width="52.42578125" style="33" customWidth="1"/>
    <col min="14099" max="14099" width="14.7109375" style="33" customWidth="1"/>
    <col min="14100" max="14100" width="16" style="33" customWidth="1"/>
    <col min="14101" max="14101" width="13.28515625" style="33" customWidth="1"/>
    <col min="14102" max="14102" width="24.7109375" style="33" customWidth="1"/>
    <col min="14103" max="14103" width="14.42578125" style="33" customWidth="1"/>
    <col min="14104" max="14113" width="9.140625" style="33"/>
    <col min="14114" max="14114" width="6.140625" style="33" customWidth="1"/>
    <col min="14115" max="14337" width="9.140625" style="33"/>
    <col min="14338" max="14338" width="89.85546875" style="33" customWidth="1"/>
    <col min="14339" max="14339" width="17.5703125" style="33" customWidth="1"/>
    <col min="14340" max="14340" width="10.28515625" style="33" customWidth="1"/>
    <col min="14341" max="14341" width="12.140625" style="33" customWidth="1"/>
    <col min="14342" max="14342" width="18.85546875" style="33" customWidth="1"/>
    <col min="14343" max="14343" width="6" style="33" customWidth="1"/>
    <col min="14344" max="14344" width="8.42578125" style="33" customWidth="1"/>
    <col min="14345" max="14345" width="51.85546875" style="33" customWidth="1"/>
    <col min="14346" max="14346" width="10.42578125" style="33" customWidth="1"/>
    <col min="14347" max="14347" width="12.140625" style="33" customWidth="1"/>
    <col min="14348" max="14348" width="19.85546875" style="33" customWidth="1"/>
    <col min="14349" max="14349" width="25.85546875" style="33" customWidth="1"/>
    <col min="14350" max="14350" width="4.42578125" style="33" customWidth="1"/>
    <col min="14351" max="14351" width="7.7109375" style="33" customWidth="1"/>
    <col min="14352" max="14352" width="8.28515625" style="33" customWidth="1"/>
    <col min="14353" max="14353" width="9.140625" style="33"/>
    <col min="14354" max="14354" width="52.42578125" style="33" customWidth="1"/>
    <col min="14355" max="14355" width="14.7109375" style="33" customWidth="1"/>
    <col min="14356" max="14356" width="16" style="33" customWidth="1"/>
    <col min="14357" max="14357" width="13.28515625" style="33" customWidth="1"/>
    <col min="14358" max="14358" width="24.7109375" style="33" customWidth="1"/>
    <col min="14359" max="14359" width="14.42578125" style="33" customWidth="1"/>
    <col min="14360" max="14369" width="9.140625" style="33"/>
    <col min="14370" max="14370" width="6.140625" style="33" customWidth="1"/>
    <col min="14371" max="14593" width="9.140625" style="33"/>
    <col min="14594" max="14594" width="89.85546875" style="33" customWidth="1"/>
    <col min="14595" max="14595" width="17.5703125" style="33" customWidth="1"/>
    <col min="14596" max="14596" width="10.28515625" style="33" customWidth="1"/>
    <col min="14597" max="14597" width="12.140625" style="33" customWidth="1"/>
    <col min="14598" max="14598" width="18.85546875" style="33" customWidth="1"/>
    <col min="14599" max="14599" width="6" style="33" customWidth="1"/>
    <col min="14600" max="14600" width="8.42578125" style="33" customWidth="1"/>
    <col min="14601" max="14601" width="51.85546875" style="33" customWidth="1"/>
    <col min="14602" max="14602" width="10.42578125" style="33" customWidth="1"/>
    <col min="14603" max="14603" width="12.140625" style="33" customWidth="1"/>
    <col min="14604" max="14604" width="19.85546875" style="33" customWidth="1"/>
    <col min="14605" max="14605" width="25.85546875" style="33" customWidth="1"/>
    <col min="14606" max="14606" width="4.42578125" style="33" customWidth="1"/>
    <col min="14607" max="14607" width="7.7109375" style="33" customWidth="1"/>
    <col min="14608" max="14608" width="8.28515625" style="33" customWidth="1"/>
    <col min="14609" max="14609" width="9.140625" style="33"/>
    <col min="14610" max="14610" width="52.42578125" style="33" customWidth="1"/>
    <col min="14611" max="14611" width="14.7109375" style="33" customWidth="1"/>
    <col min="14612" max="14612" width="16" style="33" customWidth="1"/>
    <col min="14613" max="14613" width="13.28515625" style="33" customWidth="1"/>
    <col min="14614" max="14614" width="24.7109375" style="33" customWidth="1"/>
    <col min="14615" max="14615" width="14.42578125" style="33" customWidth="1"/>
    <col min="14616" max="14625" width="9.140625" style="33"/>
    <col min="14626" max="14626" width="6.140625" style="33" customWidth="1"/>
    <col min="14627" max="14849" width="9.140625" style="33"/>
    <col min="14850" max="14850" width="89.85546875" style="33" customWidth="1"/>
    <col min="14851" max="14851" width="17.5703125" style="33" customWidth="1"/>
    <col min="14852" max="14852" width="10.28515625" style="33" customWidth="1"/>
    <col min="14853" max="14853" width="12.140625" style="33" customWidth="1"/>
    <col min="14854" max="14854" width="18.85546875" style="33" customWidth="1"/>
    <col min="14855" max="14855" width="6" style="33" customWidth="1"/>
    <col min="14856" max="14856" width="8.42578125" style="33" customWidth="1"/>
    <col min="14857" max="14857" width="51.85546875" style="33" customWidth="1"/>
    <col min="14858" max="14858" width="10.42578125" style="33" customWidth="1"/>
    <col min="14859" max="14859" width="12.140625" style="33" customWidth="1"/>
    <col min="14860" max="14860" width="19.85546875" style="33" customWidth="1"/>
    <col min="14861" max="14861" width="25.85546875" style="33" customWidth="1"/>
    <col min="14862" max="14862" width="4.42578125" style="33" customWidth="1"/>
    <col min="14863" max="14863" width="7.7109375" style="33" customWidth="1"/>
    <col min="14864" max="14864" width="8.28515625" style="33" customWidth="1"/>
    <col min="14865" max="14865" width="9.140625" style="33"/>
    <col min="14866" max="14866" width="52.42578125" style="33" customWidth="1"/>
    <col min="14867" max="14867" width="14.7109375" style="33" customWidth="1"/>
    <col min="14868" max="14868" width="16" style="33" customWidth="1"/>
    <col min="14869" max="14869" width="13.28515625" style="33" customWidth="1"/>
    <col min="14870" max="14870" width="24.7109375" style="33" customWidth="1"/>
    <col min="14871" max="14871" width="14.42578125" style="33" customWidth="1"/>
    <col min="14872" max="14881" width="9.140625" style="33"/>
    <col min="14882" max="14882" width="6.140625" style="33" customWidth="1"/>
    <col min="14883" max="15105" width="9.140625" style="33"/>
    <col min="15106" max="15106" width="89.85546875" style="33" customWidth="1"/>
    <col min="15107" max="15107" width="17.5703125" style="33" customWidth="1"/>
    <col min="15108" max="15108" width="10.28515625" style="33" customWidth="1"/>
    <col min="15109" max="15109" width="12.140625" style="33" customWidth="1"/>
    <col min="15110" max="15110" width="18.85546875" style="33" customWidth="1"/>
    <col min="15111" max="15111" width="6" style="33" customWidth="1"/>
    <col min="15112" max="15112" width="8.42578125" style="33" customWidth="1"/>
    <col min="15113" max="15113" width="51.85546875" style="33" customWidth="1"/>
    <col min="15114" max="15114" width="10.42578125" style="33" customWidth="1"/>
    <col min="15115" max="15115" width="12.140625" style="33" customWidth="1"/>
    <col min="15116" max="15116" width="19.85546875" style="33" customWidth="1"/>
    <col min="15117" max="15117" width="25.85546875" style="33" customWidth="1"/>
    <col min="15118" max="15118" width="4.42578125" style="33" customWidth="1"/>
    <col min="15119" max="15119" width="7.7109375" style="33" customWidth="1"/>
    <col min="15120" max="15120" width="8.28515625" style="33" customWidth="1"/>
    <col min="15121" max="15121" width="9.140625" style="33"/>
    <col min="15122" max="15122" width="52.42578125" style="33" customWidth="1"/>
    <col min="15123" max="15123" width="14.7109375" style="33" customWidth="1"/>
    <col min="15124" max="15124" width="16" style="33" customWidth="1"/>
    <col min="15125" max="15125" width="13.28515625" style="33" customWidth="1"/>
    <col min="15126" max="15126" width="24.7109375" style="33" customWidth="1"/>
    <col min="15127" max="15127" width="14.42578125" style="33" customWidth="1"/>
    <col min="15128" max="15137" width="9.140625" style="33"/>
    <col min="15138" max="15138" width="6.140625" style="33" customWidth="1"/>
    <col min="15139" max="15361" width="9.140625" style="33"/>
    <col min="15362" max="15362" width="89.85546875" style="33" customWidth="1"/>
    <col min="15363" max="15363" width="17.5703125" style="33" customWidth="1"/>
    <col min="15364" max="15364" width="10.28515625" style="33" customWidth="1"/>
    <col min="15365" max="15365" width="12.140625" style="33" customWidth="1"/>
    <col min="15366" max="15366" width="18.85546875" style="33" customWidth="1"/>
    <col min="15367" max="15367" width="6" style="33" customWidth="1"/>
    <col min="15368" max="15368" width="8.42578125" style="33" customWidth="1"/>
    <col min="15369" max="15369" width="51.85546875" style="33" customWidth="1"/>
    <col min="15370" max="15370" width="10.42578125" style="33" customWidth="1"/>
    <col min="15371" max="15371" width="12.140625" style="33" customWidth="1"/>
    <col min="15372" max="15372" width="19.85546875" style="33" customWidth="1"/>
    <col min="15373" max="15373" width="25.85546875" style="33" customWidth="1"/>
    <col min="15374" max="15374" width="4.42578125" style="33" customWidth="1"/>
    <col min="15375" max="15375" width="7.7109375" style="33" customWidth="1"/>
    <col min="15376" max="15376" width="8.28515625" style="33" customWidth="1"/>
    <col min="15377" max="15377" width="9.140625" style="33"/>
    <col min="15378" max="15378" width="52.42578125" style="33" customWidth="1"/>
    <col min="15379" max="15379" width="14.7109375" style="33" customWidth="1"/>
    <col min="15380" max="15380" width="16" style="33" customWidth="1"/>
    <col min="15381" max="15381" width="13.28515625" style="33" customWidth="1"/>
    <col min="15382" max="15382" width="24.7109375" style="33" customWidth="1"/>
    <col min="15383" max="15383" width="14.42578125" style="33" customWidth="1"/>
    <col min="15384" max="15393" width="9.140625" style="33"/>
    <col min="15394" max="15394" width="6.140625" style="33" customWidth="1"/>
    <col min="15395" max="15617" width="9.140625" style="33"/>
    <col min="15618" max="15618" width="89.85546875" style="33" customWidth="1"/>
    <col min="15619" max="15619" width="17.5703125" style="33" customWidth="1"/>
    <col min="15620" max="15620" width="10.28515625" style="33" customWidth="1"/>
    <col min="15621" max="15621" width="12.140625" style="33" customWidth="1"/>
    <col min="15622" max="15622" width="18.85546875" style="33" customWidth="1"/>
    <col min="15623" max="15623" width="6" style="33" customWidth="1"/>
    <col min="15624" max="15624" width="8.42578125" style="33" customWidth="1"/>
    <col min="15625" max="15625" width="51.85546875" style="33" customWidth="1"/>
    <col min="15626" max="15626" width="10.42578125" style="33" customWidth="1"/>
    <col min="15627" max="15627" width="12.140625" style="33" customWidth="1"/>
    <col min="15628" max="15628" width="19.85546875" style="33" customWidth="1"/>
    <col min="15629" max="15629" width="25.85546875" style="33" customWidth="1"/>
    <col min="15630" max="15630" width="4.42578125" style="33" customWidth="1"/>
    <col min="15631" max="15631" width="7.7109375" style="33" customWidth="1"/>
    <col min="15632" max="15632" width="8.28515625" style="33" customWidth="1"/>
    <col min="15633" max="15633" width="9.140625" style="33"/>
    <col min="15634" max="15634" width="52.42578125" style="33" customWidth="1"/>
    <col min="15635" max="15635" width="14.7109375" style="33" customWidth="1"/>
    <col min="15636" max="15636" width="16" style="33" customWidth="1"/>
    <col min="15637" max="15637" width="13.28515625" style="33" customWidth="1"/>
    <col min="15638" max="15638" width="24.7109375" style="33" customWidth="1"/>
    <col min="15639" max="15639" width="14.42578125" style="33" customWidth="1"/>
    <col min="15640" max="15649" width="9.140625" style="33"/>
    <col min="15650" max="15650" width="6.140625" style="33" customWidth="1"/>
    <col min="15651" max="15873" width="9.140625" style="33"/>
    <col min="15874" max="15874" width="89.85546875" style="33" customWidth="1"/>
    <col min="15875" max="15875" width="17.5703125" style="33" customWidth="1"/>
    <col min="15876" max="15876" width="10.28515625" style="33" customWidth="1"/>
    <col min="15877" max="15877" width="12.140625" style="33" customWidth="1"/>
    <col min="15878" max="15878" width="18.85546875" style="33" customWidth="1"/>
    <col min="15879" max="15879" width="6" style="33" customWidth="1"/>
    <col min="15880" max="15880" width="8.42578125" style="33" customWidth="1"/>
    <col min="15881" max="15881" width="51.85546875" style="33" customWidth="1"/>
    <col min="15882" max="15882" width="10.42578125" style="33" customWidth="1"/>
    <col min="15883" max="15883" width="12.140625" style="33" customWidth="1"/>
    <col min="15884" max="15884" width="19.85546875" style="33" customWidth="1"/>
    <col min="15885" max="15885" width="25.85546875" style="33" customWidth="1"/>
    <col min="15886" max="15886" width="4.42578125" style="33" customWidth="1"/>
    <col min="15887" max="15887" width="7.7109375" style="33" customWidth="1"/>
    <col min="15888" max="15888" width="8.28515625" style="33" customWidth="1"/>
    <col min="15889" max="15889" width="9.140625" style="33"/>
    <col min="15890" max="15890" width="52.42578125" style="33" customWidth="1"/>
    <col min="15891" max="15891" width="14.7109375" style="33" customWidth="1"/>
    <col min="15892" max="15892" width="16" style="33" customWidth="1"/>
    <col min="15893" max="15893" width="13.28515625" style="33" customWidth="1"/>
    <col min="15894" max="15894" width="24.7109375" style="33" customWidth="1"/>
    <col min="15895" max="15895" width="14.42578125" style="33" customWidth="1"/>
    <col min="15896" max="15905" width="9.140625" style="33"/>
    <col min="15906" max="15906" width="6.140625" style="33" customWidth="1"/>
    <col min="15907" max="16129" width="9.140625" style="33"/>
    <col min="16130" max="16130" width="89.85546875" style="33" customWidth="1"/>
    <col min="16131" max="16131" width="17.5703125" style="33" customWidth="1"/>
    <col min="16132" max="16132" width="10.28515625" style="33" customWidth="1"/>
    <col min="16133" max="16133" width="12.140625" style="33" customWidth="1"/>
    <col min="16134" max="16134" width="18.85546875" style="33" customWidth="1"/>
    <col min="16135" max="16135" width="6" style="33" customWidth="1"/>
    <col min="16136" max="16136" width="8.42578125" style="33" customWidth="1"/>
    <col min="16137" max="16137" width="51.85546875" style="33" customWidth="1"/>
    <col min="16138" max="16138" width="10.42578125" style="33" customWidth="1"/>
    <col min="16139" max="16139" width="12.140625" style="33" customWidth="1"/>
    <col min="16140" max="16140" width="19.85546875" style="33" customWidth="1"/>
    <col min="16141" max="16141" width="25.85546875" style="33" customWidth="1"/>
    <col min="16142" max="16142" width="4.42578125" style="33" customWidth="1"/>
    <col min="16143" max="16143" width="7.7109375" style="33" customWidth="1"/>
    <col min="16144" max="16144" width="8.28515625" style="33" customWidth="1"/>
    <col min="16145" max="16145" width="9.140625" style="33"/>
    <col min="16146" max="16146" width="52.42578125" style="33" customWidth="1"/>
    <col min="16147" max="16147" width="14.7109375" style="33" customWidth="1"/>
    <col min="16148" max="16148" width="16" style="33" customWidth="1"/>
    <col min="16149" max="16149" width="13.28515625" style="33" customWidth="1"/>
    <col min="16150" max="16150" width="24.7109375" style="33" customWidth="1"/>
    <col min="16151" max="16151" width="14.42578125" style="33" customWidth="1"/>
    <col min="16152" max="16161" width="9.140625" style="33"/>
    <col min="16162" max="16162" width="6.140625" style="33" customWidth="1"/>
    <col min="16163" max="16383" width="9.140625" style="33"/>
    <col min="16384" max="16384" width="9.140625" style="33" customWidth="1"/>
  </cols>
  <sheetData>
    <row r="1" spans="1:22" ht="39.6" customHeight="1">
      <c r="A1" s="1112" t="s">
        <v>78</v>
      </c>
      <c r="B1" s="1112"/>
      <c r="C1" s="1112"/>
      <c r="D1" s="1112"/>
      <c r="E1" s="1112"/>
      <c r="F1" s="1112"/>
      <c r="H1" s="1252" t="s">
        <v>79</v>
      </c>
      <c r="I1" s="1252"/>
      <c r="J1" s="1252"/>
      <c r="K1" s="1252"/>
      <c r="L1" s="1252"/>
      <c r="M1" s="1252"/>
      <c r="N1" s="247"/>
    </row>
    <row r="2" spans="1:22" ht="36.6" customHeight="1">
      <c r="A2" s="1039" t="s">
        <v>563</v>
      </c>
      <c r="B2" s="1039"/>
      <c r="C2" s="1039"/>
      <c r="D2" s="1039"/>
      <c r="E2" s="1039"/>
      <c r="F2" s="1039"/>
      <c r="G2" s="38"/>
      <c r="H2" s="1226" t="s">
        <v>80</v>
      </c>
      <c r="I2" s="1226"/>
      <c r="K2" s="33"/>
      <c r="L2" s="33"/>
      <c r="N2" s="37">
        <v>2088</v>
      </c>
      <c r="O2" s="51">
        <f>ROUND(N2/12,2)</f>
        <v>174</v>
      </c>
      <c r="Q2" s="1233"/>
      <c r="R2" s="1233"/>
      <c r="S2" s="1233"/>
      <c r="T2" s="1233"/>
      <c r="U2" s="1233"/>
      <c r="V2" s="1233"/>
    </row>
    <row r="3" spans="1:22" s="37" customFormat="1" ht="15.6" customHeight="1">
      <c r="A3" s="5" t="s">
        <v>69</v>
      </c>
      <c r="B3" s="33"/>
      <c r="C3" s="33"/>
      <c r="D3" s="33"/>
      <c r="E3" s="33"/>
      <c r="F3" s="12"/>
      <c r="H3" s="1113"/>
      <c r="I3" s="1113" t="s">
        <v>787</v>
      </c>
      <c r="J3" s="1113"/>
      <c r="K3" s="1113"/>
      <c r="L3" s="1234" t="s">
        <v>81</v>
      </c>
      <c r="M3" s="1113" t="s">
        <v>82</v>
      </c>
      <c r="N3" s="1236" t="s">
        <v>849</v>
      </c>
      <c r="O3" s="1237"/>
      <c r="P3" s="758">
        <f>ЗВЕДЕНИЙ!W50</f>
        <v>0</v>
      </c>
      <c r="Q3" s="32">
        <f>P3/N2</f>
        <v>0</v>
      </c>
      <c r="R3" s="721">
        <f>ЗВЕДЕНИЙ!Y50</f>
        <v>0</v>
      </c>
      <c r="S3" s="722">
        <f>R3/N2</f>
        <v>0</v>
      </c>
      <c r="T3" s="35"/>
      <c r="U3" s="1231"/>
      <c r="V3" s="1227"/>
    </row>
    <row r="4" spans="1:22" s="37" customFormat="1" ht="58.9" customHeight="1">
      <c r="A4" s="39"/>
      <c r="B4" s="40"/>
      <c r="C4" s="40"/>
      <c r="D4" s="40"/>
      <c r="E4" s="40"/>
      <c r="F4" s="40"/>
      <c r="H4" s="1113"/>
      <c r="I4" s="1113"/>
      <c r="J4" s="1113"/>
      <c r="K4" s="1113"/>
      <c r="L4" s="1235"/>
      <c r="M4" s="1113"/>
      <c r="N4" s="723"/>
      <c r="O4" s="724"/>
      <c r="P4" s="41"/>
      <c r="Q4" s="41"/>
      <c r="R4" s="314"/>
      <c r="S4" s="314"/>
      <c r="T4" s="309"/>
      <c r="U4" s="1231"/>
      <c r="V4" s="1227"/>
    </row>
    <row r="5" spans="1:22" s="37" customFormat="1" ht="72.599999999999994" customHeight="1">
      <c r="A5" s="13" t="s">
        <v>211</v>
      </c>
      <c r="B5" s="15" t="s">
        <v>212</v>
      </c>
      <c r="C5" s="29" t="s">
        <v>564</v>
      </c>
      <c r="D5" s="29" t="s">
        <v>274</v>
      </c>
      <c r="E5" s="192" t="s">
        <v>275</v>
      </c>
      <c r="F5" s="29" t="s">
        <v>491</v>
      </c>
      <c r="G5" s="41"/>
      <c r="H5" s="32">
        <v>1</v>
      </c>
      <c r="I5" s="1247" t="s">
        <v>597</v>
      </c>
      <c r="J5" s="1248"/>
      <c r="K5" s="474">
        <f>ЗВЕДЕНИЙ!X38</f>
        <v>170370.99055832994</v>
      </c>
      <c r="L5" s="42">
        <f>ROUND(K5/2088,2)</f>
        <v>81.599999999999994</v>
      </c>
      <c r="M5" s="32" t="s">
        <v>935</v>
      </c>
      <c r="N5" s="725">
        <f>L5*100/L21</f>
        <v>65.045834994021519</v>
      </c>
      <c r="O5" s="724"/>
      <c r="P5" s="44"/>
      <c r="Q5" s="41"/>
      <c r="R5" s="759"/>
      <c r="S5" s="759"/>
      <c r="T5" s="311"/>
      <c r="U5" s="51"/>
    </row>
    <row r="6" spans="1:22" s="41" customFormat="1">
      <c r="A6" s="24" t="s">
        <v>171</v>
      </c>
      <c r="B6" s="25" t="s">
        <v>102</v>
      </c>
      <c r="C6" s="31"/>
      <c r="D6" s="15"/>
      <c r="E6" s="874"/>
      <c r="F6" s="16"/>
      <c r="H6" s="32">
        <v>2</v>
      </c>
      <c r="I6" s="1251" t="s">
        <v>833</v>
      </c>
      <c r="J6" s="1251"/>
      <c r="K6" s="580">
        <v>0.22</v>
      </c>
      <c r="L6" s="42">
        <f>ROUND(L5*22%,2)</f>
        <v>17.95</v>
      </c>
      <c r="M6" s="32" t="s">
        <v>936</v>
      </c>
      <c r="N6" s="725">
        <f>L6*100/L21</f>
        <v>14.308489438023116</v>
      </c>
      <c r="O6" s="724"/>
      <c r="P6" s="44"/>
      <c r="R6" s="315"/>
      <c r="S6" s="315"/>
      <c r="T6" s="311"/>
      <c r="U6" s="310"/>
      <c r="V6" s="309"/>
    </row>
    <row r="7" spans="1:22" s="41" customFormat="1" ht="31.15" customHeight="1">
      <c r="A7" s="13" t="s">
        <v>66</v>
      </c>
      <c r="B7" s="831" t="s">
        <v>103</v>
      </c>
      <c r="C7" s="1238" t="s">
        <v>85</v>
      </c>
      <c r="D7" s="15"/>
      <c r="E7" s="874"/>
      <c r="F7" s="16"/>
      <c r="H7" s="43"/>
      <c r="I7" s="1253" t="s">
        <v>984</v>
      </c>
      <c r="J7" s="1254"/>
      <c r="K7" s="783">
        <f>(ЗВЕДЕНИЙ!V37+ЗВЕДЕНИЙ!V46+ЗВЕДЕНИЙ!V47+ЗВЕДЕНИЙ!V48+ЗВЕДЕНИЙ!V49+ЗВЕДЕНИЙ!V50)/6</f>
        <v>197875.09973119432</v>
      </c>
      <c r="L7" s="42">
        <f>K7/2088/14.4</f>
        <v>6.581095004895511</v>
      </c>
      <c r="M7" s="32" t="s">
        <v>985</v>
      </c>
      <c r="N7" s="725">
        <f>L9*100/L21</f>
        <v>11.901155838979673</v>
      </c>
      <c r="O7" s="724"/>
      <c r="P7" s="44"/>
      <c r="R7" s="310"/>
      <c r="S7" s="314"/>
      <c r="T7" s="311"/>
      <c r="U7" s="310"/>
      <c r="V7" s="309"/>
    </row>
    <row r="8" spans="1:22" s="41" customFormat="1" ht="19.149999999999999" customHeight="1">
      <c r="A8" s="13"/>
      <c r="B8" s="831" t="s">
        <v>104</v>
      </c>
      <c r="C8" s="1238"/>
      <c r="D8" s="15">
        <v>30</v>
      </c>
      <c r="E8" s="874">
        <f>ROUND($L$21/60*D8,2)</f>
        <v>62.73</v>
      </c>
      <c r="F8" s="286">
        <v>62.7</v>
      </c>
      <c r="H8" s="43"/>
      <c r="I8" s="1251" t="s">
        <v>833</v>
      </c>
      <c r="J8" s="1251"/>
      <c r="K8" s="580">
        <v>0.22</v>
      </c>
      <c r="L8" s="224">
        <f>L7*K8</f>
        <v>1.4478409010770124</v>
      </c>
      <c r="M8" s="66" t="s">
        <v>988</v>
      </c>
      <c r="N8" s="726">
        <f>L10*100/L21</f>
        <v>97.656436827421288</v>
      </c>
      <c r="O8" s="724"/>
      <c r="P8" s="44"/>
      <c r="R8" s="314"/>
      <c r="S8" s="314"/>
      <c r="T8" s="311"/>
      <c r="U8" s="310"/>
      <c r="V8" s="309"/>
    </row>
    <row r="9" spans="1:22" s="41" customFormat="1" ht="26.45" customHeight="1">
      <c r="A9" s="13"/>
      <c r="B9" s="831" t="s">
        <v>105</v>
      </c>
      <c r="C9" s="1238"/>
      <c r="D9" s="15">
        <v>30</v>
      </c>
      <c r="E9" s="874">
        <f>ROUND($L$21/60*D9,2)</f>
        <v>62.73</v>
      </c>
      <c r="F9" s="286">
        <v>62.7</v>
      </c>
      <c r="H9" s="32">
        <v>3</v>
      </c>
      <c r="I9" s="1249" t="s">
        <v>56</v>
      </c>
      <c r="J9" s="1250"/>
      <c r="K9" s="585">
        <v>0.15</v>
      </c>
      <c r="L9" s="42">
        <f>ROUND((L5+L6)*15%,2)</f>
        <v>14.93</v>
      </c>
      <c r="M9" s="32" t="s">
        <v>1072</v>
      </c>
      <c r="N9" s="726">
        <f>L13*100/L21</f>
        <v>1.6492351671912151</v>
      </c>
      <c r="O9" s="724"/>
      <c r="P9" s="44"/>
      <c r="R9" s="314"/>
      <c r="S9" s="314"/>
      <c r="T9" s="311"/>
      <c r="U9" s="310"/>
      <c r="V9" s="312"/>
    </row>
    <row r="10" spans="1:22" s="41" customFormat="1" ht="19.149999999999999" customHeight="1">
      <c r="A10" s="13"/>
      <c r="B10" s="831" t="s">
        <v>106</v>
      </c>
      <c r="C10" s="1238"/>
      <c r="D10" s="15">
        <v>84</v>
      </c>
      <c r="E10" s="874">
        <f>ROUND($L$21/60*D10,2)</f>
        <v>175.63</v>
      </c>
      <c r="F10" s="286">
        <v>175.6</v>
      </c>
      <c r="G10" s="33"/>
      <c r="H10" s="1256" t="s">
        <v>521</v>
      </c>
      <c r="I10" s="1256"/>
      <c r="J10" s="1256"/>
      <c r="K10" s="1256"/>
      <c r="L10" s="47">
        <f>ROUND(L5+L6++L7+L8+L9,2)</f>
        <v>122.51</v>
      </c>
      <c r="M10" s="710" t="s">
        <v>1073</v>
      </c>
      <c r="N10" s="725">
        <f>L12*100/L21</f>
        <v>1.6500597847748104</v>
      </c>
      <c r="O10" s="724"/>
      <c r="P10" s="44"/>
      <c r="Q10" s="33"/>
      <c r="R10" s="314"/>
      <c r="S10" s="314"/>
      <c r="T10" s="311"/>
      <c r="U10" s="310"/>
      <c r="V10" s="312"/>
    </row>
    <row r="11" spans="1:22" s="41" customFormat="1" ht="24" customHeight="1">
      <c r="A11" s="13"/>
      <c r="B11" s="875" t="s">
        <v>172</v>
      </c>
      <c r="C11" s="1238"/>
      <c r="D11" s="15">
        <v>60</v>
      </c>
      <c r="E11" s="874">
        <f>ROUND($L$21/60*D11,2)</f>
        <v>125.45</v>
      </c>
      <c r="F11" s="286">
        <v>125.5</v>
      </c>
      <c r="G11" s="33"/>
      <c r="H11" s="43"/>
      <c r="I11" s="791" t="s">
        <v>674</v>
      </c>
      <c r="J11" s="788" t="s">
        <v>599</v>
      </c>
      <c r="K11" s="32" t="s">
        <v>990</v>
      </c>
      <c r="L11" s="42">
        <f>SUM(L14+L13)</f>
        <v>2.9389655172413796</v>
      </c>
      <c r="M11" s="45" t="s">
        <v>992</v>
      </c>
      <c r="N11" s="726">
        <f>L14*100/L21</f>
        <v>0.69350338780390597</v>
      </c>
      <c r="O11" s="724"/>
      <c r="P11" s="44"/>
      <c r="Q11" s="33"/>
      <c r="R11" s="314"/>
      <c r="S11" s="314"/>
      <c r="T11" s="309"/>
      <c r="U11" s="310"/>
      <c r="V11" s="312"/>
    </row>
    <row r="12" spans="1:22" ht="15.6" hidden="1" customHeight="1">
      <c r="A12" s="13"/>
      <c r="B12" s="132"/>
      <c r="C12" s="1238"/>
      <c r="D12" s="876"/>
      <c r="E12" s="876"/>
      <c r="F12" s="877"/>
      <c r="H12" s="43"/>
      <c r="I12" s="48" t="s">
        <v>95</v>
      </c>
      <c r="J12" s="32" t="s">
        <v>606</v>
      </c>
      <c r="K12" s="32">
        <v>360</v>
      </c>
      <c r="L12" s="42">
        <f>ROUND(K12/174,2)</f>
        <v>2.0699999999999998</v>
      </c>
      <c r="M12" s="771" t="s">
        <v>864</v>
      </c>
      <c r="N12" s="725" t="e">
        <f>#REF!*100/L21</f>
        <v>#REF!</v>
      </c>
      <c r="O12" s="724"/>
      <c r="P12" s="44"/>
      <c r="R12" s="56"/>
      <c r="S12" s="56"/>
      <c r="T12" s="37"/>
      <c r="U12" s="310"/>
      <c r="V12" s="309"/>
    </row>
    <row r="13" spans="1:22" ht="21" customHeight="1">
      <c r="A13" s="13" t="s">
        <v>67</v>
      </c>
      <c r="B13" s="878" t="s">
        <v>108</v>
      </c>
      <c r="C13" s="1238" t="s">
        <v>85</v>
      </c>
      <c r="D13" s="15"/>
      <c r="E13" s="874"/>
      <c r="F13" s="286"/>
      <c r="H13" s="43"/>
      <c r="I13" s="45" t="s">
        <v>375</v>
      </c>
      <c r="J13" s="32" t="s">
        <v>606</v>
      </c>
      <c r="K13" s="37">
        <v>360</v>
      </c>
      <c r="L13" s="42">
        <f>K13/O2</f>
        <v>2.0689655172413794</v>
      </c>
      <c r="M13" s="33" t="s">
        <v>991</v>
      </c>
      <c r="N13" s="725">
        <f>L15*100/L21</f>
        <v>7.1741729772817855E-2</v>
      </c>
      <c r="O13" s="724"/>
      <c r="P13" s="44"/>
      <c r="R13" s="295"/>
      <c r="S13" s="295"/>
      <c r="T13" s="313"/>
      <c r="U13" s="310"/>
      <c r="V13" s="309"/>
    </row>
    <row r="14" spans="1:22" ht="29.45" customHeight="1">
      <c r="A14" s="13"/>
      <c r="B14" s="21" t="s">
        <v>109</v>
      </c>
      <c r="C14" s="1238"/>
      <c r="D14" s="15">
        <v>18</v>
      </c>
      <c r="E14" s="874">
        <f t="shared" ref="E14:E22" si="0">ROUND($L$21/60*D14,2)</f>
        <v>37.64</v>
      </c>
      <c r="F14" s="286">
        <v>37.6</v>
      </c>
      <c r="H14" s="43"/>
      <c r="I14" s="791" t="s">
        <v>57</v>
      </c>
      <c r="J14" s="32"/>
      <c r="K14" s="32"/>
      <c r="L14" s="47">
        <f>ROUND(L15+L16+L17+L18+L19,2)</f>
        <v>0.87</v>
      </c>
      <c r="M14" s="789" t="s">
        <v>993</v>
      </c>
      <c r="N14" s="725">
        <f>L16*100/L21</f>
        <v>0.20725388601036268</v>
      </c>
      <c r="O14" s="727"/>
      <c r="P14" s="44"/>
      <c r="Q14" s="631"/>
      <c r="T14" s="37"/>
      <c r="U14" s="37"/>
    </row>
    <row r="15" spans="1:22" ht="22.15" customHeight="1">
      <c r="A15" s="13"/>
      <c r="B15" s="21" t="s">
        <v>110</v>
      </c>
      <c r="C15" s="1238"/>
      <c r="D15" s="15">
        <v>8</v>
      </c>
      <c r="E15" s="874">
        <f t="shared" si="0"/>
        <v>16.73</v>
      </c>
      <c r="F15" s="286">
        <v>16.7</v>
      </c>
      <c r="H15" s="43"/>
      <c r="I15" s="770" t="s">
        <v>865</v>
      </c>
      <c r="J15" s="32" t="s">
        <v>872</v>
      </c>
      <c r="K15" s="32">
        <v>187</v>
      </c>
      <c r="L15" s="28">
        <f>ROUND(K15/N2,2)</f>
        <v>0.09</v>
      </c>
      <c r="M15" s="32" t="s">
        <v>866</v>
      </c>
      <c r="N15" s="725">
        <f>L17*100/L21</f>
        <v>0.27102431247508968</v>
      </c>
      <c r="O15" s="727"/>
      <c r="P15" s="44"/>
      <c r="Q15" s="1227"/>
      <c r="R15" s="1231"/>
      <c r="S15" s="1068"/>
      <c r="T15" s="1231"/>
      <c r="U15" s="51"/>
      <c r="V15" s="37"/>
    </row>
    <row r="16" spans="1:22" ht="28.9" customHeight="1">
      <c r="A16" s="13" t="s">
        <v>68</v>
      </c>
      <c r="B16" s="790" t="s">
        <v>111</v>
      </c>
      <c r="C16" s="15" t="s">
        <v>85</v>
      </c>
      <c r="D16" s="15">
        <v>60</v>
      </c>
      <c r="E16" s="874">
        <f t="shared" si="0"/>
        <v>125.45</v>
      </c>
      <c r="F16" s="286">
        <v>125.5</v>
      </c>
      <c r="H16" s="45"/>
      <c r="I16" s="320" t="s">
        <v>605</v>
      </c>
      <c r="J16" s="32" t="s">
        <v>606</v>
      </c>
      <c r="K16" s="32">
        <f>2.3*20</f>
        <v>46</v>
      </c>
      <c r="L16" s="28">
        <f>ROUND(K16/O2,2)</f>
        <v>0.26</v>
      </c>
      <c r="M16" s="321" t="s">
        <v>868</v>
      </c>
      <c r="O16" s="46"/>
      <c r="P16" s="44"/>
      <c r="Q16" s="1227"/>
      <c r="R16" s="1231"/>
      <c r="S16" s="1068"/>
      <c r="T16" s="1231"/>
      <c r="U16" s="37"/>
    </row>
    <row r="17" spans="1:22" ht="28.15" customHeight="1">
      <c r="A17" s="13" t="s">
        <v>173</v>
      </c>
      <c r="B17" s="790" t="s">
        <v>113</v>
      </c>
      <c r="C17" s="15" t="s">
        <v>114</v>
      </c>
      <c r="D17" s="15">
        <v>90</v>
      </c>
      <c r="E17" s="874">
        <f t="shared" si="0"/>
        <v>188.18</v>
      </c>
      <c r="F17" s="286">
        <v>188.2</v>
      </c>
      <c r="H17" s="45"/>
      <c r="I17" s="320" t="s">
        <v>989</v>
      </c>
      <c r="J17" s="32" t="s">
        <v>606</v>
      </c>
      <c r="K17" s="32">
        <f>4*14.59</f>
        <v>58.36</v>
      </c>
      <c r="L17" s="28">
        <f>ROUND(K17/O2,2)</f>
        <v>0.34</v>
      </c>
      <c r="M17" s="321" t="s">
        <v>867</v>
      </c>
      <c r="U17" s="1227"/>
      <c r="V17" s="1227"/>
    </row>
    <row r="18" spans="1:22" ht="29.45" customHeight="1">
      <c r="A18" s="13" t="s">
        <v>174</v>
      </c>
      <c r="B18" s="790" t="s">
        <v>116</v>
      </c>
      <c r="C18" s="15" t="s">
        <v>85</v>
      </c>
      <c r="D18" s="15">
        <v>22</v>
      </c>
      <c r="E18" s="874">
        <f t="shared" si="0"/>
        <v>46</v>
      </c>
      <c r="F18" s="286">
        <v>46</v>
      </c>
      <c r="H18" s="48"/>
      <c r="I18" s="48" t="s">
        <v>869</v>
      </c>
      <c r="J18" s="32" t="s">
        <v>870</v>
      </c>
      <c r="K18" s="709">
        <f>(1*310)/3</f>
        <v>103.33333333333333</v>
      </c>
      <c r="L18" s="28">
        <f>ROUND(K18/N2,2)</f>
        <v>0.05</v>
      </c>
      <c r="M18" s="798" t="s">
        <v>873</v>
      </c>
      <c r="U18" s="1227"/>
      <c r="V18" s="1227"/>
    </row>
    <row r="19" spans="1:22" ht="34.9" customHeight="1">
      <c r="A19" s="537" t="s">
        <v>175</v>
      </c>
      <c r="B19" s="14" t="s">
        <v>117</v>
      </c>
      <c r="C19" s="879" t="s">
        <v>118</v>
      </c>
      <c r="D19" s="280">
        <v>42</v>
      </c>
      <c r="E19" s="880">
        <f t="shared" si="0"/>
        <v>87.82</v>
      </c>
      <c r="F19" s="233">
        <v>87.8</v>
      </c>
      <c r="H19" s="48"/>
      <c r="I19" s="48" t="s">
        <v>871</v>
      </c>
      <c r="J19" s="32" t="s">
        <v>872</v>
      </c>
      <c r="K19" s="32">
        <v>280</v>
      </c>
      <c r="L19" s="28">
        <f>ROUND(K19/N2,2)</f>
        <v>0.13</v>
      </c>
      <c r="M19" s="789" t="s">
        <v>1002</v>
      </c>
      <c r="O19" s="44"/>
      <c r="P19" s="44"/>
      <c r="Q19" s="37"/>
      <c r="R19" s="35"/>
      <c r="S19" s="37"/>
      <c r="T19" s="37"/>
      <c r="U19" s="51"/>
      <c r="V19" s="37"/>
    </row>
    <row r="20" spans="1:22">
      <c r="A20" s="13"/>
      <c r="B20" s="876" t="s">
        <v>119</v>
      </c>
      <c r="C20" s="29" t="s">
        <v>120</v>
      </c>
      <c r="D20" s="15">
        <v>20</v>
      </c>
      <c r="E20" s="874">
        <f t="shared" si="0"/>
        <v>41.82</v>
      </c>
      <c r="F20" s="286">
        <v>41.8</v>
      </c>
      <c r="H20" s="37"/>
      <c r="L20" s="54"/>
      <c r="M20" s="316"/>
      <c r="O20" s="44"/>
      <c r="P20" s="44"/>
      <c r="Q20" s="37"/>
      <c r="R20" s="35"/>
      <c r="S20" s="37"/>
      <c r="T20" s="37"/>
      <c r="U20" s="51"/>
      <c r="V20" s="37"/>
    </row>
    <row r="21" spans="1:22">
      <c r="A21" s="13" t="s">
        <v>176</v>
      </c>
      <c r="B21" s="21" t="s">
        <v>121</v>
      </c>
      <c r="C21" s="15" t="s">
        <v>114</v>
      </c>
      <c r="D21" s="15">
        <v>6</v>
      </c>
      <c r="E21" s="874">
        <f t="shared" si="0"/>
        <v>12.55</v>
      </c>
      <c r="F21" s="286">
        <v>12.6</v>
      </c>
      <c r="H21" s="1257" t="s">
        <v>600</v>
      </c>
      <c r="I21" s="1258"/>
      <c r="J21" s="781"/>
      <c r="K21" s="782"/>
      <c r="L21" s="47">
        <f>ROUND(L10+L11,2)</f>
        <v>125.45</v>
      </c>
      <c r="M21" s="32" t="s">
        <v>1067</v>
      </c>
      <c r="O21" s="49"/>
      <c r="P21" s="44"/>
      <c r="Q21" s="37"/>
      <c r="R21" s="50"/>
      <c r="S21" s="37"/>
      <c r="T21" s="37"/>
      <c r="U21" s="51"/>
      <c r="V21" s="37"/>
    </row>
    <row r="22" spans="1:22">
      <c r="A22" s="13" t="s">
        <v>177</v>
      </c>
      <c r="B22" s="790" t="s">
        <v>122</v>
      </c>
      <c r="C22" s="29" t="s">
        <v>123</v>
      </c>
      <c r="D22" s="15">
        <v>45</v>
      </c>
      <c r="E22" s="874">
        <f t="shared" si="0"/>
        <v>94.09</v>
      </c>
      <c r="F22" s="286">
        <v>94.1</v>
      </c>
      <c r="J22" s="37"/>
      <c r="K22" s="51"/>
      <c r="L22" s="51"/>
      <c r="M22" s="295"/>
      <c r="O22" s="49"/>
      <c r="P22" s="44"/>
      <c r="Q22" s="37"/>
      <c r="S22" s="56"/>
      <c r="T22" s="37"/>
      <c r="U22" s="37"/>
    </row>
    <row r="23" spans="1:22">
      <c r="A23" s="24" t="s">
        <v>178</v>
      </c>
      <c r="B23" s="25" t="s">
        <v>83</v>
      </c>
      <c r="C23" s="31"/>
      <c r="D23" s="15"/>
      <c r="E23" s="874"/>
      <c r="F23" s="286"/>
      <c r="I23" s="50"/>
      <c r="J23" s="37"/>
      <c r="L23" s="51"/>
      <c r="M23" s="295"/>
      <c r="O23" s="49"/>
      <c r="P23" s="44"/>
      <c r="Q23" s="37"/>
      <c r="R23" s="35"/>
      <c r="S23" s="53"/>
      <c r="T23" s="37"/>
      <c r="U23" s="51"/>
    </row>
    <row r="24" spans="1:22" ht="31.5">
      <c r="A24" s="13" t="s">
        <v>179</v>
      </c>
      <c r="B24" s="14" t="s">
        <v>180</v>
      </c>
      <c r="C24" s="15" t="s">
        <v>85</v>
      </c>
      <c r="D24" s="15">
        <v>15</v>
      </c>
      <c r="E24" s="874">
        <f t="shared" ref="E24:E42" si="1">ROUND($L$21/60*D24,2)</f>
        <v>31.36</v>
      </c>
      <c r="F24" s="286">
        <v>31.4</v>
      </c>
      <c r="H24" s="295" t="s">
        <v>23</v>
      </c>
      <c r="J24" s="37"/>
      <c r="L24" s="51" t="s">
        <v>51</v>
      </c>
      <c r="M24" s="37"/>
      <c r="O24" s="49"/>
      <c r="P24" s="44"/>
      <c r="Q24" s="37"/>
      <c r="R24" s="50"/>
      <c r="S24" s="37"/>
      <c r="T24" s="51"/>
      <c r="U24" s="51"/>
      <c r="V24" s="37"/>
    </row>
    <row r="25" spans="1:22" ht="31.5">
      <c r="A25" s="13" t="s">
        <v>107</v>
      </c>
      <c r="B25" s="14" t="s">
        <v>181</v>
      </c>
      <c r="C25" s="15" t="s">
        <v>85</v>
      </c>
      <c r="D25" s="15">
        <v>15</v>
      </c>
      <c r="E25" s="874">
        <f t="shared" si="1"/>
        <v>31.36</v>
      </c>
      <c r="F25" s="286">
        <v>31.4</v>
      </c>
      <c r="O25" s="49"/>
      <c r="P25" s="44"/>
      <c r="Q25" s="37"/>
      <c r="R25" s="50"/>
      <c r="S25" s="37"/>
      <c r="T25" s="51"/>
      <c r="U25" s="51"/>
      <c r="V25" s="37"/>
    </row>
    <row r="26" spans="1:22">
      <c r="A26" s="13" t="s">
        <v>182</v>
      </c>
      <c r="B26" s="14" t="s">
        <v>91</v>
      </c>
      <c r="C26" s="15" t="s">
        <v>85</v>
      </c>
      <c r="D26" s="15">
        <v>15</v>
      </c>
      <c r="E26" s="874">
        <f t="shared" si="1"/>
        <v>31.36</v>
      </c>
      <c r="F26" s="286">
        <v>31.4</v>
      </c>
      <c r="O26" s="44"/>
      <c r="P26" s="44"/>
      <c r="Q26" s="37"/>
      <c r="R26" s="50"/>
      <c r="S26" s="37"/>
      <c r="T26" s="51"/>
      <c r="U26" s="51"/>
      <c r="V26" s="37"/>
    </row>
    <row r="27" spans="1:22">
      <c r="A27" s="13" t="s">
        <v>112</v>
      </c>
      <c r="B27" s="14" t="s">
        <v>92</v>
      </c>
      <c r="C27" s="15" t="s">
        <v>85</v>
      </c>
      <c r="D27" s="15">
        <v>20</v>
      </c>
      <c r="E27" s="874">
        <f t="shared" si="1"/>
        <v>41.82</v>
      </c>
      <c r="F27" s="286">
        <v>41.8</v>
      </c>
      <c r="H27" s="49"/>
      <c r="I27" s="44"/>
      <c r="J27" s="37"/>
      <c r="K27" s="50"/>
      <c r="M27" s="51"/>
      <c r="N27" s="51"/>
      <c r="O27" s="37"/>
    </row>
    <row r="28" spans="1:22">
      <c r="A28" s="13" t="s">
        <v>115</v>
      </c>
      <c r="B28" s="14" t="s">
        <v>93</v>
      </c>
      <c r="C28" s="15" t="s">
        <v>85</v>
      </c>
      <c r="D28" s="15">
        <v>20</v>
      </c>
      <c r="E28" s="874">
        <f t="shared" si="1"/>
        <v>41.82</v>
      </c>
      <c r="F28" s="286">
        <v>41.8</v>
      </c>
      <c r="H28" s="1226"/>
      <c r="I28" s="1226"/>
      <c r="K28" s="33"/>
      <c r="L28" s="33"/>
      <c r="N28" s="51"/>
      <c r="O28" s="37"/>
    </row>
    <row r="29" spans="1:22" ht="18" customHeight="1">
      <c r="A29" s="13" t="s">
        <v>183</v>
      </c>
      <c r="B29" s="14" t="s">
        <v>84</v>
      </c>
      <c r="C29" s="29" t="s">
        <v>85</v>
      </c>
      <c r="D29" s="15">
        <v>60</v>
      </c>
      <c r="E29" s="874">
        <f t="shared" si="1"/>
        <v>125.45</v>
      </c>
      <c r="F29" s="286">
        <v>125.5</v>
      </c>
      <c r="H29" s="1227"/>
      <c r="I29" s="1227"/>
      <c r="J29" s="1227"/>
      <c r="K29" s="1227"/>
      <c r="L29" s="1231"/>
      <c r="M29" s="1227"/>
      <c r="N29" s="51"/>
      <c r="O29" s="37"/>
    </row>
    <row r="30" spans="1:22" ht="15.6" customHeight="1">
      <c r="A30" s="13" t="s">
        <v>184</v>
      </c>
      <c r="B30" s="14" t="s">
        <v>94</v>
      </c>
      <c r="C30" s="15" t="s">
        <v>85</v>
      </c>
      <c r="D30" s="15">
        <v>15</v>
      </c>
      <c r="E30" s="874">
        <f t="shared" si="1"/>
        <v>31.36</v>
      </c>
      <c r="F30" s="286">
        <v>31.4</v>
      </c>
      <c r="H30" s="1227"/>
      <c r="I30" s="1227"/>
      <c r="J30" s="1227"/>
      <c r="K30" s="1227"/>
      <c r="L30" s="1231"/>
      <c r="M30" s="1227"/>
      <c r="N30" s="51"/>
      <c r="O30" s="37"/>
    </row>
    <row r="31" spans="1:22">
      <c r="A31" s="13" t="s">
        <v>185</v>
      </c>
      <c r="B31" s="14" t="s">
        <v>86</v>
      </c>
      <c r="C31" s="15" t="s">
        <v>85</v>
      </c>
      <c r="D31" s="15">
        <v>15</v>
      </c>
      <c r="E31" s="874">
        <f t="shared" si="1"/>
        <v>31.36</v>
      </c>
      <c r="F31" s="286">
        <v>31.4</v>
      </c>
      <c r="H31" s="37"/>
      <c r="I31" s="1231"/>
      <c r="J31" s="1231"/>
      <c r="K31" s="1231"/>
      <c r="L31" s="51"/>
      <c r="M31" s="37"/>
      <c r="N31" s="51"/>
      <c r="O31" s="37"/>
    </row>
    <row r="32" spans="1:22">
      <c r="A32" s="13" t="s">
        <v>186</v>
      </c>
      <c r="B32" s="14" t="s">
        <v>87</v>
      </c>
      <c r="C32" s="15" t="s">
        <v>85</v>
      </c>
      <c r="D32" s="15">
        <v>10</v>
      </c>
      <c r="E32" s="874">
        <f t="shared" si="1"/>
        <v>20.91</v>
      </c>
      <c r="F32" s="286">
        <v>20.9</v>
      </c>
      <c r="H32" s="41"/>
      <c r="I32" s="1229"/>
      <c r="J32" s="1229"/>
      <c r="K32" s="309"/>
      <c r="L32" s="310"/>
      <c r="M32" s="314"/>
      <c r="N32" s="51"/>
      <c r="O32" s="37"/>
    </row>
    <row r="33" spans="1:16" ht="15.75" customHeight="1">
      <c r="A33" s="13" t="s">
        <v>187</v>
      </c>
      <c r="B33" s="14" t="s">
        <v>88</v>
      </c>
      <c r="C33" s="15" t="s">
        <v>85</v>
      </c>
      <c r="D33" s="15">
        <v>20</v>
      </c>
      <c r="E33" s="874">
        <f t="shared" si="1"/>
        <v>41.82</v>
      </c>
      <c r="F33" s="286">
        <v>41.8</v>
      </c>
      <c r="H33" s="41"/>
      <c r="I33" s="1239"/>
      <c r="J33" s="1239"/>
      <c r="K33" s="311"/>
      <c r="L33" s="310"/>
      <c r="M33" s="314"/>
      <c r="N33" s="37"/>
    </row>
    <row r="34" spans="1:16">
      <c r="A34" s="13" t="s">
        <v>188</v>
      </c>
      <c r="B34" s="14" t="s">
        <v>189</v>
      </c>
      <c r="C34" s="15" t="s">
        <v>85</v>
      </c>
      <c r="D34" s="15">
        <v>20</v>
      </c>
      <c r="E34" s="874">
        <f t="shared" si="1"/>
        <v>41.82</v>
      </c>
      <c r="F34" s="286">
        <v>41.8</v>
      </c>
      <c r="H34" s="41"/>
      <c r="I34" s="1240"/>
      <c r="J34" s="1240"/>
      <c r="K34" s="311"/>
      <c r="L34" s="310"/>
      <c r="M34" s="314"/>
      <c r="N34" s="51"/>
      <c r="O34" s="37"/>
    </row>
    <row r="35" spans="1:16" ht="31.5">
      <c r="A35" s="13" t="s">
        <v>190</v>
      </c>
      <c r="B35" s="14" t="s">
        <v>89</v>
      </c>
      <c r="C35" s="15" t="s">
        <v>85</v>
      </c>
      <c r="D35" s="15">
        <v>20</v>
      </c>
      <c r="E35" s="874">
        <f t="shared" si="1"/>
        <v>41.82</v>
      </c>
      <c r="F35" s="286">
        <v>41.8</v>
      </c>
      <c r="H35" s="41"/>
      <c r="I35" s="1255"/>
      <c r="J35" s="1255"/>
      <c r="K35" s="311"/>
      <c r="L35" s="310"/>
      <c r="M35" s="315"/>
    </row>
    <row r="36" spans="1:16">
      <c r="A36" s="13" t="s">
        <v>191</v>
      </c>
      <c r="B36" s="14" t="s">
        <v>100</v>
      </c>
      <c r="C36" s="15" t="s">
        <v>85</v>
      </c>
      <c r="D36" s="15">
        <v>40</v>
      </c>
      <c r="E36" s="874">
        <f t="shared" si="1"/>
        <v>83.63</v>
      </c>
      <c r="F36" s="286">
        <v>83.6</v>
      </c>
      <c r="H36" s="41"/>
      <c r="I36" s="1229"/>
      <c r="J36" s="1229"/>
      <c r="K36" s="311"/>
      <c r="L36" s="310"/>
      <c r="M36" s="315"/>
      <c r="O36" s="46"/>
      <c r="P36" s="44"/>
    </row>
    <row r="37" spans="1:16">
      <c r="A37" s="13" t="s">
        <v>192</v>
      </c>
      <c r="B37" s="14" t="s">
        <v>96</v>
      </c>
      <c r="C37" s="15" t="s">
        <v>85</v>
      </c>
      <c r="D37" s="15">
        <v>30</v>
      </c>
      <c r="E37" s="874">
        <f t="shared" si="1"/>
        <v>62.73</v>
      </c>
      <c r="F37" s="286">
        <v>62.7</v>
      </c>
      <c r="H37" s="41"/>
      <c r="I37" s="1229"/>
      <c r="J37" s="1229"/>
      <c r="K37" s="318"/>
      <c r="L37" s="310"/>
      <c r="M37" s="314"/>
    </row>
    <row r="38" spans="1:16">
      <c r="A38" s="13" t="s">
        <v>193</v>
      </c>
      <c r="B38" s="14" t="s">
        <v>97</v>
      </c>
      <c r="C38" s="15" t="s">
        <v>85</v>
      </c>
      <c r="D38" s="15">
        <v>24</v>
      </c>
      <c r="E38" s="874">
        <f t="shared" si="1"/>
        <v>50.18</v>
      </c>
      <c r="F38" s="286">
        <v>50.2</v>
      </c>
      <c r="H38" s="41"/>
      <c r="I38" s="1229"/>
      <c r="J38" s="1229"/>
      <c r="K38" s="319"/>
      <c r="L38" s="310"/>
      <c r="M38" s="314"/>
    </row>
    <row r="39" spans="1:16" ht="17.45" customHeight="1">
      <c r="A39" s="13" t="s">
        <v>194</v>
      </c>
      <c r="B39" s="14" t="s">
        <v>98</v>
      </c>
      <c r="C39" s="15" t="s">
        <v>85</v>
      </c>
      <c r="D39" s="15">
        <v>45</v>
      </c>
      <c r="E39" s="874">
        <f t="shared" si="1"/>
        <v>94.09</v>
      </c>
      <c r="F39" s="286">
        <v>94.1</v>
      </c>
      <c r="I39" s="316"/>
      <c r="J39" s="316"/>
      <c r="M39" s="316"/>
    </row>
    <row r="40" spans="1:16" ht="15.6" customHeight="1">
      <c r="A40" s="13" t="s">
        <v>195</v>
      </c>
      <c r="B40" s="14" t="s">
        <v>101</v>
      </c>
      <c r="C40" s="15" t="s">
        <v>85</v>
      </c>
      <c r="D40" s="15">
        <v>30</v>
      </c>
      <c r="E40" s="874">
        <f t="shared" si="1"/>
        <v>62.73</v>
      </c>
      <c r="F40" s="286">
        <v>62.7</v>
      </c>
      <c r="H40" s="37"/>
      <c r="I40" s="1230"/>
      <c r="J40" s="1230"/>
      <c r="K40" s="313"/>
      <c r="L40" s="51"/>
      <c r="M40" s="295"/>
      <c r="O40" s="46"/>
      <c r="P40" s="44"/>
    </row>
    <row r="41" spans="1:16">
      <c r="A41" s="13" t="s">
        <v>196</v>
      </c>
      <c r="B41" s="14" t="s">
        <v>99</v>
      </c>
      <c r="C41" s="15" t="s">
        <v>85</v>
      </c>
      <c r="D41" s="15">
        <v>30</v>
      </c>
      <c r="E41" s="874">
        <f t="shared" si="1"/>
        <v>62.73</v>
      </c>
      <c r="F41" s="286">
        <v>62.7</v>
      </c>
      <c r="H41" s="50"/>
      <c r="I41" s="50"/>
      <c r="J41" s="50"/>
      <c r="L41" s="51"/>
      <c r="M41" s="295"/>
      <c r="N41" s="46"/>
      <c r="O41" s="44"/>
    </row>
    <row r="42" spans="1:16" ht="21" customHeight="1">
      <c r="A42" s="24" t="s">
        <v>197</v>
      </c>
      <c r="B42" s="25" t="s">
        <v>124</v>
      </c>
      <c r="C42" s="15" t="s">
        <v>85</v>
      </c>
      <c r="D42" s="15">
        <v>15</v>
      </c>
      <c r="E42" s="874">
        <f t="shared" si="1"/>
        <v>31.36</v>
      </c>
      <c r="F42" s="286">
        <v>31.4</v>
      </c>
      <c r="H42" s="1231"/>
      <c r="I42" s="1231"/>
      <c r="J42" s="1231"/>
      <c r="L42" s="54"/>
      <c r="M42" s="316"/>
      <c r="O42" s="46"/>
      <c r="P42" s="44"/>
    </row>
    <row r="43" spans="1:16" ht="34.9" customHeight="1">
      <c r="A43" s="24" t="s">
        <v>198</v>
      </c>
      <c r="B43" s="25" t="s">
        <v>125</v>
      </c>
      <c r="C43" s="876"/>
      <c r="D43" s="876"/>
      <c r="E43" s="874"/>
      <c r="F43" s="286"/>
      <c r="H43" s="37"/>
      <c r="I43" s="1228"/>
      <c r="J43" s="1228"/>
      <c r="L43" s="54"/>
      <c r="M43" s="316"/>
      <c r="O43" s="46"/>
      <c r="P43" s="44"/>
    </row>
    <row r="44" spans="1:16" ht="33.6" customHeight="1">
      <c r="A44" s="13" t="s">
        <v>126</v>
      </c>
      <c r="B44" s="64" t="s">
        <v>127</v>
      </c>
      <c r="C44" s="29" t="s">
        <v>114</v>
      </c>
      <c r="D44" s="15">
        <v>15</v>
      </c>
      <c r="E44" s="874">
        <f>ROUND($L$21/60*D44,2)</f>
        <v>31.36</v>
      </c>
      <c r="F44" s="286">
        <v>31.4</v>
      </c>
      <c r="I44" s="50"/>
      <c r="J44" s="37"/>
      <c r="K44" s="51"/>
      <c r="L44" s="51"/>
      <c r="M44" s="295"/>
      <c r="O44" s="46"/>
      <c r="P44" s="44"/>
    </row>
    <row r="45" spans="1:16">
      <c r="A45" s="13" t="s">
        <v>128</v>
      </c>
      <c r="B45" s="878" t="s">
        <v>129</v>
      </c>
      <c r="C45" s="29" t="s">
        <v>114</v>
      </c>
      <c r="D45" s="15">
        <v>84</v>
      </c>
      <c r="E45" s="874">
        <f>ROUND($L$21/60*D45,2)</f>
        <v>175.63</v>
      </c>
      <c r="F45" s="286">
        <v>175.6</v>
      </c>
      <c r="I45" s="50"/>
      <c r="J45" s="37"/>
      <c r="K45" s="51"/>
      <c r="L45" s="51"/>
      <c r="M45" s="295"/>
      <c r="O45" s="46"/>
      <c r="P45" s="44"/>
    </row>
    <row r="46" spans="1:16" ht="47.25">
      <c r="A46" s="13" t="s">
        <v>130</v>
      </c>
      <c r="B46" s="831" t="s">
        <v>131</v>
      </c>
      <c r="C46" s="29" t="s">
        <v>114</v>
      </c>
      <c r="D46" s="15">
        <v>45</v>
      </c>
      <c r="E46" s="874">
        <f>ROUND($L$21/60*D46,2)</f>
        <v>94.09</v>
      </c>
      <c r="F46" s="286">
        <v>94.1</v>
      </c>
      <c r="H46" s="1226" t="s">
        <v>80</v>
      </c>
      <c r="I46" s="1226"/>
      <c r="J46" s="37"/>
      <c r="L46" s="51"/>
      <c r="M46" s="295"/>
      <c r="O46" s="46"/>
      <c r="P46" s="44"/>
    </row>
    <row r="47" spans="1:16" ht="76.150000000000006" customHeight="1">
      <c r="A47" s="13" t="s">
        <v>132</v>
      </c>
      <c r="B47" s="64" t="s">
        <v>133</v>
      </c>
      <c r="C47" s="29" t="s">
        <v>114</v>
      </c>
      <c r="D47" s="15">
        <v>72</v>
      </c>
      <c r="E47" s="874">
        <f>ROUND($L$21/60*D47,2)</f>
        <v>150.54</v>
      </c>
      <c r="F47" s="286">
        <v>150.5</v>
      </c>
      <c r="H47" s="18" t="s">
        <v>296</v>
      </c>
      <c r="I47" s="1244" t="s">
        <v>786</v>
      </c>
      <c r="J47" s="1245"/>
      <c r="K47" s="1246"/>
      <c r="L47" s="471" t="s">
        <v>81</v>
      </c>
      <c r="M47" s="289" t="s">
        <v>82</v>
      </c>
      <c r="O47" s="46"/>
      <c r="P47" s="44"/>
    </row>
    <row r="48" spans="1:16" ht="31.5">
      <c r="A48" s="13" t="s">
        <v>134</v>
      </c>
      <c r="B48" s="64" t="s">
        <v>135</v>
      </c>
      <c r="C48" s="29" t="s">
        <v>114</v>
      </c>
      <c r="D48" s="15">
        <v>20</v>
      </c>
      <c r="E48" s="874">
        <f>ROUND($L$21/60*D48,2)</f>
        <v>41.82</v>
      </c>
      <c r="F48" s="286">
        <v>41.8</v>
      </c>
      <c r="H48" s="6" t="s">
        <v>296</v>
      </c>
      <c r="I48" s="1241" t="s">
        <v>740</v>
      </c>
      <c r="J48" s="1242"/>
      <c r="K48" s="203">
        <f>ЗВЕДЕНИЙ!V28</f>
        <v>158787.89189323998</v>
      </c>
      <c r="L48" s="203">
        <f>ROUND(K48/12/N58,2)</f>
        <v>76.05</v>
      </c>
      <c r="M48" s="790" t="s">
        <v>1068</v>
      </c>
      <c r="O48" s="46"/>
      <c r="P48" s="44"/>
    </row>
    <row r="49" spans="1:16">
      <c r="A49" s="24" t="s">
        <v>199</v>
      </c>
      <c r="B49" s="881" t="s">
        <v>137</v>
      </c>
      <c r="C49" s="29"/>
      <c r="D49" s="15"/>
      <c r="E49" s="874"/>
      <c r="F49" s="286"/>
      <c r="H49" s="6" t="s">
        <v>219</v>
      </c>
      <c r="I49" s="1243" t="s">
        <v>482</v>
      </c>
      <c r="J49" s="1243"/>
      <c r="K49" s="442">
        <v>0.22</v>
      </c>
      <c r="L49" s="203">
        <f>ROUND(L48*22%,2)</f>
        <v>16.73</v>
      </c>
      <c r="M49" s="790" t="s">
        <v>1069</v>
      </c>
      <c r="O49" s="46"/>
      <c r="P49" s="44"/>
    </row>
    <row r="50" spans="1:16">
      <c r="A50" s="58" t="s">
        <v>138</v>
      </c>
      <c r="B50" s="790" t="s">
        <v>139</v>
      </c>
      <c r="C50" s="29"/>
      <c r="D50" s="15"/>
      <c r="E50" s="874"/>
      <c r="F50" s="286"/>
      <c r="H50" s="45"/>
      <c r="I50" s="1232"/>
      <c r="J50" s="1232"/>
      <c r="K50" s="442"/>
      <c r="L50" s="443"/>
      <c r="M50" s="790"/>
      <c r="O50" s="46"/>
      <c r="P50" s="44"/>
    </row>
    <row r="51" spans="1:16">
      <c r="A51" s="58"/>
      <c r="B51" s="72" t="s">
        <v>200</v>
      </c>
      <c r="C51" s="15" t="s">
        <v>85</v>
      </c>
      <c r="D51" s="15">
        <v>15</v>
      </c>
      <c r="E51" s="874">
        <f t="shared" ref="E51:E56" si="2">ROUND($L$21/60*D51,2)</f>
        <v>31.36</v>
      </c>
      <c r="F51" s="286">
        <v>31.4</v>
      </c>
      <c r="H51" s="6" t="s">
        <v>223</v>
      </c>
      <c r="I51" s="1232" t="s">
        <v>56</v>
      </c>
      <c r="J51" s="1232"/>
      <c r="K51" s="586">
        <v>0.15</v>
      </c>
      <c r="L51" s="197">
        <f>ROUND((L48+L49)*15%,2)</f>
        <v>13.92</v>
      </c>
      <c r="M51" s="21" t="s">
        <v>1070</v>
      </c>
      <c r="O51" s="46"/>
      <c r="P51" s="44"/>
    </row>
    <row r="52" spans="1:16">
      <c r="A52" s="13"/>
      <c r="B52" s="72" t="s">
        <v>201</v>
      </c>
      <c r="C52" s="15" t="s">
        <v>85</v>
      </c>
      <c r="D52" s="58">
        <v>15</v>
      </c>
      <c r="E52" s="874">
        <f t="shared" si="2"/>
        <v>31.36</v>
      </c>
      <c r="F52" s="286">
        <v>31.4</v>
      </c>
      <c r="H52" s="6"/>
      <c r="K52" s="33"/>
      <c r="L52" s="33"/>
      <c r="M52" s="787"/>
      <c r="O52" s="46"/>
      <c r="P52" s="44"/>
    </row>
    <row r="53" spans="1:16">
      <c r="A53" s="13"/>
      <c r="B53" s="72" t="s">
        <v>202</v>
      </c>
      <c r="C53" s="15" t="s">
        <v>85</v>
      </c>
      <c r="D53" s="58">
        <v>15</v>
      </c>
      <c r="E53" s="874">
        <f t="shared" si="2"/>
        <v>31.36</v>
      </c>
      <c r="F53" s="286">
        <v>31.4</v>
      </c>
      <c r="H53" s="6"/>
      <c r="I53" s="941" t="s">
        <v>600</v>
      </c>
      <c r="J53" s="942"/>
      <c r="K53" s="943"/>
      <c r="L53" s="443">
        <f>ROUND(L48+L49+L50+L51,2)</f>
        <v>106.7</v>
      </c>
      <c r="M53" s="444" t="s">
        <v>1071</v>
      </c>
      <c r="O53" s="46"/>
      <c r="P53" s="44"/>
    </row>
    <row r="54" spans="1:16">
      <c r="A54" s="13"/>
      <c r="B54" s="72" t="s">
        <v>203</v>
      </c>
      <c r="C54" s="15" t="s">
        <v>85</v>
      </c>
      <c r="D54" s="58">
        <v>20</v>
      </c>
      <c r="E54" s="874">
        <f t="shared" si="2"/>
        <v>41.82</v>
      </c>
      <c r="F54" s="286">
        <v>41.8</v>
      </c>
      <c r="H54" s="37"/>
      <c r="I54" s="50"/>
      <c r="J54" s="37"/>
      <c r="L54" s="52"/>
      <c r="M54" s="37"/>
      <c r="O54" s="46"/>
      <c r="P54" s="44"/>
    </row>
    <row r="55" spans="1:16">
      <c r="A55" s="13"/>
      <c r="B55" s="882" t="s">
        <v>963</v>
      </c>
      <c r="C55" s="15" t="s">
        <v>85</v>
      </c>
      <c r="D55" s="58">
        <v>20</v>
      </c>
      <c r="E55" s="874">
        <f t="shared" si="2"/>
        <v>41.82</v>
      </c>
      <c r="F55" s="286">
        <v>41.8</v>
      </c>
      <c r="H55" s="37"/>
      <c r="I55" s="50"/>
      <c r="J55" s="37"/>
      <c r="L55" s="52"/>
      <c r="M55" s="37"/>
      <c r="O55" s="46"/>
      <c r="P55" s="44"/>
    </row>
    <row r="56" spans="1:16">
      <c r="A56" s="13"/>
      <c r="B56" s="882" t="s">
        <v>964</v>
      </c>
      <c r="C56" s="15" t="s">
        <v>85</v>
      </c>
      <c r="D56" s="58">
        <v>20</v>
      </c>
      <c r="E56" s="874">
        <f t="shared" si="2"/>
        <v>41.82</v>
      </c>
      <c r="F56" s="286">
        <v>41.8</v>
      </c>
      <c r="H56" s="37"/>
      <c r="I56" s="50"/>
      <c r="J56" s="37"/>
      <c r="L56" s="52"/>
      <c r="M56" s="37"/>
      <c r="O56" s="46"/>
      <c r="P56" s="44"/>
    </row>
    <row r="57" spans="1:16" ht="31.5">
      <c r="A57" s="24" t="s">
        <v>204</v>
      </c>
      <c r="B57" s="883" t="s">
        <v>140</v>
      </c>
      <c r="C57" s="876"/>
      <c r="D57" s="15"/>
      <c r="E57" s="874"/>
      <c r="F57" s="286"/>
      <c r="H57" s="37"/>
      <c r="I57" s="35"/>
      <c r="J57" s="53"/>
      <c r="L57" s="54"/>
      <c r="M57" s="37"/>
      <c r="O57" s="46"/>
      <c r="P57" s="44"/>
    </row>
    <row r="58" spans="1:16" ht="45" customHeight="1">
      <c r="A58" s="13" t="s">
        <v>141</v>
      </c>
      <c r="B58" s="21" t="s">
        <v>142</v>
      </c>
      <c r="C58" s="15" t="s">
        <v>85</v>
      </c>
      <c r="D58" s="15">
        <v>45</v>
      </c>
      <c r="E58" s="874">
        <f>ROUND($L$21/60*D58,2)</f>
        <v>94.09</v>
      </c>
      <c r="F58" s="286">
        <v>94.1</v>
      </c>
      <c r="N58" s="33">
        <v>174</v>
      </c>
      <c r="O58" s="46"/>
      <c r="P58" s="44">
        <f>ЗВЕДЕНИЙ!V28</f>
        <v>158787.89189323998</v>
      </c>
    </row>
    <row r="59" spans="1:16" ht="31.5">
      <c r="A59" s="13" t="s">
        <v>143</v>
      </c>
      <c r="B59" s="21" t="s">
        <v>144</v>
      </c>
      <c r="C59" s="15" t="s">
        <v>85</v>
      </c>
      <c r="D59" s="15">
        <v>45</v>
      </c>
      <c r="E59" s="874">
        <f>ROUND($L$21/60*D59,2)</f>
        <v>94.09</v>
      </c>
      <c r="F59" s="286">
        <v>94.1</v>
      </c>
      <c r="O59" s="46"/>
      <c r="P59" s="44"/>
    </row>
    <row r="60" spans="1:16">
      <c r="A60" s="24" t="s">
        <v>205</v>
      </c>
      <c r="B60" s="884" t="s">
        <v>145</v>
      </c>
      <c r="C60" s="62"/>
      <c r="D60" s="62"/>
      <c r="E60" s="874"/>
      <c r="F60" s="286"/>
      <c r="O60" s="46"/>
      <c r="P60" s="44"/>
    </row>
    <row r="61" spans="1:16">
      <c r="A61" s="22" t="s">
        <v>146</v>
      </c>
      <c r="B61" s="876" t="s">
        <v>147</v>
      </c>
      <c r="C61" s="15" t="s">
        <v>85</v>
      </c>
      <c r="D61" s="15">
        <v>30</v>
      </c>
      <c r="E61" s="874">
        <f>ROUND($L$21/60*D61,2)</f>
        <v>62.73</v>
      </c>
      <c r="F61" s="286">
        <v>62.7</v>
      </c>
      <c r="O61" s="46"/>
      <c r="P61" s="44"/>
    </row>
    <row r="62" spans="1:16" ht="63">
      <c r="A62" s="885" t="s">
        <v>148</v>
      </c>
      <c r="B62" s="582" t="s">
        <v>702</v>
      </c>
      <c r="C62" s="885" t="s">
        <v>85</v>
      </c>
      <c r="D62" s="885">
        <v>30</v>
      </c>
      <c r="E62" s="886">
        <f>ROUND($L$53/60*D62,2)</f>
        <v>53.35</v>
      </c>
      <c r="F62" s="583">
        <v>53.4</v>
      </c>
      <c r="O62" s="46"/>
      <c r="P62" s="44"/>
    </row>
    <row r="63" spans="1:16" ht="31.5">
      <c r="A63" s="584" t="s">
        <v>700</v>
      </c>
      <c r="B63" s="887" t="s">
        <v>479</v>
      </c>
      <c r="C63" s="885" t="s">
        <v>85</v>
      </c>
      <c r="D63" s="885">
        <v>60</v>
      </c>
      <c r="E63" s="886">
        <f>ROUND($L$53/60*D63,2)</f>
        <v>106.7</v>
      </c>
      <c r="F63" s="583">
        <v>106.7</v>
      </c>
      <c r="H63" s="295" t="s">
        <v>23</v>
      </c>
      <c r="J63" s="37"/>
      <c r="L63" s="51" t="s">
        <v>51</v>
      </c>
      <c r="M63" s="37"/>
      <c r="O63" s="46"/>
      <c r="P63" s="44"/>
    </row>
    <row r="64" spans="1:16" ht="31.5">
      <c r="A64" s="15" t="s">
        <v>701</v>
      </c>
      <c r="B64" s="64" t="s">
        <v>149</v>
      </c>
      <c r="C64" s="15" t="s">
        <v>85</v>
      </c>
      <c r="D64" s="15">
        <v>78</v>
      </c>
      <c r="E64" s="874">
        <f>ROUND($L$21/60*D64,2)</f>
        <v>163.09</v>
      </c>
      <c r="F64" s="286">
        <v>163.1</v>
      </c>
      <c r="O64" s="46"/>
      <c r="P64" s="44"/>
    </row>
    <row r="65" spans="1:17">
      <c r="A65" s="24" t="s">
        <v>206</v>
      </c>
      <c r="B65" s="888" t="s">
        <v>150</v>
      </c>
      <c r="C65" s="25"/>
      <c r="D65" s="62"/>
      <c r="E65" s="874"/>
      <c r="F65" s="286"/>
      <c r="G65" s="55"/>
      <c r="O65" s="46"/>
      <c r="P65" s="44"/>
      <c r="Q65" s="44"/>
    </row>
    <row r="66" spans="1:17" ht="31.5">
      <c r="A66" s="889" t="s">
        <v>151</v>
      </c>
      <c r="B66" s="21" t="s">
        <v>152</v>
      </c>
      <c r="C66" s="29" t="s">
        <v>114</v>
      </c>
      <c r="D66" s="29">
        <v>45</v>
      </c>
      <c r="E66" s="874">
        <f>ROUND($L$21/60*D66,2)</f>
        <v>94.09</v>
      </c>
      <c r="F66" s="286">
        <v>94.1</v>
      </c>
      <c r="G66" s="57"/>
      <c r="O66" s="46"/>
      <c r="P66" s="44"/>
      <c r="Q66" s="44"/>
    </row>
    <row r="67" spans="1:17">
      <c r="A67" s="15" t="s">
        <v>153</v>
      </c>
      <c r="B67" s="876" t="s">
        <v>150</v>
      </c>
      <c r="C67" s="29" t="s">
        <v>114</v>
      </c>
      <c r="D67" s="15">
        <v>20</v>
      </c>
      <c r="E67" s="874">
        <f>ROUND($L$21/60*D67,2)</f>
        <v>41.82</v>
      </c>
      <c r="F67" s="286">
        <v>41.8</v>
      </c>
      <c r="M67" s="37"/>
      <c r="O67" s="46"/>
      <c r="P67" s="44"/>
    </row>
    <row r="68" spans="1:17" ht="19.149999999999999" customHeight="1">
      <c r="A68" s="240" t="s">
        <v>207</v>
      </c>
      <c r="B68" s="890" t="s">
        <v>154</v>
      </c>
      <c r="C68" s="31"/>
      <c r="D68" s="62"/>
      <c r="E68" s="874"/>
      <c r="F68" s="286"/>
      <c r="O68" s="46"/>
      <c r="P68" s="44"/>
    </row>
    <row r="69" spans="1:17" ht="31.5">
      <c r="A69" s="889" t="s">
        <v>155</v>
      </c>
      <c r="B69" s="64" t="s">
        <v>156</v>
      </c>
      <c r="C69" s="29" t="s">
        <v>114</v>
      </c>
      <c r="D69" s="15">
        <v>45</v>
      </c>
      <c r="E69" s="874">
        <f>ROUND($L$21/60*D69,2)</f>
        <v>94.09</v>
      </c>
      <c r="F69" s="286">
        <v>94.1</v>
      </c>
      <c r="O69" s="46"/>
      <c r="P69" s="44"/>
    </row>
    <row r="70" spans="1:17" ht="31.5">
      <c r="A70" s="15" t="s">
        <v>157</v>
      </c>
      <c r="B70" s="64" t="s">
        <v>158</v>
      </c>
      <c r="C70" s="29" t="s">
        <v>114</v>
      </c>
      <c r="D70" s="15">
        <v>45</v>
      </c>
      <c r="E70" s="874">
        <f>ROUND($L$21/60*D70,2)</f>
        <v>94.09</v>
      </c>
      <c r="F70" s="286">
        <v>94.1</v>
      </c>
      <c r="O70" s="46"/>
      <c r="P70" s="44"/>
    </row>
    <row r="71" spans="1:17" ht="31.5">
      <c r="A71" s="62" t="s">
        <v>208</v>
      </c>
      <c r="B71" s="883" t="s">
        <v>159</v>
      </c>
      <c r="C71" s="29" t="s">
        <v>160</v>
      </c>
      <c r="D71" s="15">
        <v>60</v>
      </c>
      <c r="E71" s="874">
        <f>ROUND($L$21/60*D71,2)</f>
        <v>125.45</v>
      </c>
      <c r="F71" s="286">
        <v>125.5</v>
      </c>
      <c r="O71" s="46"/>
      <c r="P71" s="44"/>
    </row>
    <row r="72" spans="1:17" ht="16.149999999999999" customHeight="1">
      <c r="A72" s="1114" t="s">
        <v>209</v>
      </c>
      <c r="B72" s="1115"/>
      <c r="C72" s="1115"/>
      <c r="D72" s="1115"/>
      <c r="E72" s="1115"/>
      <c r="F72" s="1116"/>
      <c r="O72" s="46"/>
      <c r="P72" s="44"/>
    </row>
    <row r="73" spans="1:17" ht="46.15" customHeight="1">
      <c r="A73" s="13" t="s">
        <v>211</v>
      </c>
      <c r="B73" s="15" t="s">
        <v>212</v>
      </c>
      <c r="C73" s="29" t="s">
        <v>210</v>
      </c>
      <c r="D73" s="29" t="s">
        <v>274</v>
      </c>
      <c r="E73" s="29" t="s">
        <v>63</v>
      </c>
      <c r="F73" s="29" t="s">
        <v>491</v>
      </c>
      <c r="O73" s="46"/>
      <c r="P73" s="44"/>
    </row>
    <row r="74" spans="1:17">
      <c r="A74" s="13" t="s">
        <v>213</v>
      </c>
      <c r="B74" s="62" t="s">
        <v>214</v>
      </c>
      <c r="C74" s="29"/>
      <c r="D74" s="29"/>
      <c r="E74" s="29"/>
      <c r="F74" s="30"/>
      <c r="O74" s="46"/>
      <c r="P74" s="44"/>
    </row>
    <row r="75" spans="1:17" ht="30.75" customHeight="1">
      <c r="A75" s="15" t="s">
        <v>66</v>
      </c>
      <c r="B75" s="21" t="s">
        <v>162</v>
      </c>
      <c r="C75" s="29" t="s">
        <v>216</v>
      </c>
      <c r="D75" s="280">
        <v>40</v>
      </c>
      <c r="E75" s="233">
        <f>ROUND($L$21/60*D75,2)</f>
        <v>83.63</v>
      </c>
      <c r="F75" s="286">
        <v>83.6</v>
      </c>
      <c r="O75" s="46"/>
      <c r="P75" s="44"/>
    </row>
    <row r="76" spans="1:17" ht="36" customHeight="1">
      <c r="A76" s="15" t="s">
        <v>67</v>
      </c>
      <c r="B76" s="21" t="s">
        <v>164</v>
      </c>
      <c r="C76" s="29" t="s">
        <v>217</v>
      </c>
      <c r="D76" s="280">
        <v>40</v>
      </c>
      <c r="E76" s="233">
        <f>ROUND($L$21/60*D76,2)</f>
        <v>83.63</v>
      </c>
      <c r="F76" s="286">
        <v>83.6</v>
      </c>
      <c r="O76" s="46"/>
      <c r="P76" s="44"/>
    </row>
    <row r="77" spans="1:17" ht="18.600000000000001" customHeight="1">
      <c r="A77" s="15" t="s">
        <v>219</v>
      </c>
      <c r="B77" s="62" t="s">
        <v>220</v>
      </c>
      <c r="C77" s="29"/>
      <c r="D77" s="280"/>
      <c r="E77" s="233"/>
      <c r="F77" s="286"/>
      <c r="O77" s="46"/>
      <c r="P77" s="44"/>
    </row>
    <row r="78" spans="1:17" ht="31.5">
      <c r="A78" s="15" t="s">
        <v>179</v>
      </c>
      <c r="B78" s="21" t="s">
        <v>163</v>
      </c>
      <c r="C78" s="29" t="s">
        <v>221</v>
      </c>
      <c r="D78" s="280">
        <v>45</v>
      </c>
      <c r="E78" s="233">
        <f>ROUND($L$21/60*D78,2)</f>
        <v>94.09</v>
      </c>
      <c r="F78" s="286">
        <v>94.1</v>
      </c>
      <c r="H78" s="784" t="s">
        <v>240</v>
      </c>
      <c r="O78" s="46"/>
      <c r="P78" s="44"/>
    </row>
    <row r="79" spans="1:17" ht="77.45" customHeight="1">
      <c r="A79" s="15" t="s">
        <v>107</v>
      </c>
      <c r="B79" s="21" t="s">
        <v>164</v>
      </c>
      <c r="C79" s="581" t="s">
        <v>222</v>
      </c>
      <c r="D79" s="280">
        <v>40</v>
      </c>
      <c r="E79" s="233">
        <f>ROUND($L$21/60*D79,2)</f>
        <v>83.63</v>
      </c>
      <c r="F79" s="286">
        <v>83.6</v>
      </c>
      <c r="H79" s="1113" t="s">
        <v>787</v>
      </c>
      <c r="I79" s="1113"/>
      <c r="J79" s="1113"/>
      <c r="K79" s="1113"/>
      <c r="L79" s="578" t="s">
        <v>81</v>
      </c>
      <c r="M79" s="32" t="s">
        <v>82</v>
      </c>
      <c r="O79" s="46"/>
      <c r="P79" s="44"/>
    </row>
    <row r="80" spans="1:17" ht="31.5">
      <c r="A80" s="15" t="s">
        <v>182</v>
      </c>
      <c r="B80" s="21" t="s">
        <v>169</v>
      </c>
      <c r="C80" s="29" t="s">
        <v>227</v>
      </c>
      <c r="D80" s="15">
        <v>35</v>
      </c>
      <c r="E80" s="233">
        <f>ROUND($L$21/60*D80,2)</f>
        <v>73.180000000000007</v>
      </c>
      <c r="F80" s="286">
        <v>73.2</v>
      </c>
      <c r="H80" s="32">
        <v>1</v>
      </c>
      <c r="I80" s="1253" t="s">
        <v>597</v>
      </c>
      <c r="J80" s="1254"/>
      <c r="K80" s="786">
        <f>K5</f>
        <v>170370.99055832994</v>
      </c>
      <c r="L80" s="42">
        <f>ROUND(K80/2088,2)</f>
        <v>81.599999999999994</v>
      </c>
      <c r="M80" s="48" t="str">
        <f>M5</f>
        <v>170370,99/2088</v>
      </c>
      <c r="O80" s="46"/>
      <c r="P80" s="44"/>
    </row>
    <row r="81" spans="1:16">
      <c r="A81" s="15" t="s">
        <v>112</v>
      </c>
      <c r="B81" s="21" t="s">
        <v>170</v>
      </c>
      <c r="C81" s="29"/>
      <c r="D81" s="15"/>
      <c r="E81" s="233"/>
      <c r="F81" s="286"/>
      <c r="H81" s="32">
        <v>2</v>
      </c>
      <c r="I81" s="1249" t="s">
        <v>833</v>
      </c>
      <c r="J81" s="1250"/>
      <c r="K81" s="579">
        <v>0.22</v>
      </c>
      <c r="L81" s="42">
        <f>ROUND(L80*K81,2)</f>
        <v>17.95</v>
      </c>
      <c r="M81" s="48" t="str">
        <f>M6</f>
        <v>81,6*22%</v>
      </c>
      <c r="O81" s="46"/>
      <c r="P81" s="44"/>
    </row>
    <row r="82" spans="1:16" ht="27.6" customHeight="1">
      <c r="A82" s="15"/>
      <c r="B82" s="72" t="s">
        <v>229</v>
      </c>
      <c r="C82" s="29" t="s">
        <v>85</v>
      </c>
      <c r="D82" s="58">
        <v>50</v>
      </c>
      <c r="E82" s="233">
        <f>ROUND($L$21/60*D82,2)</f>
        <v>104.54</v>
      </c>
      <c r="F82" s="286">
        <v>104.5</v>
      </c>
      <c r="H82" s="43"/>
      <c r="I82" s="1253" t="s">
        <v>984</v>
      </c>
      <c r="J82" s="1254"/>
      <c r="K82" s="783">
        <f>K7</f>
        <v>197875.09973119432</v>
      </c>
      <c r="L82" s="42">
        <f>K82/2088/14.4</f>
        <v>6.581095004895511</v>
      </c>
      <c r="M82" s="770" t="s">
        <v>1064</v>
      </c>
      <c r="O82" s="46"/>
      <c r="P82" s="44"/>
    </row>
    <row r="83" spans="1:16">
      <c r="A83" s="15"/>
      <c r="B83" s="72" t="s">
        <v>230</v>
      </c>
      <c r="C83" s="29" t="s">
        <v>85</v>
      </c>
      <c r="D83" s="58">
        <v>30</v>
      </c>
      <c r="E83" s="233">
        <f>ROUND($L$21/60*D83,2)</f>
        <v>62.73</v>
      </c>
      <c r="F83" s="286">
        <v>62.7</v>
      </c>
      <c r="H83" s="43"/>
      <c r="I83" s="1251" t="s">
        <v>833</v>
      </c>
      <c r="J83" s="1251"/>
      <c r="K83" s="580">
        <v>0.22</v>
      </c>
      <c r="L83" s="224">
        <f>L82*K83</f>
        <v>1.4478409010770124</v>
      </c>
      <c r="M83" s="45" t="str">
        <f>M8</f>
        <v>6,58*22%</v>
      </c>
      <c r="O83" s="46"/>
      <c r="P83" s="44"/>
    </row>
    <row r="84" spans="1:16">
      <c r="A84" s="15"/>
      <c r="B84" s="72" t="s">
        <v>231</v>
      </c>
      <c r="C84" s="29" t="s">
        <v>85</v>
      </c>
      <c r="D84" s="58">
        <v>50</v>
      </c>
      <c r="E84" s="233">
        <f>ROUND($L$21/60*D84,2)</f>
        <v>104.54</v>
      </c>
      <c r="F84" s="906">
        <v>104.5</v>
      </c>
      <c r="H84" s="32">
        <v>3</v>
      </c>
      <c r="I84" s="1249" t="s">
        <v>56</v>
      </c>
      <c r="J84" s="1250"/>
      <c r="K84" s="579">
        <v>0.15</v>
      </c>
      <c r="L84" s="286">
        <f>(L80+L81)*K84</f>
        <v>14.932499999999999</v>
      </c>
      <c r="M84" s="48" t="s">
        <v>1065</v>
      </c>
      <c r="O84" s="46"/>
      <c r="P84" s="44"/>
    </row>
    <row r="85" spans="1:16">
      <c r="A85" s="15"/>
      <c r="B85" s="72" t="s">
        <v>232</v>
      </c>
      <c r="C85" s="29" t="s">
        <v>85</v>
      </c>
      <c r="D85" s="58">
        <v>60</v>
      </c>
      <c r="E85" s="233">
        <f>ROUND($L$21/60*D85,2)</f>
        <v>125.45</v>
      </c>
      <c r="F85" s="286">
        <v>125.5</v>
      </c>
      <c r="H85" s="1259" t="s">
        <v>521</v>
      </c>
      <c r="I85" s="1260"/>
      <c r="J85" s="1260"/>
      <c r="K85" s="772"/>
      <c r="L85" s="47">
        <f>ROUND(L80+L81+L84+L82+L83,2)</f>
        <v>122.51</v>
      </c>
      <c r="M85" s="48" t="s">
        <v>1066</v>
      </c>
      <c r="O85" s="46"/>
      <c r="P85" s="44"/>
    </row>
    <row r="86" spans="1:16" ht="31.5">
      <c r="A86" s="15"/>
      <c r="B86" s="72" t="s">
        <v>233</v>
      </c>
      <c r="C86" s="29" t="s">
        <v>85</v>
      </c>
      <c r="D86" s="58">
        <v>90</v>
      </c>
      <c r="E86" s="233">
        <f>ROUND($L$21/60*D86,2)</f>
        <v>188.18</v>
      </c>
      <c r="F86" s="286">
        <v>188.2</v>
      </c>
      <c r="H86" s="45"/>
      <c r="I86" s="770" t="s">
        <v>57</v>
      </c>
      <c r="J86" s="771" t="s">
        <v>599</v>
      </c>
      <c r="K86" s="32" t="s">
        <v>598</v>
      </c>
      <c r="L86" s="60">
        <f>L87</f>
        <v>2.0699999999999998</v>
      </c>
      <c r="M86" s="45"/>
      <c r="O86" s="46"/>
      <c r="P86" s="44"/>
    </row>
    <row r="87" spans="1:16">
      <c r="A87" s="15" t="s">
        <v>223</v>
      </c>
      <c r="B87" s="62" t="s">
        <v>234</v>
      </c>
      <c r="C87" s="227"/>
      <c r="D87" s="15"/>
      <c r="E87" s="233"/>
      <c r="F87" s="286"/>
      <c r="H87" s="45"/>
      <c r="I87" s="45" t="s">
        <v>375</v>
      </c>
      <c r="J87" s="32">
        <v>1</v>
      </c>
      <c r="K87" s="32">
        <v>360</v>
      </c>
      <c r="L87" s="32">
        <f>ROUND(K87/O2,2)</f>
        <v>2.0699999999999998</v>
      </c>
      <c r="M87" s="770" t="s">
        <v>864</v>
      </c>
      <c r="O87" s="46"/>
      <c r="P87" s="44"/>
    </row>
    <row r="88" spans="1:16" ht="64.150000000000006" customHeight="1">
      <c r="A88" s="15" t="s">
        <v>224</v>
      </c>
      <c r="B88" s="21" t="s">
        <v>165</v>
      </c>
      <c r="C88" s="29" t="s">
        <v>166</v>
      </c>
      <c r="D88" s="15">
        <v>120</v>
      </c>
      <c r="E88" s="233">
        <f>ROUND($L$21/60*D88,2)</f>
        <v>250.9</v>
      </c>
      <c r="F88" s="286">
        <v>250.9</v>
      </c>
      <c r="H88" s="785" t="s">
        <v>600</v>
      </c>
      <c r="I88" s="785"/>
      <c r="J88" s="60"/>
      <c r="K88" s="60"/>
      <c r="L88" s="47">
        <f>ROUND(L85+L86,2)</f>
        <v>124.58</v>
      </c>
      <c r="M88" s="45"/>
      <c r="O88" s="46"/>
      <c r="P88" s="44"/>
    </row>
    <row r="89" spans="1:16" ht="28.9" customHeight="1">
      <c r="A89" s="15" t="s">
        <v>225</v>
      </c>
      <c r="B89" s="21" t="s">
        <v>167</v>
      </c>
      <c r="C89" s="29" t="s">
        <v>236</v>
      </c>
      <c r="D89" s="15">
        <v>30</v>
      </c>
      <c r="E89" s="233">
        <f>ROUND($L$21/60*D89,2)</f>
        <v>62.73</v>
      </c>
      <c r="F89" s="286">
        <v>62.7</v>
      </c>
      <c r="K89" s="33"/>
      <c r="L89" s="33"/>
      <c r="O89" s="46"/>
      <c r="P89" s="44"/>
    </row>
    <row r="90" spans="1:16">
      <c r="A90" s="15" t="s">
        <v>235</v>
      </c>
      <c r="B90" s="62" t="s">
        <v>237</v>
      </c>
      <c r="C90" s="29"/>
      <c r="D90" s="15"/>
      <c r="E90" s="233"/>
      <c r="F90" s="286"/>
      <c r="O90" s="46"/>
      <c r="P90" s="44"/>
    </row>
    <row r="91" spans="1:16" ht="33" customHeight="1">
      <c r="A91" s="15" t="s">
        <v>126</v>
      </c>
      <c r="B91" s="21" t="s">
        <v>168</v>
      </c>
      <c r="C91" s="29" t="s">
        <v>239</v>
      </c>
      <c r="D91" s="15">
        <v>30</v>
      </c>
      <c r="E91" s="233">
        <f>ROUND($L$21/60*D91,2)</f>
        <v>62.73</v>
      </c>
      <c r="F91" s="286">
        <v>62.7</v>
      </c>
      <c r="K91" s="33"/>
      <c r="L91" s="33"/>
      <c r="O91" s="46"/>
      <c r="P91" s="44"/>
    </row>
    <row r="92" spans="1:16">
      <c r="A92" s="58" t="s">
        <v>1063</v>
      </c>
      <c r="B92" s="31" t="s">
        <v>1061</v>
      </c>
      <c r="C92" s="29"/>
      <c r="D92" s="876"/>
      <c r="E92" s="233"/>
      <c r="F92" s="891"/>
      <c r="H92" s="295" t="s">
        <v>23</v>
      </c>
      <c r="J92" s="37"/>
      <c r="L92" s="51" t="s">
        <v>51</v>
      </c>
      <c r="O92" s="59"/>
      <c r="P92" s="59"/>
    </row>
    <row r="93" spans="1:16" ht="50.45" customHeight="1">
      <c r="A93" s="15" t="s">
        <v>138</v>
      </c>
      <c r="B93" s="873" t="s">
        <v>1062</v>
      </c>
      <c r="C93" s="892" t="s">
        <v>85</v>
      </c>
      <c r="D93" s="893">
        <v>30</v>
      </c>
      <c r="E93" s="233">
        <f t="shared" ref="E93" si="3">ROUND($L$21/60*D93,2)</f>
        <v>62.73</v>
      </c>
      <c r="F93" s="286">
        <v>62.7</v>
      </c>
      <c r="K93" s="33"/>
      <c r="L93" s="33"/>
      <c r="O93" s="59"/>
      <c r="P93" s="59"/>
    </row>
    <row r="94" spans="1:16" ht="16.149999999999999" customHeight="1">
      <c r="A94" s="58"/>
      <c r="B94" s="806"/>
      <c r="C94" s="806"/>
      <c r="D94" s="807"/>
      <c r="E94" s="808"/>
      <c r="F94" s="804"/>
      <c r="K94" s="33"/>
      <c r="L94" s="33"/>
      <c r="O94" s="59"/>
      <c r="P94" s="59"/>
    </row>
    <row r="95" spans="1:16">
      <c r="A95" s="296" t="s">
        <v>240</v>
      </c>
      <c r="B95" s="296"/>
      <c r="C95" s="296"/>
      <c r="D95" s="296"/>
      <c r="E95" s="296"/>
      <c r="F95" s="296"/>
      <c r="K95" s="33"/>
      <c r="L95" s="33"/>
      <c r="M95" s="37"/>
    </row>
    <row r="96" spans="1:16" ht="41.45" customHeight="1">
      <c r="A96" s="13" t="s">
        <v>211</v>
      </c>
      <c r="B96" s="15" t="s">
        <v>212</v>
      </c>
      <c r="C96" s="29" t="s">
        <v>492</v>
      </c>
      <c r="D96" s="29" t="s">
        <v>274</v>
      </c>
      <c r="E96" s="29" t="s">
        <v>63</v>
      </c>
      <c r="F96" s="29" t="s">
        <v>491</v>
      </c>
      <c r="K96" s="33"/>
      <c r="L96" s="33"/>
    </row>
    <row r="97" spans="1:19" s="34" customFormat="1" ht="16.149999999999999" customHeight="1">
      <c r="A97" s="31">
        <v>1</v>
      </c>
      <c r="B97" s="25" t="s">
        <v>241</v>
      </c>
      <c r="C97" s="25"/>
      <c r="D97" s="25"/>
      <c r="E97" s="25"/>
      <c r="F97" s="25"/>
      <c r="G97" s="33"/>
      <c r="N97" s="33"/>
      <c r="O97" s="33"/>
      <c r="P97" s="33"/>
      <c r="Q97" s="33"/>
      <c r="R97" s="33"/>
      <c r="S97" s="33"/>
    </row>
    <row r="98" spans="1:19" s="34" customFormat="1" ht="31.5">
      <c r="A98" s="13" t="s">
        <v>242</v>
      </c>
      <c r="B98" s="21" t="s">
        <v>243</v>
      </c>
      <c r="C98" s="15" t="s">
        <v>171</v>
      </c>
      <c r="D98" s="15">
        <v>30</v>
      </c>
      <c r="E98" s="874">
        <f>ROUND($L$88/60*D98,2)</f>
        <v>62.29</v>
      </c>
      <c r="F98" s="286">
        <v>62.3</v>
      </c>
      <c r="G98" s="33"/>
      <c r="N98" s="33"/>
      <c r="O98" s="33"/>
      <c r="P98" s="33"/>
      <c r="Q98" s="33"/>
      <c r="R98" s="33"/>
      <c r="S98" s="33"/>
    </row>
    <row r="99" spans="1:19" s="34" customFormat="1">
      <c r="A99" s="13" t="s">
        <v>244</v>
      </c>
      <c r="B99" s="21" t="s">
        <v>245</v>
      </c>
      <c r="C99" s="15" t="s">
        <v>171</v>
      </c>
      <c r="D99" s="15">
        <v>30</v>
      </c>
      <c r="E99" s="874">
        <f>ROUND($L$88/60*D99,2)</f>
        <v>62.29</v>
      </c>
      <c r="F99" s="286">
        <v>62.3</v>
      </c>
      <c r="G99" s="33"/>
      <c r="N99" s="33"/>
      <c r="O99" s="33"/>
      <c r="P99" s="33"/>
      <c r="Q99" s="33"/>
      <c r="R99" s="33"/>
      <c r="S99" s="33"/>
    </row>
    <row r="100" spans="1:19">
      <c r="A100" s="24" t="s">
        <v>246</v>
      </c>
      <c r="B100" s="25" t="s">
        <v>247</v>
      </c>
      <c r="C100" s="890"/>
      <c r="D100" s="890"/>
      <c r="E100" s="874"/>
      <c r="F100" s="890"/>
      <c r="K100" s="33"/>
      <c r="L100" s="33"/>
    </row>
    <row r="101" spans="1:19" ht="63">
      <c r="A101" s="13" t="s">
        <v>248</v>
      </c>
      <c r="B101" s="850" t="s">
        <v>249</v>
      </c>
      <c r="C101" s="15" t="s">
        <v>171</v>
      </c>
      <c r="D101" s="280">
        <v>15</v>
      </c>
      <c r="E101" s="874">
        <f>ROUND($L$88/60*D101,2)</f>
        <v>31.15</v>
      </c>
      <c r="F101" s="286">
        <v>31.2</v>
      </c>
      <c r="K101" s="33"/>
      <c r="L101" s="33"/>
    </row>
    <row r="102" spans="1:19" ht="47.25">
      <c r="A102" s="13" t="s">
        <v>250</v>
      </c>
      <c r="B102" s="850" t="s">
        <v>252</v>
      </c>
      <c r="C102" s="15" t="s">
        <v>171</v>
      </c>
      <c r="D102" s="280">
        <v>10</v>
      </c>
      <c r="E102" s="874">
        <f>ROUND($L$88/60*D102,2)</f>
        <v>20.76</v>
      </c>
      <c r="F102" s="286">
        <v>20.8</v>
      </c>
      <c r="K102" s="33"/>
      <c r="L102" s="33"/>
    </row>
    <row r="103" spans="1:19" ht="27.6" customHeight="1">
      <c r="A103" s="13" t="s">
        <v>251</v>
      </c>
      <c r="B103" s="21" t="s">
        <v>253</v>
      </c>
      <c r="C103" s="15" t="s">
        <v>171</v>
      </c>
      <c r="D103" s="280">
        <v>180</v>
      </c>
      <c r="E103" s="874">
        <f>ROUND($L$88/60*D103,2)</f>
        <v>373.74</v>
      </c>
      <c r="F103" s="286">
        <v>373.7</v>
      </c>
      <c r="K103" s="33"/>
      <c r="L103" s="33"/>
    </row>
    <row r="104" spans="1:19" ht="23.45" customHeight="1">
      <c r="A104" s="13" t="s">
        <v>112</v>
      </c>
      <c r="B104" s="21" t="s">
        <v>965</v>
      </c>
      <c r="C104" s="15" t="s">
        <v>171</v>
      </c>
      <c r="D104" s="280">
        <v>30</v>
      </c>
      <c r="E104" s="874">
        <f>ROUND($L$88/60*D104,2)</f>
        <v>62.29</v>
      </c>
      <c r="F104" s="286">
        <v>62.3</v>
      </c>
      <c r="K104" s="33"/>
      <c r="L104" s="33"/>
    </row>
    <row r="105" spans="1:19" ht="31.5">
      <c r="A105" s="24" t="s">
        <v>254</v>
      </c>
      <c r="B105" s="25" t="s">
        <v>255</v>
      </c>
      <c r="C105" s="890"/>
      <c r="D105" s="894"/>
      <c r="E105" s="874"/>
      <c r="F105" s="890"/>
      <c r="K105" s="33"/>
      <c r="L105" s="33"/>
    </row>
    <row r="106" spans="1:19" ht="76.150000000000006" customHeight="1">
      <c r="A106" s="13" t="s">
        <v>256</v>
      </c>
      <c r="B106" s="64" t="s">
        <v>257</v>
      </c>
      <c r="C106" s="15" t="s">
        <v>171</v>
      </c>
      <c r="D106" s="280">
        <v>15</v>
      </c>
      <c r="E106" s="874">
        <f>ROUND($L$88/60*D106,2)</f>
        <v>31.15</v>
      </c>
      <c r="F106" s="286">
        <v>31.2</v>
      </c>
      <c r="K106" s="33"/>
      <c r="L106" s="33"/>
    </row>
    <row r="107" spans="1:19" ht="63.6" customHeight="1">
      <c r="A107" s="24" t="s">
        <v>258</v>
      </c>
      <c r="B107" s="25" t="s">
        <v>266</v>
      </c>
      <c r="C107" s="25"/>
      <c r="D107" s="895"/>
      <c r="E107" s="874"/>
      <c r="F107" s="25"/>
      <c r="H107" s="37"/>
      <c r="I107" s="37"/>
      <c r="K107" s="33"/>
      <c r="L107" s="33"/>
    </row>
    <row r="108" spans="1:19" ht="45" customHeight="1">
      <c r="A108" s="13" t="s">
        <v>259</v>
      </c>
      <c r="B108" s="64" t="s">
        <v>267</v>
      </c>
      <c r="C108" s="15" t="s">
        <v>171</v>
      </c>
      <c r="D108" s="280">
        <v>15</v>
      </c>
      <c r="E108" s="874">
        <f t="shared" ref="E108:E114" si="4">ROUND($L$88/60*D108,2)</f>
        <v>31.15</v>
      </c>
      <c r="F108" s="286">
        <v>31.2</v>
      </c>
      <c r="H108" s="37"/>
      <c r="I108" s="37"/>
      <c r="K108" s="33"/>
      <c r="L108" s="33"/>
    </row>
    <row r="109" spans="1:19" ht="47.25">
      <c r="A109" s="13" t="s">
        <v>260</v>
      </c>
      <c r="B109" s="21" t="s">
        <v>268</v>
      </c>
      <c r="C109" s="15" t="s">
        <v>171</v>
      </c>
      <c r="D109" s="280">
        <v>20</v>
      </c>
      <c r="E109" s="874">
        <f t="shared" si="4"/>
        <v>41.53</v>
      </c>
      <c r="F109" s="286">
        <v>41.5</v>
      </c>
      <c r="H109" s="37"/>
      <c r="I109" s="37"/>
      <c r="K109" s="33"/>
      <c r="L109" s="33"/>
    </row>
    <row r="110" spans="1:19" ht="46.9" customHeight="1">
      <c r="A110" s="13" t="s">
        <v>261</v>
      </c>
      <c r="B110" s="21" t="s">
        <v>269</v>
      </c>
      <c r="C110" s="29" t="s">
        <v>171</v>
      </c>
      <c r="D110" s="879">
        <v>45</v>
      </c>
      <c r="E110" s="874">
        <f t="shared" si="4"/>
        <v>93.44</v>
      </c>
      <c r="F110" s="286">
        <v>93.4</v>
      </c>
      <c r="H110" s="37"/>
      <c r="I110" s="37"/>
      <c r="K110" s="33"/>
      <c r="L110" s="33"/>
    </row>
    <row r="111" spans="1:19" ht="31.5">
      <c r="A111" s="13" t="s">
        <v>262</v>
      </c>
      <c r="B111" s="64" t="s">
        <v>270</v>
      </c>
      <c r="C111" s="15" t="s">
        <v>171</v>
      </c>
      <c r="D111" s="280">
        <v>30</v>
      </c>
      <c r="E111" s="874">
        <f t="shared" si="4"/>
        <v>62.29</v>
      </c>
      <c r="F111" s="286">
        <v>62.3</v>
      </c>
      <c r="H111" s="37"/>
      <c r="I111" s="37"/>
      <c r="K111" s="33"/>
      <c r="L111" s="33"/>
    </row>
    <row r="112" spans="1:19" ht="31.5">
      <c r="A112" s="13" t="s">
        <v>263</v>
      </c>
      <c r="B112" s="64" t="s">
        <v>271</v>
      </c>
      <c r="C112" s="15" t="s">
        <v>171</v>
      </c>
      <c r="D112" s="280">
        <v>20</v>
      </c>
      <c r="E112" s="874">
        <f t="shared" si="4"/>
        <v>41.53</v>
      </c>
      <c r="F112" s="286">
        <v>41.5</v>
      </c>
      <c r="H112" s="37"/>
      <c r="I112" s="37"/>
      <c r="K112" s="33"/>
      <c r="L112" s="33"/>
    </row>
    <row r="113" spans="1:12" ht="77.45" customHeight="1">
      <c r="A113" s="13" t="s">
        <v>264</v>
      </c>
      <c r="B113" s="831" t="s">
        <v>272</v>
      </c>
      <c r="C113" s="15" t="s">
        <v>486</v>
      </c>
      <c r="D113" s="15">
        <v>20</v>
      </c>
      <c r="E113" s="874">
        <f t="shared" si="4"/>
        <v>41.53</v>
      </c>
      <c r="F113" s="286">
        <v>41.5</v>
      </c>
      <c r="H113" s="37"/>
      <c r="I113" s="37"/>
      <c r="K113" s="33"/>
      <c r="L113" s="33"/>
    </row>
    <row r="114" spans="1:12">
      <c r="A114" s="13" t="s">
        <v>265</v>
      </c>
      <c r="B114" s="64" t="s">
        <v>273</v>
      </c>
      <c r="C114" s="15" t="s">
        <v>171</v>
      </c>
      <c r="D114" s="15">
        <v>180</v>
      </c>
      <c r="E114" s="874">
        <f t="shared" si="4"/>
        <v>373.74</v>
      </c>
      <c r="F114" s="199">
        <v>373.7</v>
      </c>
      <c r="H114" s="37"/>
      <c r="I114" s="37"/>
      <c r="K114" s="33"/>
      <c r="L114" s="33"/>
    </row>
    <row r="115" spans="1:12">
      <c r="A115" s="896" t="s">
        <v>489</v>
      </c>
      <c r="B115" s="38" t="s">
        <v>490</v>
      </c>
      <c r="C115" s="187"/>
      <c r="D115" s="38"/>
      <c r="E115" s="38"/>
      <c r="F115" s="897"/>
    </row>
    <row r="124" spans="1:12">
      <c r="A124" s="295" t="s">
        <v>23</v>
      </c>
      <c r="C124" s="51" t="s">
        <v>51</v>
      </c>
    </row>
  </sheetData>
  <mergeCells count="58">
    <mergeCell ref="I80:J80"/>
    <mergeCell ref="H85:J85"/>
    <mergeCell ref="I81:J81"/>
    <mergeCell ref="I84:J84"/>
    <mergeCell ref="I82:J82"/>
    <mergeCell ref="I83:J83"/>
    <mergeCell ref="A1:F1"/>
    <mergeCell ref="H1:M1"/>
    <mergeCell ref="I8:J8"/>
    <mergeCell ref="I7:J7"/>
    <mergeCell ref="I35:J35"/>
    <mergeCell ref="H10:K10"/>
    <mergeCell ref="L29:L30"/>
    <mergeCell ref="H21:I21"/>
    <mergeCell ref="A72:F72"/>
    <mergeCell ref="A2:F2"/>
    <mergeCell ref="C7:C12"/>
    <mergeCell ref="H2:I2"/>
    <mergeCell ref="I31:K31"/>
    <mergeCell ref="I32:J32"/>
    <mergeCell ref="I33:J33"/>
    <mergeCell ref="I34:J34"/>
    <mergeCell ref="I37:J37"/>
    <mergeCell ref="I48:J48"/>
    <mergeCell ref="I49:J49"/>
    <mergeCell ref="I47:K47"/>
    <mergeCell ref="I5:J5"/>
    <mergeCell ref="C13:C15"/>
    <mergeCell ref="I9:J9"/>
    <mergeCell ref="I6:J6"/>
    <mergeCell ref="Q2:V2"/>
    <mergeCell ref="H3:H4"/>
    <mergeCell ref="I3:K4"/>
    <mergeCell ref="L3:L4"/>
    <mergeCell ref="M3:M4"/>
    <mergeCell ref="U3:U4"/>
    <mergeCell ref="V3:V4"/>
    <mergeCell ref="N3:O3"/>
    <mergeCell ref="Q15:Q16"/>
    <mergeCell ref="R15:R16"/>
    <mergeCell ref="S15:S16"/>
    <mergeCell ref="T15:T16"/>
    <mergeCell ref="U17:U18"/>
    <mergeCell ref="H46:I46"/>
    <mergeCell ref="H79:K79"/>
    <mergeCell ref="V17:V18"/>
    <mergeCell ref="I43:J43"/>
    <mergeCell ref="I38:J38"/>
    <mergeCell ref="I40:J40"/>
    <mergeCell ref="H42:J42"/>
    <mergeCell ref="M29:M30"/>
    <mergeCell ref="H28:I28"/>
    <mergeCell ref="H29:H30"/>
    <mergeCell ref="I29:K30"/>
    <mergeCell ref="I36:J36"/>
    <mergeCell ref="I50:J50"/>
    <mergeCell ref="I51:J51"/>
    <mergeCell ref="I53:K5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3" manualBreakCount="3">
    <brk id="42" max="12" man="1"/>
    <brk id="76" max="12" man="1"/>
    <brk id="124" max="12" man="1"/>
  </rowBreaks>
  <colBreaks count="2" manualBreakCount="2">
    <brk id="6" max="123" man="1"/>
    <brk id="20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Y38"/>
  <sheetViews>
    <sheetView view="pageBreakPreview" topLeftCell="A22" zoomScale="90" zoomScaleNormal="100" zoomScaleSheetLayoutView="90" workbookViewId="0">
      <selection activeCell="D30" sqref="D30"/>
    </sheetView>
  </sheetViews>
  <sheetFormatPr defaultRowHeight="15"/>
  <cols>
    <col min="1" max="1" width="13.7109375" customWidth="1"/>
    <col min="2" max="2" width="10.28515625" customWidth="1"/>
    <col min="3" max="3" width="14.42578125" customWidth="1"/>
    <col min="4" max="4" width="13.85546875" customWidth="1"/>
    <col min="5" max="5" width="11.28515625" customWidth="1"/>
    <col min="6" max="6" width="25.85546875" customWidth="1"/>
    <col min="7" max="7" width="15" customWidth="1"/>
    <col min="8" max="8" width="12" customWidth="1"/>
    <col min="11" max="11" width="11.140625" customWidth="1"/>
    <col min="14" max="14" width="17.5703125" customWidth="1"/>
    <col min="15" max="15" width="13.7109375" bestFit="1" customWidth="1"/>
    <col min="17" max="17" width="15.140625" customWidth="1"/>
    <col min="18" max="18" width="11.28515625" customWidth="1"/>
    <col min="257" max="257" width="13.7109375" customWidth="1"/>
    <col min="258" max="258" width="12.85546875" customWidth="1"/>
    <col min="259" max="259" width="14.42578125" customWidth="1"/>
    <col min="260" max="260" width="13.85546875" customWidth="1"/>
    <col min="261" max="261" width="11.28515625" customWidth="1"/>
    <col min="262" max="262" width="15.7109375" customWidth="1"/>
    <col min="263" max="263" width="15" customWidth="1"/>
    <col min="264" max="264" width="16.5703125" customWidth="1"/>
    <col min="513" max="513" width="13.7109375" customWidth="1"/>
    <col min="514" max="514" width="12.85546875" customWidth="1"/>
    <col min="515" max="515" width="14.42578125" customWidth="1"/>
    <col min="516" max="516" width="13.85546875" customWidth="1"/>
    <col min="517" max="517" width="11.28515625" customWidth="1"/>
    <col min="518" max="518" width="15.7109375" customWidth="1"/>
    <col min="519" max="519" width="15" customWidth="1"/>
    <col min="520" max="520" width="16.5703125" customWidth="1"/>
    <col min="769" max="769" width="13.7109375" customWidth="1"/>
    <col min="770" max="770" width="12.85546875" customWidth="1"/>
    <col min="771" max="771" width="14.42578125" customWidth="1"/>
    <col min="772" max="772" width="13.85546875" customWidth="1"/>
    <col min="773" max="773" width="11.28515625" customWidth="1"/>
    <col min="774" max="774" width="15.7109375" customWidth="1"/>
    <col min="775" max="775" width="15" customWidth="1"/>
    <col min="776" max="776" width="16.5703125" customWidth="1"/>
    <col min="1025" max="1025" width="13.7109375" customWidth="1"/>
    <col min="1026" max="1026" width="12.85546875" customWidth="1"/>
    <col min="1027" max="1027" width="14.42578125" customWidth="1"/>
    <col min="1028" max="1028" width="13.85546875" customWidth="1"/>
    <col min="1029" max="1029" width="11.28515625" customWidth="1"/>
    <col min="1030" max="1030" width="15.7109375" customWidth="1"/>
    <col min="1031" max="1031" width="15" customWidth="1"/>
    <col min="1032" max="1032" width="16.5703125" customWidth="1"/>
    <col min="1281" max="1281" width="13.7109375" customWidth="1"/>
    <col min="1282" max="1282" width="12.85546875" customWidth="1"/>
    <col min="1283" max="1283" width="14.42578125" customWidth="1"/>
    <col min="1284" max="1284" width="13.85546875" customWidth="1"/>
    <col min="1285" max="1285" width="11.28515625" customWidth="1"/>
    <col min="1286" max="1286" width="15.7109375" customWidth="1"/>
    <col min="1287" max="1287" width="15" customWidth="1"/>
    <col min="1288" max="1288" width="16.5703125" customWidth="1"/>
    <col min="1537" max="1537" width="13.7109375" customWidth="1"/>
    <col min="1538" max="1538" width="12.85546875" customWidth="1"/>
    <col min="1539" max="1539" width="14.42578125" customWidth="1"/>
    <col min="1540" max="1540" width="13.85546875" customWidth="1"/>
    <col min="1541" max="1541" width="11.28515625" customWidth="1"/>
    <col min="1542" max="1542" width="15.7109375" customWidth="1"/>
    <col min="1543" max="1543" width="15" customWidth="1"/>
    <col min="1544" max="1544" width="16.5703125" customWidth="1"/>
    <col min="1793" max="1793" width="13.7109375" customWidth="1"/>
    <col min="1794" max="1794" width="12.85546875" customWidth="1"/>
    <col min="1795" max="1795" width="14.42578125" customWidth="1"/>
    <col min="1796" max="1796" width="13.85546875" customWidth="1"/>
    <col min="1797" max="1797" width="11.28515625" customWidth="1"/>
    <col min="1798" max="1798" width="15.7109375" customWidth="1"/>
    <col min="1799" max="1799" width="15" customWidth="1"/>
    <col min="1800" max="1800" width="16.5703125" customWidth="1"/>
    <col min="2049" max="2049" width="13.7109375" customWidth="1"/>
    <col min="2050" max="2050" width="12.85546875" customWidth="1"/>
    <col min="2051" max="2051" width="14.42578125" customWidth="1"/>
    <col min="2052" max="2052" width="13.85546875" customWidth="1"/>
    <col min="2053" max="2053" width="11.28515625" customWidth="1"/>
    <col min="2054" max="2054" width="15.7109375" customWidth="1"/>
    <col min="2055" max="2055" width="15" customWidth="1"/>
    <col min="2056" max="2056" width="16.5703125" customWidth="1"/>
    <col min="2305" max="2305" width="13.7109375" customWidth="1"/>
    <col min="2306" max="2306" width="12.85546875" customWidth="1"/>
    <col min="2307" max="2307" width="14.42578125" customWidth="1"/>
    <col min="2308" max="2308" width="13.85546875" customWidth="1"/>
    <col min="2309" max="2309" width="11.28515625" customWidth="1"/>
    <col min="2310" max="2310" width="15.7109375" customWidth="1"/>
    <col min="2311" max="2311" width="15" customWidth="1"/>
    <col min="2312" max="2312" width="16.5703125" customWidth="1"/>
    <col min="2561" max="2561" width="13.7109375" customWidth="1"/>
    <col min="2562" max="2562" width="12.85546875" customWidth="1"/>
    <col min="2563" max="2563" width="14.42578125" customWidth="1"/>
    <col min="2564" max="2564" width="13.85546875" customWidth="1"/>
    <col min="2565" max="2565" width="11.28515625" customWidth="1"/>
    <col min="2566" max="2566" width="15.7109375" customWidth="1"/>
    <col min="2567" max="2567" width="15" customWidth="1"/>
    <col min="2568" max="2568" width="16.5703125" customWidth="1"/>
    <col min="2817" max="2817" width="13.7109375" customWidth="1"/>
    <col min="2818" max="2818" width="12.85546875" customWidth="1"/>
    <col min="2819" max="2819" width="14.42578125" customWidth="1"/>
    <col min="2820" max="2820" width="13.85546875" customWidth="1"/>
    <col min="2821" max="2821" width="11.28515625" customWidth="1"/>
    <col min="2822" max="2822" width="15.7109375" customWidth="1"/>
    <col min="2823" max="2823" width="15" customWidth="1"/>
    <col min="2824" max="2824" width="16.5703125" customWidth="1"/>
    <col min="3073" max="3073" width="13.7109375" customWidth="1"/>
    <col min="3074" max="3074" width="12.85546875" customWidth="1"/>
    <col min="3075" max="3075" width="14.42578125" customWidth="1"/>
    <col min="3076" max="3076" width="13.85546875" customWidth="1"/>
    <col min="3077" max="3077" width="11.28515625" customWidth="1"/>
    <col min="3078" max="3078" width="15.7109375" customWidth="1"/>
    <col min="3079" max="3079" width="15" customWidth="1"/>
    <col min="3080" max="3080" width="16.5703125" customWidth="1"/>
    <col min="3329" max="3329" width="13.7109375" customWidth="1"/>
    <col min="3330" max="3330" width="12.85546875" customWidth="1"/>
    <col min="3331" max="3331" width="14.42578125" customWidth="1"/>
    <col min="3332" max="3332" width="13.85546875" customWidth="1"/>
    <col min="3333" max="3333" width="11.28515625" customWidth="1"/>
    <col min="3334" max="3334" width="15.7109375" customWidth="1"/>
    <col min="3335" max="3335" width="15" customWidth="1"/>
    <col min="3336" max="3336" width="16.5703125" customWidth="1"/>
    <col min="3585" max="3585" width="13.7109375" customWidth="1"/>
    <col min="3586" max="3586" width="12.85546875" customWidth="1"/>
    <col min="3587" max="3587" width="14.42578125" customWidth="1"/>
    <col min="3588" max="3588" width="13.85546875" customWidth="1"/>
    <col min="3589" max="3589" width="11.28515625" customWidth="1"/>
    <col min="3590" max="3590" width="15.7109375" customWidth="1"/>
    <col min="3591" max="3591" width="15" customWidth="1"/>
    <col min="3592" max="3592" width="16.5703125" customWidth="1"/>
    <col min="3841" max="3841" width="13.7109375" customWidth="1"/>
    <col min="3842" max="3842" width="12.85546875" customWidth="1"/>
    <col min="3843" max="3843" width="14.42578125" customWidth="1"/>
    <col min="3844" max="3844" width="13.85546875" customWidth="1"/>
    <col min="3845" max="3845" width="11.28515625" customWidth="1"/>
    <col min="3846" max="3846" width="15.7109375" customWidth="1"/>
    <col min="3847" max="3847" width="15" customWidth="1"/>
    <col min="3848" max="3848" width="16.5703125" customWidth="1"/>
    <col min="4097" max="4097" width="13.7109375" customWidth="1"/>
    <col min="4098" max="4098" width="12.85546875" customWidth="1"/>
    <col min="4099" max="4099" width="14.42578125" customWidth="1"/>
    <col min="4100" max="4100" width="13.85546875" customWidth="1"/>
    <col min="4101" max="4101" width="11.28515625" customWidth="1"/>
    <col min="4102" max="4102" width="15.7109375" customWidth="1"/>
    <col min="4103" max="4103" width="15" customWidth="1"/>
    <col min="4104" max="4104" width="16.5703125" customWidth="1"/>
    <col min="4353" max="4353" width="13.7109375" customWidth="1"/>
    <col min="4354" max="4354" width="12.85546875" customWidth="1"/>
    <col min="4355" max="4355" width="14.42578125" customWidth="1"/>
    <col min="4356" max="4356" width="13.85546875" customWidth="1"/>
    <col min="4357" max="4357" width="11.28515625" customWidth="1"/>
    <col min="4358" max="4358" width="15.7109375" customWidth="1"/>
    <col min="4359" max="4359" width="15" customWidth="1"/>
    <col min="4360" max="4360" width="16.5703125" customWidth="1"/>
    <col min="4609" max="4609" width="13.7109375" customWidth="1"/>
    <col min="4610" max="4610" width="12.85546875" customWidth="1"/>
    <col min="4611" max="4611" width="14.42578125" customWidth="1"/>
    <col min="4612" max="4612" width="13.85546875" customWidth="1"/>
    <col min="4613" max="4613" width="11.28515625" customWidth="1"/>
    <col min="4614" max="4614" width="15.7109375" customWidth="1"/>
    <col min="4615" max="4615" width="15" customWidth="1"/>
    <col min="4616" max="4616" width="16.5703125" customWidth="1"/>
    <col min="4865" max="4865" width="13.7109375" customWidth="1"/>
    <col min="4866" max="4866" width="12.85546875" customWidth="1"/>
    <col min="4867" max="4867" width="14.42578125" customWidth="1"/>
    <col min="4868" max="4868" width="13.85546875" customWidth="1"/>
    <col min="4869" max="4869" width="11.28515625" customWidth="1"/>
    <col min="4870" max="4870" width="15.7109375" customWidth="1"/>
    <col min="4871" max="4871" width="15" customWidth="1"/>
    <col min="4872" max="4872" width="16.5703125" customWidth="1"/>
    <col min="5121" max="5121" width="13.7109375" customWidth="1"/>
    <col min="5122" max="5122" width="12.85546875" customWidth="1"/>
    <col min="5123" max="5123" width="14.42578125" customWidth="1"/>
    <col min="5124" max="5124" width="13.85546875" customWidth="1"/>
    <col min="5125" max="5125" width="11.28515625" customWidth="1"/>
    <col min="5126" max="5126" width="15.7109375" customWidth="1"/>
    <col min="5127" max="5127" width="15" customWidth="1"/>
    <col min="5128" max="5128" width="16.5703125" customWidth="1"/>
    <col min="5377" max="5377" width="13.7109375" customWidth="1"/>
    <col min="5378" max="5378" width="12.85546875" customWidth="1"/>
    <col min="5379" max="5379" width="14.42578125" customWidth="1"/>
    <col min="5380" max="5380" width="13.85546875" customWidth="1"/>
    <col min="5381" max="5381" width="11.28515625" customWidth="1"/>
    <col min="5382" max="5382" width="15.7109375" customWidth="1"/>
    <col min="5383" max="5383" width="15" customWidth="1"/>
    <col min="5384" max="5384" width="16.5703125" customWidth="1"/>
    <col min="5633" max="5633" width="13.7109375" customWidth="1"/>
    <col min="5634" max="5634" width="12.85546875" customWidth="1"/>
    <col min="5635" max="5635" width="14.42578125" customWidth="1"/>
    <col min="5636" max="5636" width="13.85546875" customWidth="1"/>
    <col min="5637" max="5637" width="11.28515625" customWidth="1"/>
    <col min="5638" max="5638" width="15.7109375" customWidth="1"/>
    <col min="5639" max="5639" width="15" customWidth="1"/>
    <col min="5640" max="5640" width="16.5703125" customWidth="1"/>
    <col min="5889" max="5889" width="13.7109375" customWidth="1"/>
    <col min="5890" max="5890" width="12.85546875" customWidth="1"/>
    <col min="5891" max="5891" width="14.42578125" customWidth="1"/>
    <col min="5892" max="5892" width="13.85546875" customWidth="1"/>
    <col min="5893" max="5893" width="11.28515625" customWidth="1"/>
    <col min="5894" max="5894" width="15.7109375" customWidth="1"/>
    <col min="5895" max="5895" width="15" customWidth="1"/>
    <col min="5896" max="5896" width="16.5703125" customWidth="1"/>
    <col min="6145" max="6145" width="13.7109375" customWidth="1"/>
    <col min="6146" max="6146" width="12.85546875" customWidth="1"/>
    <col min="6147" max="6147" width="14.42578125" customWidth="1"/>
    <col min="6148" max="6148" width="13.85546875" customWidth="1"/>
    <col min="6149" max="6149" width="11.28515625" customWidth="1"/>
    <col min="6150" max="6150" width="15.7109375" customWidth="1"/>
    <col min="6151" max="6151" width="15" customWidth="1"/>
    <col min="6152" max="6152" width="16.5703125" customWidth="1"/>
    <col min="6401" max="6401" width="13.7109375" customWidth="1"/>
    <col min="6402" max="6402" width="12.85546875" customWidth="1"/>
    <col min="6403" max="6403" width="14.42578125" customWidth="1"/>
    <col min="6404" max="6404" width="13.85546875" customWidth="1"/>
    <col min="6405" max="6405" width="11.28515625" customWidth="1"/>
    <col min="6406" max="6406" width="15.7109375" customWidth="1"/>
    <col min="6407" max="6407" width="15" customWidth="1"/>
    <col min="6408" max="6408" width="16.5703125" customWidth="1"/>
    <col min="6657" max="6657" width="13.7109375" customWidth="1"/>
    <col min="6658" max="6658" width="12.85546875" customWidth="1"/>
    <col min="6659" max="6659" width="14.42578125" customWidth="1"/>
    <col min="6660" max="6660" width="13.85546875" customWidth="1"/>
    <col min="6661" max="6661" width="11.28515625" customWidth="1"/>
    <col min="6662" max="6662" width="15.7109375" customWidth="1"/>
    <col min="6663" max="6663" width="15" customWidth="1"/>
    <col min="6664" max="6664" width="16.5703125" customWidth="1"/>
    <col min="6913" max="6913" width="13.7109375" customWidth="1"/>
    <col min="6914" max="6914" width="12.85546875" customWidth="1"/>
    <col min="6915" max="6915" width="14.42578125" customWidth="1"/>
    <col min="6916" max="6916" width="13.85546875" customWidth="1"/>
    <col min="6917" max="6917" width="11.28515625" customWidth="1"/>
    <col min="6918" max="6918" width="15.7109375" customWidth="1"/>
    <col min="6919" max="6919" width="15" customWidth="1"/>
    <col min="6920" max="6920" width="16.5703125" customWidth="1"/>
    <col min="7169" max="7169" width="13.7109375" customWidth="1"/>
    <col min="7170" max="7170" width="12.85546875" customWidth="1"/>
    <col min="7171" max="7171" width="14.42578125" customWidth="1"/>
    <col min="7172" max="7172" width="13.85546875" customWidth="1"/>
    <col min="7173" max="7173" width="11.28515625" customWidth="1"/>
    <col min="7174" max="7174" width="15.7109375" customWidth="1"/>
    <col min="7175" max="7175" width="15" customWidth="1"/>
    <col min="7176" max="7176" width="16.5703125" customWidth="1"/>
    <col min="7425" max="7425" width="13.7109375" customWidth="1"/>
    <col min="7426" max="7426" width="12.85546875" customWidth="1"/>
    <col min="7427" max="7427" width="14.42578125" customWidth="1"/>
    <col min="7428" max="7428" width="13.85546875" customWidth="1"/>
    <col min="7429" max="7429" width="11.28515625" customWidth="1"/>
    <col min="7430" max="7430" width="15.7109375" customWidth="1"/>
    <col min="7431" max="7431" width="15" customWidth="1"/>
    <col min="7432" max="7432" width="16.5703125" customWidth="1"/>
    <col min="7681" max="7681" width="13.7109375" customWidth="1"/>
    <col min="7682" max="7682" width="12.85546875" customWidth="1"/>
    <col min="7683" max="7683" width="14.42578125" customWidth="1"/>
    <col min="7684" max="7684" width="13.85546875" customWidth="1"/>
    <col min="7685" max="7685" width="11.28515625" customWidth="1"/>
    <col min="7686" max="7686" width="15.7109375" customWidth="1"/>
    <col min="7687" max="7687" width="15" customWidth="1"/>
    <col min="7688" max="7688" width="16.5703125" customWidth="1"/>
    <col min="7937" max="7937" width="13.7109375" customWidth="1"/>
    <col min="7938" max="7938" width="12.85546875" customWidth="1"/>
    <col min="7939" max="7939" width="14.42578125" customWidth="1"/>
    <col min="7940" max="7940" width="13.85546875" customWidth="1"/>
    <col min="7941" max="7941" width="11.28515625" customWidth="1"/>
    <col min="7942" max="7942" width="15.7109375" customWidth="1"/>
    <col min="7943" max="7943" width="15" customWidth="1"/>
    <col min="7944" max="7944" width="16.5703125" customWidth="1"/>
    <col min="8193" max="8193" width="13.7109375" customWidth="1"/>
    <col min="8194" max="8194" width="12.85546875" customWidth="1"/>
    <col min="8195" max="8195" width="14.42578125" customWidth="1"/>
    <col min="8196" max="8196" width="13.85546875" customWidth="1"/>
    <col min="8197" max="8197" width="11.28515625" customWidth="1"/>
    <col min="8198" max="8198" width="15.7109375" customWidth="1"/>
    <col min="8199" max="8199" width="15" customWidth="1"/>
    <col min="8200" max="8200" width="16.5703125" customWidth="1"/>
    <col min="8449" max="8449" width="13.7109375" customWidth="1"/>
    <col min="8450" max="8450" width="12.85546875" customWidth="1"/>
    <col min="8451" max="8451" width="14.42578125" customWidth="1"/>
    <col min="8452" max="8452" width="13.85546875" customWidth="1"/>
    <col min="8453" max="8453" width="11.28515625" customWidth="1"/>
    <col min="8454" max="8454" width="15.7109375" customWidth="1"/>
    <col min="8455" max="8455" width="15" customWidth="1"/>
    <col min="8456" max="8456" width="16.5703125" customWidth="1"/>
    <col min="8705" max="8705" width="13.7109375" customWidth="1"/>
    <col min="8706" max="8706" width="12.85546875" customWidth="1"/>
    <col min="8707" max="8707" width="14.42578125" customWidth="1"/>
    <col min="8708" max="8708" width="13.85546875" customWidth="1"/>
    <col min="8709" max="8709" width="11.28515625" customWidth="1"/>
    <col min="8710" max="8710" width="15.7109375" customWidth="1"/>
    <col min="8711" max="8711" width="15" customWidth="1"/>
    <col min="8712" max="8712" width="16.5703125" customWidth="1"/>
    <col min="8961" max="8961" width="13.7109375" customWidth="1"/>
    <col min="8962" max="8962" width="12.85546875" customWidth="1"/>
    <col min="8963" max="8963" width="14.42578125" customWidth="1"/>
    <col min="8964" max="8964" width="13.85546875" customWidth="1"/>
    <col min="8965" max="8965" width="11.28515625" customWidth="1"/>
    <col min="8966" max="8966" width="15.7109375" customWidth="1"/>
    <col min="8967" max="8967" width="15" customWidth="1"/>
    <col min="8968" max="8968" width="16.5703125" customWidth="1"/>
    <col min="9217" max="9217" width="13.7109375" customWidth="1"/>
    <col min="9218" max="9218" width="12.85546875" customWidth="1"/>
    <col min="9219" max="9219" width="14.42578125" customWidth="1"/>
    <col min="9220" max="9220" width="13.85546875" customWidth="1"/>
    <col min="9221" max="9221" width="11.28515625" customWidth="1"/>
    <col min="9222" max="9222" width="15.7109375" customWidth="1"/>
    <col min="9223" max="9223" width="15" customWidth="1"/>
    <col min="9224" max="9224" width="16.5703125" customWidth="1"/>
    <col min="9473" max="9473" width="13.7109375" customWidth="1"/>
    <col min="9474" max="9474" width="12.85546875" customWidth="1"/>
    <col min="9475" max="9475" width="14.42578125" customWidth="1"/>
    <col min="9476" max="9476" width="13.85546875" customWidth="1"/>
    <col min="9477" max="9477" width="11.28515625" customWidth="1"/>
    <col min="9478" max="9478" width="15.7109375" customWidth="1"/>
    <col min="9479" max="9479" width="15" customWidth="1"/>
    <col min="9480" max="9480" width="16.5703125" customWidth="1"/>
    <col min="9729" max="9729" width="13.7109375" customWidth="1"/>
    <col min="9730" max="9730" width="12.85546875" customWidth="1"/>
    <col min="9731" max="9731" width="14.42578125" customWidth="1"/>
    <col min="9732" max="9732" width="13.85546875" customWidth="1"/>
    <col min="9733" max="9733" width="11.28515625" customWidth="1"/>
    <col min="9734" max="9734" width="15.7109375" customWidth="1"/>
    <col min="9735" max="9735" width="15" customWidth="1"/>
    <col min="9736" max="9736" width="16.5703125" customWidth="1"/>
    <col min="9985" max="9985" width="13.7109375" customWidth="1"/>
    <col min="9986" max="9986" width="12.85546875" customWidth="1"/>
    <col min="9987" max="9987" width="14.42578125" customWidth="1"/>
    <col min="9988" max="9988" width="13.85546875" customWidth="1"/>
    <col min="9989" max="9989" width="11.28515625" customWidth="1"/>
    <col min="9990" max="9990" width="15.7109375" customWidth="1"/>
    <col min="9991" max="9991" width="15" customWidth="1"/>
    <col min="9992" max="9992" width="16.5703125" customWidth="1"/>
    <col min="10241" max="10241" width="13.7109375" customWidth="1"/>
    <col min="10242" max="10242" width="12.85546875" customWidth="1"/>
    <col min="10243" max="10243" width="14.42578125" customWidth="1"/>
    <col min="10244" max="10244" width="13.85546875" customWidth="1"/>
    <col min="10245" max="10245" width="11.28515625" customWidth="1"/>
    <col min="10246" max="10246" width="15.7109375" customWidth="1"/>
    <col min="10247" max="10247" width="15" customWidth="1"/>
    <col min="10248" max="10248" width="16.5703125" customWidth="1"/>
    <col min="10497" max="10497" width="13.7109375" customWidth="1"/>
    <col min="10498" max="10498" width="12.85546875" customWidth="1"/>
    <col min="10499" max="10499" width="14.42578125" customWidth="1"/>
    <col min="10500" max="10500" width="13.85546875" customWidth="1"/>
    <col min="10501" max="10501" width="11.28515625" customWidth="1"/>
    <col min="10502" max="10502" width="15.7109375" customWidth="1"/>
    <col min="10503" max="10503" width="15" customWidth="1"/>
    <col min="10504" max="10504" width="16.5703125" customWidth="1"/>
    <col min="10753" max="10753" width="13.7109375" customWidth="1"/>
    <col min="10754" max="10754" width="12.85546875" customWidth="1"/>
    <col min="10755" max="10755" width="14.42578125" customWidth="1"/>
    <col min="10756" max="10756" width="13.85546875" customWidth="1"/>
    <col min="10757" max="10757" width="11.28515625" customWidth="1"/>
    <col min="10758" max="10758" width="15.7109375" customWidth="1"/>
    <col min="10759" max="10759" width="15" customWidth="1"/>
    <col min="10760" max="10760" width="16.5703125" customWidth="1"/>
    <col min="11009" max="11009" width="13.7109375" customWidth="1"/>
    <col min="11010" max="11010" width="12.85546875" customWidth="1"/>
    <col min="11011" max="11011" width="14.42578125" customWidth="1"/>
    <col min="11012" max="11012" width="13.85546875" customWidth="1"/>
    <col min="11013" max="11013" width="11.28515625" customWidth="1"/>
    <col min="11014" max="11014" width="15.7109375" customWidth="1"/>
    <col min="11015" max="11015" width="15" customWidth="1"/>
    <col min="11016" max="11016" width="16.5703125" customWidth="1"/>
    <col min="11265" max="11265" width="13.7109375" customWidth="1"/>
    <col min="11266" max="11266" width="12.85546875" customWidth="1"/>
    <col min="11267" max="11267" width="14.42578125" customWidth="1"/>
    <col min="11268" max="11268" width="13.85546875" customWidth="1"/>
    <col min="11269" max="11269" width="11.28515625" customWidth="1"/>
    <col min="11270" max="11270" width="15.7109375" customWidth="1"/>
    <col min="11271" max="11271" width="15" customWidth="1"/>
    <col min="11272" max="11272" width="16.5703125" customWidth="1"/>
    <col min="11521" max="11521" width="13.7109375" customWidth="1"/>
    <col min="11522" max="11522" width="12.85546875" customWidth="1"/>
    <col min="11523" max="11523" width="14.42578125" customWidth="1"/>
    <col min="11524" max="11524" width="13.85546875" customWidth="1"/>
    <col min="11525" max="11525" width="11.28515625" customWidth="1"/>
    <col min="11526" max="11526" width="15.7109375" customWidth="1"/>
    <col min="11527" max="11527" width="15" customWidth="1"/>
    <col min="11528" max="11528" width="16.5703125" customWidth="1"/>
    <col min="11777" max="11777" width="13.7109375" customWidth="1"/>
    <col min="11778" max="11778" width="12.85546875" customWidth="1"/>
    <col min="11779" max="11779" width="14.42578125" customWidth="1"/>
    <col min="11780" max="11780" width="13.85546875" customWidth="1"/>
    <col min="11781" max="11781" width="11.28515625" customWidth="1"/>
    <col min="11782" max="11782" width="15.7109375" customWidth="1"/>
    <col min="11783" max="11783" width="15" customWidth="1"/>
    <col min="11784" max="11784" width="16.5703125" customWidth="1"/>
    <col min="12033" max="12033" width="13.7109375" customWidth="1"/>
    <col min="12034" max="12034" width="12.85546875" customWidth="1"/>
    <col min="12035" max="12035" width="14.42578125" customWidth="1"/>
    <col min="12036" max="12036" width="13.85546875" customWidth="1"/>
    <col min="12037" max="12037" width="11.28515625" customWidth="1"/>
    <col min="12038" max="12038" width="15.7109375" customWidth="1"/>
    <col min="12039" max="12039" width="15" customWidth="1"/>
    <col min="12040" max="12040" width="16.5703125" customWidth="1"/>
    <col min="12289" max="12289" width="13.7109375" customWidth="1"/>
    <col min="12290" max="12290" width="12.85546875" customWidth="1"/>
    <col min="12291" max="12291" width="14.42578125" customWidth="1"/>
    <col min="12292" max="12292" width="13.85546875" customWidth="1"/>
    <col min="12293" max="12293" width="11.28515625" customWidth="1"/>
    <col min="12294" max="12294" width="15.7109375" customWidth="1"/>
    <col min="12295" max="12295" width="15" customWidth="1"/>
    <col min="12296" max="12296" width="16.5703125" customWidth="1"/>
    <col min="12545" max="12545" width="13.7109375" customWidth="1"/>
    <col min="12546" max="12546" width="12.85546875" customWidth="1"/>
    <col min="12547" max="12547" width="14.42578125" customWidth="1"/>
    <col min="12548" max="12548" width="13.85546875" customWidth="1"/>
    <col min="12549" max="12549" width="11.28515625" customWidth="1"/>
    <col min="12550" max="12550" width="15.7109375" customWidth="1"/>
    <col min="12551" max="12551" width="15" customWidth="1"/>
    <col min="12552" max="12552" width="16.5703125" customWidth="1"/>
    <col min="12801" max="12801" width="13.7109375" customWidth="1"/>
    <col min="12802" max="12802" width="12.85546875" customWidth="1"/>
    <col min="12803" max="12803" width="14.42578125" customWidth="1"/>
    <col min="12804" max="12804" width="13.85546875" customWidth="1"/>
    <col min="12805" max="12805" width="11.28515625" customWidth="1"/>
    <col min="12806" max="12806" width="15.7109375" customWidth="1"/>
    <col min="12807" max="12807" width="15" customWidth="1"/>
    <col min="12808" max="12808" width="16.5703125" customWidth="1"/>
    <col min="13057" max="13057" width="13.7109375" customWidth="1"/>
    <col min="13058" max="13058" width="12.85546875" customWidth="1"/>
    <col min="13059" max="13059" width="14.42578125" customWidth="1"/>
    <col min="13060" max="13060" width="13.85546875" customWidth="1"/>
    <col min="13061" max="13061" width="11.28515625" customWidth="1"/>
    <col min="13062" max="13062" width="15.7109375" customWidth="1"/>
    <col min="13063" max="13063" width="15" customWidth="1"/>
    <col min="13064" max="13064" width="16.5703125" customWidth="1"/>
    <col min="13313" max="13313" width="13.7109375" customWidth="1"/>
    <col min="13314" max="13314" width="12.85546875" customWidth="1"/>
    <col min="13315" max="13315" width="14.42578125" customWidth="1"/>
    <col min="13316" max="13316" width="13.85546875" customWidth="1"/>
    <col min="13317" max="13317" width="11.28515625" customWidth="1"/>
    <col min="13318" max="13318" width="15.7109375" customWidth="1"/>
    <col min="13319" max="13319" width="15" customWidth="1"/>
    <col min="13320" max="13320" width="16.5703125" customWidth="1"/>
    <col min="13569" max="13569" width="13.7109375" customWidth="1"/>
    <col min="13570" max="13570" width="12.85546875" customWidth="1"/>
    <col min="13571" max="13571" width="14.42578125" customWidth="1"/>
    <col min="13572" max="13572" width="13.85546875" customWidth="1"/>
    <col min="13573" max="13573" width="11.28515625" customWidth="1"/>
    <col min="13574" max="13574" width="15.7109375" customWidth="1"/>
    <col min="13575" max="13575" width="15" customWidth="1"/>
    <col min="13576" max="13576" width="16.5703125" customWidth="1"/>
    <col min="13825" max="13825" width="13.7109375" customWidth="1"/>
    <col min="13826" max="13826" width="12.85546875" customWidth="1"/>
    <col min="13827" max="13827" width="14.42578125" customWidth="1"/>
    <col min="13828" max="13828" width="13.85546875" customWidth="1"/>
    <col min="13829" max="13829" width="11.28515625" customWidth="1"/>
    <col min="13830" max="13830" width="15.7109375" customWidth="1"/>
    <col min="13831" max="13831" width="15" customWidth="1"/>
    <col min="13832" max="13832" width="16.5703125" customWidth="1"/>
    <col min="14081" max="14081" width="13.7109375" customWidth="1"/>
    <col min="14082" max="14082" width="12.85546875" customWidth="1"/>
    <col min="14083" max="14083" width="14.42578125" customWidth="1"/>
    <col min="14084" max="14084" width="13.85546875" customWidth="1"/>
    <col min="14085" max="14085" width="11.28515625" customWidth="1"/>
    <col min="14086" max="14086" width="15.7109375" customWidth="1"/>
    <col min="14087" max="14087" width="15" customWidth="1"/>
    <col min="14088" max="14088" width="16.5703125" customWidth="1"/>
    <col min="14337" max="14337" width="13.7109375" customWidth="1"/>
    <col min="14338" max="14338" width="12.85546875" customWidth="1"/>
    <col min="14339" max="14339" width="14.42578125" customWidth="1"/>
    <col min="14340" max="14340" width="13.85546875" customWidth="1"/>
    <col min="14341" max="14341" width="11.28515625" customWidth="1"/>
    <col min="14342" max="14342" width="15.7109375" customWidth="1"/>
    <col min="14343" max="14343" width="15" customWidth="1"/>
    <col min="14344" max="14344" width="16.5703125" customWidth="1"/>
    <col min="14593" max="14593" width="13.7109375" customWidth="1"/>
    <col min="14594" max="14594" width="12.85546875" customWidth="1"/>
    <col min="14595" max="14595" width="14.42578125" customWidth="1"/>
    <col min="14596" max="14596" width="13.85546875" customWidth="1"/>
    <col min="14597" max="14597" width="11.28515625" customWidth="1"/>
    <col min="14598" max="14598" width="15.7109375" customWidth="1"/>
    <col min="14599" max="14599" width="15" customWidth="1"/>
    <col min="14600" max="14600" width="16.5703125" customWidth="1"/>
    <col min="14849" max="14849" width="13.7109375" customWidth="1"/>
    <col min="14850" max="14850" width="12.85546875" customWidth="1"/>
    <col min="14851" max="14851" width="14.42578125" customWidth="1"/>
    <col min="14852" max="14852" width="13.85546875" customWidth="1"/>
    <col min="14853" max="14853" width="11.28515625" customWidth="1"/>
    <col min="14854" max="14854" width="15.7109375" customWidth="1"/>
    <col min="14855" max="14855" width="15" customWidth="1"/>
    <col min="14856" max="14856" width="16.5703125" customWidth="1"/>
    <col min="15105" max="15105" width="13.7109375" customWidth="1"/>
    <col min="15106" max="15106" width="12.85546875" customWidth="1"/>
    <col min="15107" max="15107" width="14.42578125" customWidth="1"/>
    <col min="15108" max="15108" width="13.85546875" customWidth="1"/>
    <col min="15109" max="15109" width="11.28515625" customWidth="1"/>
    <col min="15110" max="15110" width="15.7109375" customWidth="1"/>
    <col min="15111" max="15111" width="15" customWidth="1"/>
    <col min="15112" max="15112" width="16.5703125" customWidth="1"/>
    <col min="15361" max="15361" width="13.7109375" customWidth="1"/>
    <col min="15362" max="15362" width="12.85546875" customWidth="1"/>
    <col min="15363" max="15363" width="14.42578125" customWidth="1"/>
    <col min="15364" max="15364" width="13.85546875" customWidth="1"/>
    <col min="15365" max="15365" width="11.28515625" customWidth="1"/>
    <col min="15366" max="15366" width="15.7109375" customWidth="1"/>
    <col min="15367" max="15367" width="15" customWidth="1"/>
    <col min="15368" max="15368" width="16.5703125" customWidth="1"/>
    <col min="15617" max="15617" width="13.7109375" customWidth="1"/>
    <col min="15618" max="15618" width="12.85546875" customWidth="1"/>
    <col min="15619" max="15619" width="14.42578125" customWidth="1"/>
    <col min="15620" max="15620" width="13.85546875" customWidth="1"/>
    <col min="15621" max="15621" width="11.28515625" customWidth="1"/>
    <col min="15622" max="15622" width="15.7109375" customWidth="1"/>
    <col min="15623" max="15623" width="15" customWidth="1"/>
    <col min="15624" max="15624" width="16.5703125" customWidth="1"/>
    <col min="15873" max="15873" width="13.7109375" customWidth="1"/>
    <col min="15874" max="15874" width="12.85546875" customWidth="1"/>
    <col min="15875" max="15875" width="14.42578125" customWidth="1"/>
    <col min="15876" max="15876" width="13.85546875" customWidth="1"/>
    <col min="15877" max="15877" width="11.28515625" customWidth="1"/>
    <col min="15878" max="15878" width="15.7109375" customWidth="1"/>
    <col min="15879" max="15879" width="15" customWidth="1"/>
    <col min="15880" max="15880" width="16.5703125" customWidth="1"/>
    <col min="16129" max="16129" width="13.7109375" customWidth="1"/>
    <col min="16130" max="16130" width="12.85546875" customWidth="1"/>
    <col min="16131" max="16131" width="14.42578125" customWidth="1"/>
    <col min="16132" max="16132" width="13.85546875" customWidth="1"/>
    <col min="16133" max="16133" width="11.28515625" customWidth="1"/>
    <col min="16134" max="16134" width="15.7109375" customWidth="1"/>
    <col min="16135" max="16135" width="15" customWidth="1"/>
    <col min="16136" max="16136" width="16.5703125" customWidth="1"/>
  </cols>
  <sheetData>
    <row r="1" spans="1:25" ht="30" customHeight="1">
      <c r="A1" s="1264" t="s">
        <v>712</v>
      </c>
      <c r="B1" s="1264"/>
      <c r="C1" s="1264"/>
      <c r="D1" s="1264"/>
      <c r="E1" s="1264"/>
      <c r="F1" s="1264"/>
      <c r="G1" s="1264" t="s">
        <v>713</v>
      </c>
      <c r="H1" s="1264"/>
      <c r="I1" s="1264"/>
      <c r="J1" s="1264"/>
      <c r="K1" s="1264"/>
      <c r="L1" s="1264"/>
      <c r="M1" s="1264"/>
      <c r="N1" s="1264"/>
      <c r="O1" s="911" t="s">
        <v>987</v>
      </c>
      <c r="P1" s="911"/>
      <c r="Q1" s="911"/>
      <c r="R1" s="911"/>
      <c r="S1" s="911"/>
      <c r="T1" s="911"/>
      <c r="U1" s="911"/>
      <c r="V1" s="911"/>
      <c r="W1" s="911"/>
      <c r="X1" s="911"/>
    </row>
    <row r="2" spans="1:25" ht="22.15" customHeight="1">
      <c r="A2" s="1125" t="s">
        <v>329</v>
      </c>
      <c r="B2" s="1125"/>
      <c r="C2" s="1125"/>
      <c r="D2" s="1125"/>
      <c r="E2" s="1125"/>
      <c r="F2" s="1125"/>
      <c r="G2" s="1125" t="s">
        <v>329</v>
      </c>
      <c r="H2" s="1125"/>
      <c r="I2" s="1125"/>
      <c r="J2" s="1125"/>
      <c r="K2" s="1125"/>
      <c r="L2" s="1125"/>
      <c r="M2" s="1125"/>
      <c r="N2" s="1125"/>
      <c r="O2" s="1125" t="s">
        <v>329</v>
      </c>
      <c r="P2" s="1125"/>
      <c r="Q2" s="1125"/>
      <c r="R2" s="1125"/>
      <c r="S2" s="1125"/>
      <c r="T2" s="1125"/>
      <c r="U2" s="1125"/>
      <c r="V2" s="1125"/>
      <c r="W2" s="1125"/>
      <c r="X2" s="1125"/>
      <c r="Y2" s="1125"/>
    </row>
    <row r="3" spans="1:25" ht="27" customHeight="1">
      <c r="A3" s="1126" t="s">
        <v>330</v>
      </c>
      <c r="B3" s="1126"/>
      <c r="C3" s="1126"/>
      <c r="D3" s="1126"/>
      <c r="E3" s="1126"/>
      <c r="F3" s="1126"/>
      <c r="G3" s="1126" t="s">
        <v>330</v>
      </c>
      <c r="H3" s="1126"/>
      <c r="I3" s="1126"/>
      <c r="J3" s="1126"/>
      <c r="K3" s="1126"/>
      <c r="L3" s="1126"/>
      <c r="M3" s="1126"/>
      <c r="N3" s="1126"/>
      <c r="O3" s="1126" t="s">
        <v>330</v>
      </c>
      <c r="P3" s="1126"/>
      <c r="Q3" s="1126"/>
      <c r="R3" s="1126"/>
      <c r="S3" s="1126"/>
      <c r="T3" s="1126"/>
      <c r="U3" s="1126"/>
      <c r="V3" s="1126"/>
      <c r="W3" s="1126"/>
      <c r="X3" s="1126"/>
      <c r="Y3" s="1126"/>
    </row>
    <row r="4" spans="1:25" ht="15.75">
      <c r="A4" s="915" t="s">
        <v>331</v>
      </c>
      <c r="B4" s="915"/>
      <c r="C4" s="915"/>
      <c r="D4" t="s">
        <v>332</v>
      </c>
      <c r="G4" s="915" t="s">
        <v>331</v>
      </c>
      <c r="H4" s="915"/>
      <c r="I4" s="915"/>
      <c r="J4" t="s">
        <v>332</v>
      </c>
      <c r="O4" s="915" t="s">
        <v>331</v>
      </c>
      <c r="P4" s="915"/>
      <c r="Q4" s="915"/>
      <c r="R4" t="s">
        <v>332</v>
      </c>
    </row>
    <row r="6" spans="1:25" ht="25.9" customHeight="1">
      <c r="A6" s="113" t="s">
        <v>333</v>
      </c>
      <c r="B6" s="113" t="s">
        <v>334</v>
      </c>
      <c r="C6" s="910" t="s">
        <v>335</v>
      </c>
      <c r="D6" s="910"/>
      <c r="E6" s="910"/>
      <c r="F6" s="910"/>
      <c r="G6" s="113" t="s">
        <v>333</v>
      </c>
      <c r="H6" s="113" t="s">
        <v>334</v>
      </c>
      <c r="I6" s="910" t="s">
        <v>335</v>
      </c>
      <c r="J6" s="910"/>
      <c r="K6" s="910"/>
      <c r="L6" s="910"/>
      <c r="M6" s="910"/>
      <c r="N6" s="910"/>
      <c r="O6" s="113" t="s">
        <v>333</v>
      </c>
      <c r="P6" s="113" t="s">
        <v>334</v>
      </c>
      <c r="Q6" s="910" t="s">
        <v>335</v>
      </c>
      <c r="R6" s="910"/>
      <c r="S6" s="910"/>
      <c r="T6" s="910"/>
      <c r="U6" s="910"/>
      <c r="V6" s="910"/>
    </row>
    <row r="7" spans="1:25" ht="15.6" customHeight="1">
      <c r="A7" s="113" t="s">
        <v>336</v>
      </c>
      <c r="B7" s="113" t="s">
        <v>334</v>
      </c>
      <c r="C7" s="917" t="s">
        <v>337</v>
      </c>
      <c r="D7" s="917"/>
      <c r="E7" s="917"/>
      <c r="F7" s="917"/>
      <c r="G7" s="113" t="s">
        <v>336</v>
      </c>
      <c r="H7" s="113" t="s">
        <v>334</v>
      </c>
      <c r="I7" s="917" t="s">
        <v>337</v>
      </c>
      <c r="J7" s="917"/>
      <c r="K7" s="917"/>
      <c r="L7" s="917"/>
      <c r="M7" s="917"/>
      <c r="N7" s="917"/>
      <c r="O7" s="113" t="s">
        <v>336</v>
      </c>
      <c r="P7" s="113" t="s">
        <v>334</v>
      </c>
      <c r="Q7" s="917" t="s">
        <v>337</v>
      </c>
      <c r="R7" s="917"/>
      <c r="S7" s="917"/>
      <c r="T7" s="917"/>
      <c r="U7" s="917"/>
      <c r="V7" s="917"/>
    </row>
    <row r="8" spans="1:25" ht="18" customHeight="1">
      <c r="A8" s="113" t="s">
        <v>338</v>
      </c>
      <c r="B8" s="113" t="s">
        <v>334</v>
      </c>
      <c r="C8" s="917" t="s">
        <v>339</v>
      </c>
      <c r="D8" s="917"/>
      <c r="E8" s="917"/>
      <c r="F8" s="917"/>
      <c r="G8" s="113" t="s">
        <v>338</v>
      </c>
      <c r="H8" s="113" t="s">
        <v>334</v>
      </c>
      <c r="I8" s="917" t="s">
        <v>339</v>
      </c>
      <c r="J8" s="917"/>
      <c r="K8" s="917"/>
      <c r="L8" s="917"/>
      <c r="M8" s="917"/>
      <c r="N8" s="917"/>
      <c r="O8" s="113" t="s">
        <v>338</v>
      </c>
      <c r="P8" s="113" t="s">
        <v>334</v>
      </c>
      <c r="Q8" s="917" t="s">
        <v>339</v>
      </c>
      <c r="R8" s="917"/>
      <c r="S8" s="917"/>
      <c r="T8" s="917"/>
      <c r="U8" s="917"/>
      <c r="V8" s="917"/>
    </row>
    <row r="9" spans="1:25">
      <c r="A9" s="113" t="s">
        <v>340</v>
      </c>
      <c r="B9" s="113" t="s">
        <v>334</v>
      </c>
      <c r="C9" s="917" t="s">
        <v>341</v>
      </c>
      <c r="D9" s="917"/>
      <c r="E9" s="917"/>
      <c r="F9" s="917"/>
      <c r="G9" s="113" t="s">
        <v>340</v>
      </c>
      <c r="H9" s="113" t="s">
        <v>334</v>
      </c>
      <c r="I9" s="917" t="s">
        <v>341</v>
      </c>
      <c r="J9" s="917"/>
      <c r="K9" s="917"/>
      <c r="L9" s="917"/>
      <c r="O9" s="113" t="s">
        <v>340</v>
      </c>
      <c r="P9" s="113" t="s">
        <v>334</v>
      </c>
      <c r="Q9" s="917" t="s">
        <v>341</v>
      </c>
      <c r="R9" s="917"/>
      <c r="S9" s="917"/>
      <c r="T9" s="917"/>
    </row>
    <row r="10" spans="1:25">
      <c r="A10" s="113" t="s">
        <v>342</v>
      </c>
      <c r="B10" s="113" t="s">
        <v>334</v>
      </c>
      <c r="C10" s="917" t="s">
        <v>343</v>
      </c>
      <c r="D10" s="917"/>
      <c r="E10" s="917"/>
      <c r="F10" s="917"/>
      <c r="G10" s="113" t="s">
        <v>342</v>
      </c>
      <c r="H10" s="113" t="s">
        <v>334</v>
      </c>
      <c r="I10" s="917" t="s">
        <v>343</v>
      </c>
      <c r="J10" s="917"/>
      <c r="K10" s="917"/>
      <c r="L10" s="917"/>
      <c r="O10" s="113" t="s">
        <v>342</v>
      </c>
      <c r="P10" s="113" t="s">
        <v>334</v>
      </c>
      <c r="Q10" s="917" t="s">
        <v>343</v>
      </c>
      <c r="R10" s="917"/>
      <c r="S10" s="917"/>
      <c r="T10" s="917"/>
    </row>
    <row r="12" spans="1:25" ht="24.6" customHeight="1">
      <c r="A12" s="914" t="s">
        <v>344</v>
      </c>
      <c r="B12" s="914"/>
      <c r="C12" s="914"/>
      <c r="D12" s="914"/>
      <c r="E12" s="914"/>
      <c r="F12" s="914"/>
      <c r="G12" s="1263" t="s">
        <v>344</v>
      </c>
      <c r="H12" s="1263"/>
      <c r="I12" s="1263"/>
      <c r="J12" s="1263"/>
      <c r="K12" s="1263"/>
      <c r="L12" s="1263"/>
      <c r="M12" s="1263"/>
      <c r="N12" s="1263"/>
      <c r="O12" s="1263" t="s">
        <v>344</v>
      </c>
      <c r="P12" s="1263"/>
      <c r="Q12" s="1263"/>
      <c r="R12" s="1263"/>
      <c r="S12" s="1263"/>
      <c r="T12" s="1263"/>
      <c r="U12" s="1263"/>
      <c r="V12" s="1263"/>
      <c r="W12" s="1263"/>
      <c r="X12" s="1263"/>
      <c r="Y12" s="1263"/>
    </row>
    <row r="13" spans="1:25" ht="19.149999999999999" customHeight="1">
      <c r="A13" s="918" t="s">
        <v>345</v>
      </c>
      <c r="B13" s="918"/>
      <c r="C13" s="918"/>
      <c r="D13" s="114" t="s">
        <v>332</v>
      </c>
      <c r="G13" s="918" t="s">
        <v>345</v>
      </c>
      <c r="H13" s="918"/>
      <c r="I13" s="918"/>
      <c r="J13" s="114" t="s">
        <v>332</v>
      </c>
      <c r="O13" s="918" t="s">
        <v>345</v>
      </c>
      <c r="P13" s="918"/>
      <c r="Q13" s="918"/>
      <c r="R13" s="114" t="s">
        <v>332</v>
      </c>
    </row>
    <row r="14" spans="1:25" ht="14.45" customHeight="1">
      <c r="A14" s="115" t="s">
        <v>336</v>
      </c>
      <c r="B14" s="115" t="s">
        <v>334</v>
      </c>
      <c r="C14" s="1090" t="s">
        <v>337</v>
      </c>
      <c r="D14" s="1090"/>
      <c r="E14" s="1090"/>
      <c r="F14" s="1090"/>
      <c r="G14" s="115" t="s">
        <v>336</v>
      </c>
      <c r="H14" s="115" t="s">
        <v>334</v>
      </c>
      <c r="I14" s="919" t="s">
        <v>337</v>
      </c>
      <c r="J14" s="919"/>
      <c r="K14" s="919"/>
      <c r="L14" s="919"/>
      <c r="M14" s="919"/>
      <c r="N14" s="919"/>
      <c r="O14" s="115" t="s">
        <v>336</v>
      </c>
      <c r="P14" s="115" t="s">
        <v>334</v>
      </c>
      <c r="Q14" s="919" t="s">
        <v>337</v>
      </c>
      <c r="R14" s="919"/>
      <c r="S14" s="919"/>
      <c r="T14" s="919"/>
      <c r="U14" s="919"/>
      <c r="V14" s="919"/>
    </row>
    <row r="15" spans="1:25" ht="39" customHeight="1">
      <c r="A15" s="115" t="s">
        <v>346</v>
      </c>
      <c r="B15" s="115" t="s">
        <v>334</v>
      </c>
      <c r="C15" s="1090" t="s">
        <v>347</v>
      </c>
      <c r="D15" s="1090"/>
      <c r="E15" s="1090"/>
      <c r="F15" s="1090"/>
      <c r="G15" s="115" t="s">
        <v>346</v>
      </c>
      <c r="H15" s="115" t="s">
        <v>334</v>
      </c>
      <c r="I15" s="919" t="s">
        <v>347</v>
      </c>
      <c r="J15" s="919"/>
      <c r="K15" s="919"/>
      <c r="L15" s="919"/>
      <c r="M15" s="919"/>
      <c r="N15" s="919"/>
      <c r="O15" s="115" t="s">
        <v>346</v>
      </c>
      <c r="P15" s="115" t="s">
        <v>334</v>
      </c>
      <c r="Q15" s="919" t="s">
        <v>347</v>
      </c>
      <c r="R15" s="919"/>
      <c r="S15" s="919"/>
      <c r="T15" s="919"/>
      <c r="U15" s="919"/>
      <c r="V15" s="919"/>
      <c r="W15" s="919"/>
      <c r="X15" s="919"/>
      <c r="Y15" s="919"/>
    </row>
    <row r="16" spans="1:25" ht="14.45" customHeight="1">
      <c r="A16" s="115" t="s">
        <v>348</v>
      </c>
      <c r="B16" s="115" t="s">
        <v>334</v>
      </c>
      <c r="C16" s="1090" t="s">
        <v>349</v>
      </c>
      <c r="D16" s="1090"/>
      <c r="E16" s="1090"/>
      <c r="F16" s="1090"/>
      <c r="G16" s="115" t="s">
        <v>348</v>
      </c>
      <c r="H16" s="115" t="s">
        <v>334</v>
      </c>
      <c r="I16" s="919" t="s">
        <v>349</v>
      </c>
      <c r="J16" s="919"/>
      <c r="K16" s="919"/>
      <c r="L16" s="919"/>
      <c r="M16" s="919"/>
      <c r="N16" s="919"/>
      <c r="O16" s="115" t="s">
        <v>348</v>
      </c>
      <c r="P16" s="115" t="s">
        <v>334</v>
      </c>
      <c r="Q16" s="919" t="s">
        <v>349</v>
      </c>
      <c r="R16" s="919"/>
      <c r="S16" s="919"/>
      <c r="T16" s="919"/>
      <c r="U16" s="919"/>
      <c r="V16" s="919"/>
    </row>
    <row r="17" spans="1:25">
      <c r="A17" s="115" t="s">
        <v>350</v>
      </c>
      <c r="B17" s="115" t="s">
        <v>334</v>
      </c>
      <c r="C17" s="919" t="s">
        <v>351</v>
      </c>
      <c r="D17" s="919"/>
      <c r="E17" s="919"/>
      <c r="F17" s="919"/>
      <c r="G17" s="115" t="s">
        <v>350</v>
      </c>
      <c r="H17" s="115" t="s">
        <v>334</v>
      </c>
      <c r="I17" s="919" t="s">
        <v>351</v>
      </c>
      <c r="J17" s="919"/>
      <c r="K17" s="919"/>
      <c r="L17" s="919"/>
      <c r="M17" s="266"/>
      <c r="N17" s="266"/>
      <c r="O17" s="115" t="s">
        <v>350</v>
      </c>
      <c r="P17" s="115" t="s">
        <v>334</v>
      </c>
      <c r="Q17" s="919" t="s">
        <v>351</v>
      </c>
      <c r="R17" s="919"/>
      <c r="S17" s="919"/>
      <c r="T17" s="919"/>
      <c r="U17" s="266"/>
      <c r="V17" s="266"/>
    </row>
    <row r="19" spans="1:25" ht="25.15" customHeight="1">
      <c r="A19" s="920" t="s">
        <v>352</v>
      </c>
      <c r="B19" s="920"/>
      <c r="C19" s="920"/>
      <c r="D19" s="920"/>
      <c r="E19" s="920"/>
      <c r="F19" s="920"/>
      <c r="G19" s="1263" t="s">
        <v>352</v>
      </c>
      <c r="H19" s="1263"/>
      <c r="I19" s="1263"/>
      <c r="J19" s="1263"/>
      <c r="K19" s="1263"/>
      <c r="L19" s="1263"/>
      <c r="M19" s="1263"/>
      <c r="N19" s="1263"/>
      <c r="O19" s="1263" t="s">
        <v>352</v>
      </c>
      <c r="P19" s="1263"/>
      <c r="Q19" s="1263"/>
      <c r="R19" s="1263"/>
      <c r="S19" s="1263"/>
      <c r="T19" s="1263"/>
      <c r="U19" s="1263"/>
      <c r="V19" s="1263"/>
    </row>
    <row r="20" spans="1:25" ht="13.9" customHeight="1">
      <c r="A20" s="916" t="s">
        <v>353</v>
      </c>
      <c r="B20" s="916"/>
      <c r="D20" s="114" t="s">
        <v>332</v>
      </c>
      <c r="G20" s="916" t="s">
        <v>353</v>
      </c>
      <c r="H20" s="916"/>
      <c r="J20" s="114" t="s">
        <v>332</v>
      </c>
      <c r="O20" s="916" t="s">
        <v>353</v>
      </c>
      <c r="P20" s="916"/>
      <c r="R20" s="114" t="s">
        <v>332</v>
      </c>
    </row>
    <row r="21" spans="1:25" ht="14.45" customHeight="1">
      <c r="A21" s="115" t="s">
        <v>338</v>
      </c>
      <c r="B21" s="115" t="s">
        <v>334</v>
      </c>
      <c r="C21" s="1090" t="s">
        <v>339</v>
      </c>
      <c r="D21" s="1090"/>
      <c r="E21" s="1090"/>
      <c r="F21" s="1090"/>
      <c r="G21" s="115" t="s">
        <v>338</v>
      </c>
      <c r="H21" s="115" t="s">
        <v>334</v>
      </c>
      <c r="I21" s="919" t="s">
        <v>339</v>
      </c>
      <c r="J21" s="919"/>
      <c r="K21" s="919"/>
      <c r="L21" s="919"/>
      <c r="M21" s="919"/>
      <c r="N21" s="919"/>
      <c r="O21" s="115" t="s">
        <v>338</v>
      </c>
      <c r="P21" s="115" t="s">
        <v>334</v>
      </c>
      <c r="Q21" s="919" t="s">
        <v>339</v>
      </c>
      <c r="R21" s="919"/>
      <c r="S21" s="919"/>
      <c r="T21" s="919"/>
      <c r="U21" s="919"/>
      <c r="V21" s="919"/>
    </row>
    <row r="22" spans="1:25" ht="29.45" customHeight="1">
      <c r="A22" s="115" t="s">
        <v>354</v>
      </c>
      <c r="B22" s="115" t="s">
        <v>334</v>
      </c>
      <c r="C22" s="1090" t="s">
        <v>355</v>
      </c>
      <c r="D22" s="1090"/>
      <c r="E22" s="1090"/>
      <c r="F22" s="1090"/>
      <c r="G22" s="115" t="s">
        <v>354</v>
      </c>
      <c r="H22" s="115" t="s">
        <v>334</v>
      </c>
      <c r="I22" s="919" t="s">
        <v>355</v>
      </c>
      <c r="J22" s="919"/>
      <c r="K22" s="919"/>
      <c r="L22" s="919"/>
      <c r="M22" s="919"/>
      <c r="N22" s="919"/>
      <c r="O22" s="115" t="s">
        <v>354</v>
      </c>
      <c r="P22" s="115" t="s">
        <v>334</v>
      </c>
      <c r="Q22" s="919" t="s">
        <v>355</v>
      </c>
      <c r="R22" s="919"/>
      <c r="S22" s="919"/>
      <c r="T22" s="919"/>
      <c r="U22" s="919"/>
      <c r="V22" s="919"/>
      <c r="W22" s="919"/>
      <c r="X22" s="919"/>
      <c r="Y22" s="919"/>
    </row>
    <row r="23" spans="1:25" ht="36" customHeight="1">
      <c r="A23" s="116" t="s">
        <v>356</v>
      </c>
      <c r="B23" s="116" t="s">
        <v>334</v>
      </c>
      <c r="C23" s="919" t="s">
        <v>357</v>
      </c>
      <c r="D23" s="919"/>
      <c r="E23" s="919"/>
      <c r="F23" s="919"/>
      <c r="G23" s="116" t="s">
        <v>356</v>
      </c>
      <c r="H23" s="116" t="s">
        <v>334</v>
      </c>
      <c r="I23" s="919" t="s">
        <v>357</v>
      </c>
      <c r="J23" s="919"/>
      <c r="K23" s="919"/>
      <c r="L23" s="919"/>
      <c r="M23" s="919"/>
      <c r="N23" s="919"/>
      <c r="O23" s="116" t="s">
        <v>356</v>
      </c>
      <c r="P23" s="116" t="s">
        <v>334</v>
      </c>
      <c r="Q23" s="919" t="s">
        <v>357</v>
      </c>
      <c r="R23" s="919"/>
      <c r="S23" s="919"/>
      <c r="T23" s="919"/>
      <c r="U23" s="919"/>
      <c r="V23" s="919"/>
      <c r="W23" s="919"/>
      <c r="X23" s="919"/>
      <c r="Y23" s="919"/>
    </row>
    <row r="24" spans="1:25" ht="14.45" customHeight="1"/>
    <row r="25" spans="1:25">
      <c r="A25" s="117">
        <f>ЗВЕДЕНИЙ!X38</f>
        <v>170370.99055832994</v>
      </c>
      <c r="B25" s="118" t="s">
        <v>358</v>
      </c>
      <c r="D25" t="s">
        <v>1074</v>
      </c>
      <c r="E25" s="119"/>
      <c r="F25" s="120">
        <f>ROUND(A25/A26,5)</f>
        <v>7.6099999999999996E-3</v>
      </c>
      <c r="G25" s="117">
        <f>ЗВЕДЕНИЙ!V28</f>
        <v>158787.89189323998</v>
      </c>
      <c r="H25" s="118" t="s">
        <v>863</v>
      </c>
      <c r="J25" t="s">
        <v>1050</v>
      </c>
      <c r="K25" s="119"/>
      <c r="N25" s="120">
        <f>ROUND(G25/G26,5)</f>
        <v>7.1000000000000004E-3</v>
      </c>
      <c r="O25" s="117">
        <f>ЗВЕДЕНИЙ!W41</f>
        <v>197875.09973119432</v>
      </c>
      <c r="P25" s="118" t="s">
        <v>863</v>
      </c>
      <c r="R25" t="s">
        <v>1052</v>
      </c>
      <c r="S25" s="119"/>
      <c r="V25" s="120">
        <f>ROUND(O25/O26,5)</f>
        <v>8.8400000000000006E-3</v>
      </c>
    </row>
    <row r="26" spans="1:25">
      <c r="A26" s="121">
        <f>ROUND(25923646-(ЗВЕДЕНИЙ!V34-ЗВЕДЕНИЙ!V28)+814000,2)</f>
        <v>22376657.91</v>
      </c>
      <c r="B26" s="118" t="s">
        <v>1040</v>
      </c>
      <c r="G26" s="121">
        <f>A26</f>
        <v>22376657.91</v>
      </c>
      <c r="H26" s="118" t="s">
        <v>1039</v>
      </c>
      <c r="O26" s="121">
        <f>G26</f>
        <v>22376657.91</v>
      </c>
      <c r="P26" s="118" t="s">
        <v>1039</v>
      </c>
    </row>
    <row r="27" spans="1:25">
      <c r="B27" s="122"/>
      <c r="C27" s="923"/>
      <c r="D27" s="923"/>
      <c r="E27" s="123"/>
      <c r="F27" s="124"/>
      <c r="H27" s="122"/>
      <c r="I27" s="923"/>
      <c r="J27" s="923"/>
      <c r="K27" s="123"/>
      <c r="L27" s="124"/>
      <c r="P27" s="122"/>
      <c r="Q27" s="923"/>
      <c r="R27" s="923"/>
      <c r="S27" s="123"/>
      <c r="T27" s="124"/>
    </row>
    <row r="28" spans="1:25">
      <c r="C28" s="125"/>
      <c r="F28" s="126"/>
      <c r="I28" s="125"/>
      <c r="L28" s="126"/>
      <c r="Q28" s="125"/>
      <c r="T28" s="126"/>
    </row>
    <row r="29" spans="1:25" ht="31.9" customHeight="1">
      <c r="A29" s="548">
        <f>((ЗВЕДЕНИЙ!V34-ЗВЕДЕНИЙ!V28)*22%)+ЗВЕДЕНИЙ!V34-ЗВЕДЕНИЙ!V28</f>
        <v>5320405.4708892182</v>
      </c>
      <c r="B29" s="1265" t="s">
        <v>785</v>
      </c>
      <c r="C29" s="1265"/>
      <c r="D29" s="1266" t="s">
        <v>1049</v>
      </c>
      <c r="E29" s="1266"/>
      <c r="F29" s="577">
        <f>(A29*F25)/2088</f>
        <v>19.390941395338576</v>
      </c>
      <c r="G29" s="548">
        <f>((ЗВЕДЕНИЙ!V34-ЗВЕДЕНИЙ!V28)*22%)+ЗВЕДЕНИЙ!V34-G25</f>
        <v>5320405.4708892182</v>
      </c>
      <c r="H29" s="1066" t="s">
        <v>788</v>
      </c>
      <c r="I29" s="1066"/>
      <c r="J29" s="1261" t="s">
        <v>1051</v>
      </c>
      <c r="K29" s="1261"/>
      <c r="L29" s="123"/>
      <c r="M29" s="123"/>
      <c r="N29" s="577">
        <f>(G29*N25)/2088</f>
        <v>18.091417070552421</v>
      </c>
      <c r="O29" s="548">
        <f>G29</f>
        <v>5320405.4708892182</v>
      </c>
      <c r="P29" s="1066" t="s">
        <v>788</v>
      </c>
      <c r="Q29" s="1066"/>
      <c r="R29" s="1261" t="s">
        <v>1053</v>
      </c>
      <c r="S29" s="1261"/>
      <c r="T29" s="123"/>
      <c r="U29" s="123"/>
      <c r="V29" s="577">
        <f>(O29*V25)/2088</f>
        <v>22.525088296293433</v>
      </c>
    </row>
    <row r="30" spans="1:25">
      <c r="C30" s="125"/>
      <c r="I30" s="125"/>
      <c r="Q30" s="125"/>
    </row>
    <row r="31" spans="1:25">
      <c r="A31" s="129"/>
      <c r="B31" s="130"/>
      <c r="C31" s="131"/>
      <c r="D31" s="130"/>
      <c r="G31" s="129"/>
      <c r="H31" s="130"/>
      <c r="I31" s="131"/>
      <c r="J31" s="130"/>
      <c r="O31" s="129"/>
      <c r="P31" s="130"/>
      <c r="Q31" s="131"/>
      <c r="R31" s="130"/>
    </row>
    <row r="32" spans="1:25" ht="31.9" customHeight="1">
      <c r="A32" s="1262" t="s">
        <v>359</v>
      </c>
      <c r="B32" s="1262"/>
      <c r="C32" s="1262"/>
      <c r="D32" s="1262"/>
      <c r="E32" s="1262"/>
      <c r="F32" s="1262"/>
      <c r="G32" s="1262" t="s">
        <v>359</v>
      </c>
      <c r="H32" s="1262"/>
      <c r="I32" s="1262"/>
      <c r="J32" s="1262"/>
      <c r="K32" s="1262"/>
      <c r="L32" s="1262"/>
      <c r="M32" s="1262"/>
      <c r="N32" s="1262"/>
      <c r="O32" s="1262" t="s">
        <v>359</v>
      </c>
      <c r="P32" s="1262"/>
      <c r="Q32" s="1262"/>
      <c r="R32" s="1262"/>
      <c r="S32" s="1262"/>
      <c r="T32" s="1262"/>
      <c r="U32" s="1262"/>
      <c r="V32" s="1262"/>
      <c r="W32" s="1262"/>
      <c r="X32" s="1262"/>
      <c r="Y32" s="1262"/>
    </row>
    <row r="33" spans="1:25" ht="28.9" customHeight="1">
      <c r="A33" s="1267" t="s">
        <v>360</v>
      </c>
      <c r="B33" s="1267"/>
      <c r="C33" s="1267"/>
      <c r="D33" s="1267"/>
      <c r="E33" s="1267"/>
      <c r="F33" s="1267"/>
      <c r="G33" s="1262" t="s">
        <v>360</v>
      </c>
      <c r="H33" s="1262"/>
      <c r="I33" s="1262"/>
      <c r="J33" s="1262"/>
      <c r="K33" s="1262"/>
      <c r="L33" s="1262"/>
      <c r="M33" s="1262"/>
      <c r="N33" s="1262"/>
      <c r="O33" s="1262" t="s">
        <v>360</v>
      </c>
      <c r="P33" s="1262"/>
      <c r="Q33" s="1262"/>
      <c r="R33" s="1262"/>
      <c r="S33" s="1262"/>
      <c r="T33" s="1262"/>
      <c r="U33" s="1262"/>
      <c r="V33" s="1262"/>
      <c r="W33" s="1262"/>
      <c r="X33" s="1262"/>
      <c r="Y33" s="1262"/>
    </row>
    <row r="38" spans="1:25" ht="15.75">
      <c r="A38" s="295" t="s">
        <v>23</v>
      </c>
      <c r="B38" s="37"/>
      <c r="C38" s="51"/>
      <c r="E38" s="51" t="s">
        <v>51</v>
      </c>
      <c r="G38" s="295" t="s">
        <v>23</v>
      </c>
      <c r="H38" s="37"/>
      <c r="I38" s="51"/>
      <c r="L38" s="51" t="s">
        <v>51</v>
      </c>
      <c r="O38" s="295" t="s">
        <v>23</v>
      </c>
      <c r="P38" s="37"/>
      <c r="Q38" s="51"/>
      <c r="T38" s="51" t="s">
        <v>51</v>
      </c>
    </row>
  </sheetData>
  <mergeCells count="75">
    <mergeCell ref="G2:N2"/>
    <mergeCell ref="G1:N1"/>
    <mergeCell ref="G3:N3"/>
    <mergeCell ref="I6:N6"/>
    <mergeCell ref="I7:N7"/>
    <mergeCell ref="G4:I4"/>
    <mergeCell ref="G33:N33"/>
    <mergeCell ref="I27:J27"/>
    <mergeCell ref="I8:N8"/>
    <mergeCell ref="G12:N12"/>
    <mergeCell ref="I14:N14"/>
    <mergeCell ref="I15:N15"/>
    <mergeCell ref="I16:N16"/>
    <mergeCell ref="G19:N19"/>
    <mergeCell ref="I21:N21"/>
    <mergeCell ref="I22:N22"/>
    <mergeCell ref="G13:I13"/>
    <mergeCell ref="I17:L17"/>
    <mergeCell ref="I9:L9"/>
    <mergeCell ref="I10:L10"/>
    <mergeCell ref="G32:N32"/>
    <mergeCell ref="G20:H20"/>
    <mergeCell ref="A33:F33"/>
    <mergeCell ref="C21:F21"/>
    <mergeCell ref="C14:F14"/>
    <mergeCell ref="C15:F15"/>
    <mergeCell ref="C16:F16"/>
    <mergeCell ref="C17:F17"/>
    <mergeCell ref="A19:F19"/>
    <mergeCell ref="A20:B20"/>
    <mergeCell ref="I23:N23"/>
    <mergeCell ref="C23:F23"/>
    <mergeCell ref="C27:D27"/>
    <mergeCell ref="A32:F32"/>
    <mergeCell ref="H29:I29"/>
    <mergeCell ref="J29:K29"/>
    <mergeCell ref="B29:C29"/>
    <mergeCell ref="D29:E29"/>
    <mergeCell ref="A1:F1"/>
    <mergeCell ref="A2:F2"/>
    <mergeCell ref="A3:F3"/>
    <mergeCell ref="A4:C4"/>
    <mergeCell ref="C6:F6"/>
    <mergeCell ref="C7:F7"/>
    <mergeCell ref="C22:F22"/>
    <mergeCell ref="C8:F8"/>
    <mergeCell ref="C9:F9"/>
    <mergeCell ref="C10:F10"/>
    <mergeCell ref="A12:F12"/>
    <mergeCell ref="A13:C13"/>
    <mergeCell ref="O4:Q4"/>
    <mergeCell ref="Q6:V6"/>
    <mergeCell ref="O1:X1"/>
    <mergeCell ref="O2:Y2"/>
    <mergeCell ref="O3:Y3"/>
    <mergeCell ref="Q7:V7"/>
    <mergeCell ref="Q8:V8"/>
    <mergeCell ref="Q9:T9"/>
    <mergeCell ref="Q10:T10"/>
    <mergeCell ref="O12:Y12"/>
    <mergeCell ref="O13:Q13"/>
    <mergeCell ref="Q14:V14"/>
    <mergeCell ref="Q16:V16"/>
    <mergeCell ref="Q17:T17"/>
    <mergeCell ref="Q15:Y15"/>
    <mergeCell ref="O19:V19"/>
    <mergeCell ref="O20:P20"/>
    <mergeCell ref="Q21:V21"/>
    <mergeCell ref="Q22:Y22"/>
    <mergeCell ref="Q23:Y23"/>
    <mergeCell ref="Q27:R27"/>
    <mergeCell ref="P29:Q29"/>
    <mergeCell ref="R29:S29"/>
    <mergeCell ref="O32:Y32"/>
    <mergeCell ref="O33:Y33"/>
  </mergeCells>
  <printOptions horizontalCentered="1"/>
  <pageMargins left="0.51181102362204722" right="0.70866141732283472" top="0.74803149606299213" bottom="0.94488188976377963" header="0.31496062992125984" footer="0.31496062992125984"/>
  <pageSetup paperSize="9" scale="80" orientation="portrait" r:id="rId1"/>
  <colBreaks count="2" manualBreakCount="2">
    <brk id="6" max="1048575" man="1"/>
    <brk id="14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43"/>
  <sheetViews>
    <sheetView view="pageBreakPreview" topLeftCell="A19" zoomScale="82" zoomScaleNormal="100" zoomScaleSheetLayoutView="82" workbookViewId="0">
      <selection activeCell="D36" sqref="D36"/>
    </sheetView>
  </sheetViews>
  <sheetFormatPr defaultRowHeight="15"/>
  <cols>
    <col min="1" max="1" width="18.42578125" customWidth="1"/>
    <col min="2" max="2" width="8.7109375" customWidth="1"/>
    <col min="3" max="3" width="12.140625" customWidth="1"/>
    <col min="4" max="4" width="14.28515625" customWidth="1"/>
    <col min="5" max="5" width="12.140625" customWidth="1"/>
    <col min="6" max="6" width="13.42578125" customWidth="1"/>
    <col min="7" max="7" width="16" customWidth="1"/>
    <col min="8" max="8" width="9.28515625" customWidth="1"/>
  </cols>
  <sheetData>
    <row r="1" spans="1:11" ht="15.75" hidden="1">
      <c r="A1" s="189" t="s">
        <v>510</v>
      </c>
    </row>
    <row r="2" spans="1:11" ht="17.45" hidden="1" customHeight="1">
      <c r="A2" s="926" t="s">
        <v>476</v>
      </c>
      <c r="B2" s="927"/>
      <c r="C2" s="927"/>
      <c r="D2" s="927"/>
      <c r="E2" s="927"/>
      <c r="F2" s="927"/>
    </row>
    <row r="3" spans="1:11" ht="15.6" hidden="1" customHeight="1">
      <c r="A3" s="928" t="s">
        <v>511</v>
      </c>
      <c r="B3" s="929"/>
      <c r="C3" s="929"/>
      <c r="D3" s="929"/>
      <c r="E3" s="929"/>
      <c r="F3" s="929"/>
    </row>
    <row r="4" spans="1:11" ht="15.6" customHeight="1">
      <c r="A4" s="189" t="s">
        <v>801</v>
      </c>
      <c r="B4" s="245"/>
      <c r="C4" s="245"/>
      <c r="D4" s="245"/>
      <c r="E4" s="245"/>
      <c r="F4" s="245"/>
    </row>
    <row r="5" spans="1:11" ht="14.45" customHeight="1">
      <c r="A5" s="190" t="s">
        <v>512</v>
      </c>
      <c r="B5" s="497"/>
      <c r="C5" s="497"/>
      <c r="D5" s="497"/>
      <c r="E5" s="497"/>
      <c r="F5" s="497"/>
    </row>
    <row r="6" spans="1:11" ht="15" customHeight="1">
      <c r="A6" s="930" t="s">
        <v>752</v>
      </c>
      <c r="B6" s="930"/>
      <c r="C6" s="930"/>
      <c r="D6" s="930"/>
      <c r="E6" s="930"/>
      <c r="F6" s="930"/>
      <c r="K6" s="123">
        <v>2088</v>
      </c>
    </row>
    <row r="7" spans="1:11" ht="15" customHeight="1">
      <c r="K7">
        <v>2009.7</v>
      </c>
    </row>
    <row r="8" spans="1:11" ht="15" customHeight="1"/>
    <row r="9" spans="1:11" ht="15" customHeight="1"/>
    <row r="10" spans="1:11" ht="30.6" customHeight="1">
      <c r="A10" s="931" t="s">
        <v>518</v>
      </c>
      <c r="B10" s="931"/>
      <c r="C10" s="931"/>
      <c r="D10" s="932"/>
      <c r="E10" s="933" t="s">
        <v>753</v>
      </c>
      <c r="F10" s="931"/>
      <c r="G10" s="931"/>
      <c r="H10" s="432"/>
    </row>
    <row r="11" spans="1:11" ht="25.15" customHeight="1">
      <c r="A11" s="936" t="s">
        <v>306</v>
      </c>
      <c r="B11" s="937"/>
      <c r="C11" s="937"/>
      <c r="D11" s="937"/>
      <c r="E11" s="937"/>
      <c r="F11" s="937"/>
      <c r="G11" s="937"/>
      <c r="H11" s="937"/>
    </row>
    <row r="12" spans="1:11" ht="55.9" customHeight="1">
      <c r="A12" s="934" t="s">
        <v>307</v>
      </c>
      <c r="B12" s="935"/>
      <c r="C12" s="2" t="s">
        <v>453</v>
      </c>
      <c r="D12" s="500" t="s">
        <v>82</v>
      </c>
      <c r="E12" s="498"/>
      <c r="F12" s="274" t="s">
        <v>453</v>
      </c>
      <c r="G12" s="262" t="s">
        <v>82</v>
      </c>
      <c r="H12" s="208" t="s">
        <v>728</v>
      </c>
    </row>
    <row r="13" spans="1:11" ht="40.9" customHeight="1" thickBot="1">
      <c r="A13" s="515" t="s">
        <v>631</v>
      </c>
      <c r="B13" s="361">
        <f>ЗВЕДЕНИЙ!W62</f>
        <v>215771.26</v>
      </c>
      <c r="C13" s="275">
        <f>ROUND(B13/K7,2)</f>
        <v>107.36</v>
      </c>
      <c r="D13" s="340" t="s">
        <v>1083</v>
      </c>
      <c r="E13" s="499">
        <f>ЗВЕДЕНИЙ!V60</f>
        <v>208174.03504779999</v>
      </c>
      <c r="F13" s="406">
        <f>E13/K6</f>
        <v>99.700208356226042</v>
      </c>
      <c r="G13" s="264" t="s">
        <v>971</v>
      </c>
      <c r="H13" s="438">
        <f>(C13+F13)/2</f>
        <v>103.53010417811302</v>
      </c>
    </row>
    <row r="14" spans="1:11" ht="15.6" customHeight="1" thickBot="1">
      <c r="A14" s="214" t="s">
        <v>309</v>
      </c>
      <c r="B14" s="193"/>
      <c r="C14" s="275">
        <f>ROUND(SUM(C13),2)</f>
        <v>107.36</v>
      </c>
      <c r="D14" s="501"/>
      <c r="E14" s="253"/>
      <c r="F14" s="332">
        <f>ROUND(SUM(F13),2)</f>
        <v>99.7</v>
      </c>
      <c r="G14" s="437"/>
      <c r="H14" s="439">
        <f>ROUND(H13,2)</f>
        <v>103.53</v>
      </c>
    </row>
    <row r="15" spans="1:11">
      <c r="A15" s="506"/>
      <c r="B15" s="252"/>
      <c r="C15" s="252"/>
      <c r="D15" s="252"/>
      <c r="E15" s="252"/>
      <c r="F15" s="252"/>
      <c r="G15" s="190"/>
    </row>
    <row r="16" spans="1:11" ht="14.45" customHeight="1">
      <c r="A16" s="945" t="s">
        <v>482</v>
      </c>
      <c r="B16" s="946"/>
      <c r="C16" s="369">
        <f>ROUND(H14*22%,2)</f>
        <v>22.78</v>
      </c>
      <c r="D16" s="507" t="s">
        <v>972</v>
      </c>
      <c r="E16" s="511"/>
      <c r="G16" s="510"/>
      <c r="H16" s="232">
        <f>C16</f>
        <v>22.78</v>
      </c>
    </row>
    <row r="17" spans="1:8" ht="14.45" customHeight="1">
      <c r="A17" s="941" t="s">
        <v>454</v>
      </c>
      <c r="B17" s="942"/>
      <c r="C17" s="942"/>
      <c r="D17" s="942"/>
      <c r="E17" s="942"/>
      <c r="F17" s="942"/>
      <c r="G17" s="943"/>
      <c r="H17" s="216"/>
    </row>
    <row r="18" spans="1:8" ht="25.15" customHeight="1">
      <c r="A18" s="210" t="s">
        <v>483</v>
      </c>
      <c r="B18" s="209">
        <v>10.220000000000001</v>
      </c>
      <c r="C18" s="329">
        <f>ROUND(182/1000*B18,2)</f>
        <v>1.86</v>
      </c>
      <c r="D18" s="523" t="s">
        <v>908</v>
      </c>
      <c r="E18" s="490">
        <v>10.220000000000001</v>
      </c>
      <c r="F18" s="361">
        <f>ROUND(((144/1000)*10.22),2)</f>
        <v>1.47</v>
      </c>
      <c r="G18" s="513" t="s">
        <v>928</v>
      </c>
      <c r="H18" s="514"/>
    </row>
    <row r="19" spans="1:8" ht="56.25">
      <c r="A19" s="210" t="s">
        <v>374</v>
      </c>
      <c r="B19" s="209">
        <v>3590.72</v>
      </c>
      <c r="C19" s="329">
        <f>ROUND(((0.058*8.8)*B19)/2009.7,2)</f>
        <v>0.91</v>
      </c>
      <c r="D19" s="524" t="s">
        <v>980</v>
      </c>
      <c r="E19" s="490">
        <v>3590.72</v>
      </c>
      <c r="F19" s="361">
        <f>ROUND((0.058*39.5)*(E19/2088),2)</f>
        <v>3.94</v>
      </c>
      <c r="G19" s="212" t="s">
        <v>981</v>
      </c>
      <c r="H19" s="514"/>
    </row>
    <row r="20" spans="1:8" ht="28.15" customHeight="1">
      <c r="A20" s="213" t="s">
        <v>56</v>
      </c>
      <c r="B20" s="191"/>
      <c r="C20" s="277"/>
      <c r="D20" s="504">
        <v>0.15</v>
      </c>
      <c r="E20" s="503"/>
      <c r="F20" s="342"/>
      <c r="G20" s="193"/>
      <c r="H20" s="514"/>
    </row>
    <row r="21" spans="1:8">
      <c r="A21" s="213" t="s">
        <v>309</v>
      </c>
      <c r="B21" s="191"/>
      <c r="C21" s="508">
        <f>ROUND(C18+C19,2)</f>
        <v>2.77</v>
      </c>
      <c r="D21" s="505"/>
      <c r="E21" s="502"/>
      <c r="F21" s="387">
        <f>ROUND(F18+F19,2)</f>
        <v>5.41</v>
      </c>
      <c r="G21" s="217">
        <f>(C21+F21)/2</f>
        <v>4.09</v>
      </c>
      <c r="H21" s="514"/>
    </row>
    <row r="22" spans="1:8" ht="14.45" customHeight="1">
      <c r="A22" s="213"/>
      <c r="B22" s="191"/>
      <c r="C22" s="277"/>
      <c r="D22" s="501"/>
      <c r="E22" s="509"/>
      <c r="F22" s="512"/>
      <c r="G22" s="529"/>
      <c r="H22" s="514"/>
    </row>
    <row r="23" spans="1:8" ht="19.149999999999999" customHeight="1">
      <c r="A23" s="944" t="s">
        <v>647</v>
      </c>
      <c r="B23" s="944"/>
      <c r="C23" s="944"/>
      <c r="D23" s="944"/>
      <c r="E23" s="944"/>
      <c r="F23" s="944"/>
      <c r="G23" s="944"/>
      <c r="H23" s="514"/>
    </row>
    <row r="24" spans="1:8" ht="16.149999999999999" customHeight="1">
      <c r="A24" s="947" t="s">
        <v>756</v>
      </c>
      <c r="B24" s="948"/>
      <c r="C24" s="948"/>
      <c r="D24" s="948"/>
      <c r="E24" s="948"/>
      <c r="F24" s="948"/>
      <c r="G24" s="948"/>
      <c r="H24" s="514"/>
    </row>
    <row r="25" spans="1:8" ht="16.149999999999999" customHeight="1">
      <c r="A25" s="516" t="s">
        <v>757</v>
      </c>
      <c r="B25" s="518" t="s">
        <v>755</v>
      </c>
      <c r="C25" s="518"/>
      <c r="D25" s="526"/>
      <c r="E25" s="519" t="s">
        <v>931</v>
      </c>
      <c r="F25" s="519"/>
      <c r="G25" s="190"/>
      <c r="H25" s="514"/>
    </row>
    <row r="26" spans="1:8">
      <c r="A26" s="366" t="s">
        <v>473</v>
      </c>
      <c r="B26" s="330">
        <v>4</v>
      </c>
      <c r="C26" s="332">
        <f>ROUND(B26/1000*10.22,2)</f>
        <v>0.04</v>
      </c>
      <c r="D26" s="527" t="s">
        <v>929</v>
      </c>
      <c r="E26" s="733">
        <v>6</v>
      </c>
      <c r="F26" s="626">
        <f>ROUND(E26/1000*10.22,2)</f>
        <v>0.06</v>
      </c>
      <c r="G26" s="249" t="s">
        <v>934</v>
      </c>
      <c r="H26" s="514"/>
    </row>
    <row r="27" spans="1:8">
      <c r="A27" s="517" t="s">
        <v>652</v>
      </c>
      <c r="B27" s="330"/>
      <c r="C27" s="332">
        <f>ROUND(B27/2009.7,2)</f>
        <v>0</v>
      </c>
      <c r="D27" s="527" t="s">
        <v>930</v>
      </c>
      <c r="E27" s="731">
        <v>623.33000000000004</v>
      </c>
      <c r="F27" s="732">
        <f>ROUND(E27/2088,2)</f>
        <v>0.3</v>
      </c>
      <c r="G27" s="249" t="s">
        <v>1022</v>
      </c>
    </row>
    <row r="28" spans="1:8" ht="15.75">
      <c r="A28" s="206" t="s">
        <v>648</v>
      </c>
      <c r="B28" s="206"/>
      <c r="C28" s="260">
        <f>ROUND(SUM(C26:C27),2)</f>
        <v>0.04</v>
      </c>
      <c r="D28" s="528"/>
      <c r="E28" s="525"/>
      <c r="F28" s="260">
        <f>ROUND(SUM(F26:F27),2)</f>
        <v>0.36</v>
      </c>
      <c r="G28" s="730">
        <f>(C28+F28)/2</f>
        <v>0.19999999999999998</v>
      </c>
      <c r="H28" s="522"/>
    </row>
    <row r="29" spans="1:8">
      <c r="A29" s="520"/>
    </row>
    <row r="30" spans="1:8">
      <c r="A30" s="938" t="s">
        <v>552</v>
      </c>
      <c r="B30" s="939"/>
      <c r="C30" s="939"/>
      <c r="D30" s="940"/>
      <c r="E30" s="190"/>
      <c r="F30" s="190"/>
    </row>
    <row r="31" spans="1:8">
      <c r="A31" s="951" t="str">
        <f>A13</f>
        <v>Заробітна плата</v>
      </c>
      <c r="B31" s="951"/>
      <c r="C31" s="951"/>
      <c r="D31" s="217">
        <f>H14</f>
        <v>103.53</v>
      </c>
      <c r="F31" s="230"/>
    </row>
    <row r="32" spans="1:8" ht="14.45" customHeight="1">
      <c r="A32" s="951" t="str">
        <f>A16</f>
        <v>Нарахування на з/п</v>
      </c>
      <c r="B32" s="951"/>
      <c r="C32" s="951"/>
      <c r="D32" s="217">
        <f>H16</f>
        <v>22.78</v>
      </c>
    </row>
    <row r="33" spans="1:7">
      <c r="A33" s="951" t="str">
        <f>A17</f>
        <v>Інші прямі витрати</v>
      </c>
      <c r="B33" s="951"/>
      <c r="C33" s="951"/>
      <c r="D33" s="256">
        <f>G28</f>
        <v>0.19999999999999998</v>
      </c>
      <c r="F33" s="462"/>
    </row>
    <row r="34" spans="1:7">
      <c r="A34" s="951" t="str">
        <f>A23</f>
        <v xml:space="preserve">Розрахунок прямих матеріальних витрат </v>
      </c>
      <c r="B34" s="951"/>
      <c r="C34" s="951"/>
      <c r="D34" s="531">
        <f>G21</f>
        <v>4.09</v>
      </c>
      <c r="E34" s="530"/>
      <c r="F34" s="530"/>
    </row>
    <row r="35" spans="1:7">
      <c r="A35" s="952" t="str">
        <f>A20</f>
        <v>Адміністративні витрати</v>
      </c>
      <c r="B35" s="952"/>
      <c r="C35" s="952"/>
      <c r="D35" s="217">
        <f>ROUND((D31+D32)*15%,2)</f>
        <v>18.95</v>
      </c>
    </row>
    <row r="36" spans="1:7">
      <c r="A36" s="953" t="s">
        <v>309</v>
      </c>
      <c r="B36" s="954"/>
      <c r="C36" s="955"/>
      <c r="D36" s="217">
        <f>ROUND(SUM(D31:D35),2)</f>
        <v>149.55000000000001</v>
      </c>
    </row>
    <row r="37" spans="1:7" ht="25.15" customHeight="1">
      <c r="A37" s="930"/>
      <c r="B37" s="930"/>
      <c r="C37" s="930"/>
      <c r="D37" s="930"/>
      <c r="E37" s="930"/>
      <c r="F37" s="930"/>
      <c r="G37" s="462"/>
    </row>
    <row r="38" spans="1:7">
      <c r="A38" s="190"/>
      <c r="B38" s="949"/>
      <c r="C38" s="949"/>
      <c r="D38" s="431"/>
      <c r="E38" s="431"/>
      <c r="F38" s="190"/>
    </row>
    <row r="39" spans="1:7">
      <c r="A39" s="190"/>
      <c r="B39" s="950"/>
      <c r="C39" s="950"/>
      <c r="D39" s="190"/>
      <c r="E39" s="463"/>
      <c r="F39" s="190"/>
    </row>
    <row r="43" spans="1:7" ht="15.75">
      <c r="A43" s="295" t="s">
        <v>23</v>
      </c>
      <c r="C43" s="37"/>
      <c r="D43" s="51"/>
      <c r="G43" s="51" t="s">
        <v>51</v>
      </c>
    </row>
  </sheetData>
  <mergeCells count="21">
    <mergeCell ref="B38:C38"/>
    <mergeCell ref="B39:C39"/>
    <mergeCell ref="A37:F37"/>
    <mergeCell ref="A31:C31"/>
    <mergeCell ref="A32:C32"/>
    <mergeCell ref="A33:C33"/>
    <mergeCell ref="A34:C34"/>
    <mergeCell ref="A35:C35"/>
    <mergeCell ref="A36:C36"/>
    <mergeCell ref="A12:B12"/>
    <mergeCell ref="A11:H11"/>
    <mergeCell ref="A30:D30"/>
    <mergeCell ref="A17:G17"/>
    <mergeCell ref="A23:G23"/>
    <mergeCell ref="A16:B16"/>
    <mergeCell ref="A24:G24"/>
    <mergeCell ref="A2:F2"/>
    <mergeCell ref="A3:F3"/>
    <mergeCell ref="A6:F6"/>
    <mergeCell ref="A10:D10"/>
    <mergeCell ref="E10:G10"/>
  </mergeCells>
  <printOptions horizontalCentered="1"/>
  <pageMargins left="0.70866141732283472" right="0.51181102362204722" top="0.55118110236220474" bottom="0.55118110236220474" header="0.31496062992125984" footer="0.31496062992125984"/>
  <pageSetup paperSize="9" scale="85" orientation="portrait" r:id="rId1"/>
  <rowBreaks count="1" manualBreakCount="1">
    <brk id="4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39"/>
  <sheetViews>
    <sheetView view="pageBreakPreview" topLeftCell="A7" zoomScaleSheetLayoutView="100" workbookViewId="0">
      <selection activeCell="E13" sqref="E13"/>
    </sheetView>
  </sheetViews>
  <sheetFormatPr defaultRowHeight="15"/>
  <cols>
    <col min="1" max="1" width="3.28515625" customWidth="1"/>
    <col min="3" max="3" width="18.42578125" customWidth="1"/>
    <col min="4" max="4" width="9.7109375" customWidth="1"/>
    <col min="5" max="5" width="12.85546875" customWidth="1"/>
    <col min="6" max="6" width="24.28515625" customWidth="1"/>
    <col min="8" max="8" width="22.28515625" customWidth="1"/>
  </cols>
  <sheetData>
    <row r="1" spans="1:8" ht="15.75">
      <c r="A1" s="972" t="s">
        <v>804</v>
      </c>
      <c r="B1" s="972"/>
      <c r="C1" s="972"/>
      <c r="D1" s="972"/>
      <c r="E1" s="972"/>
      <c r="F1" s="972"/>
      <c r="G1" s="972"/>
    </row>
    <row r="2" spans="1:8" ht="15.75">
      <c r="A2" s="189" t="s">
        <v>145</v>
      </c>
      <c r="G2" s="123"/>
    </row>
    <row r="3" spans="1:8" ht="42.6" customHeight="1">
      <c r="A3" s="974" t="s">
        <v>698</v>
      </c>
      <c r="B3" s="974"/>
      <c r="C3" s="974"/>
      <c r="D3" s="974"/>
      <c r="E3" s="974"/>
      <c r="F3" s="974"/>
      <c r="G3" s="974"/>
      <c r="H3" s="433"/>
    </row>
    <row r="4" spans="1:8">
      <c r="A4" s="956" t="s">
        <v>479</v>
      </c>
      <c r="B4" s="956"/>
      <c r="C4" s="956"/>
      <c r="D4" s="956"/>
      <c r="E4" s="956"/>
      <c r="F4" s="956"/>
      <c r="G4" s="956"/>
      <c r="H4" s="433"/>
    </row>
    <row r="5" spans="1:8" ht="28.9" customHeight="1">
      <c r="A5" s="957" t="s">
        <v>764</v>
      </c>
      <c r="B5" s="957"/>
      <c r="C5" s="957"/>
      <c r="D5" s="957"/>
      <c r="E5" s="957"/>
      <c r="F5" s="957"/>
      <c r="G5" s="957"/>
      <c r="H5" s="433"/>
    </row>
    <row r="6" spans="1:8">
      <c r="A6" s="140" t="s">
        <v>306</v>
      </c>
      <c r="B6" s="252"/>
      <c r="C6" s="252"/>
      <c r="D6" s="252"/>
      <c r="E6" s="252"/>
      <c r="F6" s="252"/>
    </row>
    <row r="7" spans="1:8" ht="72">
      <c r="A7" s="206" t="s">
        <v>296</v>
      </c>
      <c r="B7" s="959" t="s">
        <v>307</v>
      </c>
      <c r="C7" s="959"/>
      <c r="D7" s="207"/>
      <c r="E7" s="274" t="s">
        <v>308</v>
      </c>
      <c r="F7" s="328" t="s">
        <v>82</v>
      </c>
      <c r="H7" s="436">
        <v>174</v>
      </c>
    </row>
    <row r="8" spans="1:8">
      <c r="A8" s="193" t="s">
        <v>296</v>
      </c>
      <c r="B8" s="951" t="s">
        <v>631</v>
      </c>
      <c r="C8" s="951"/>
      <c r="D8" s="275">
        <f>ЗВЕДЕНИЙ!V28</f>
        <v>158787.89189323998</v>
      </c>
      <c r="E8" s="275">
        <f>ROUND(D8/12/H7,2)</f>
        <v>76.05</v>
      </c>
      <c r="F8" s="340" t="s">
        <v>968</v>
      </c>
    </row>
    <row r="9" spans="1:8">
      <c r="A9" s="193" t="s">
        <v>219</v>
      </c>
      <c r="B9" s="951" t="s">
        <v>482</v>
      </c>
      <c r="C9" s="951"/>
      <c r="D9" s="207"/>
      <c r="E9" s="275">
        <f>ROUND(E8*22%,2)</f>
        <v>16.73</v>
      </c>
      <c r="F9" s="340" t="s">
        <v>969</v>
      </c>
    </row>
    <row r="10" spans="1:8">
      <c r="A10" s="193" t="s">
        <v>223</v>
      </c>
      <c r="B10" s="960" t="s">
        <v>817</v>
      </c>
      <c r="C10" s="960"/>
      <c r="D10" s="207"/>
      <c r="E10" s="260">
        <f>ROUND(E12+E11,2)</f>
        <v>1.84</v>
      </c>
      <c r="F10" s="340"/>
    </row>
    <row r="11" spans="1:8" ht="25.15" customHeight="1">
      <c r="A11" s="193"/>
      <c r="B11" s="961" t="s">
        <v>483</v>
      </c>
      <c r="C11" s="961"/>
      <c r="D11" s="209">
        <v>10.220000000000001</v>
      </c>
      <c r="E11" s="329">
        <f>ROUND(40/1000*D11,2)</f>
        <v>0.41</v>
      </c>
      <c r="F11" s="341" t="s">
        <v>911</v>
      </c>
    </row>
    <row r="12" spans="1:8" ht="19.899999999999999" customHeight="1">
      <c r="A12" s="193"/>
      <c r="B12" s="961" t="s">
        <v>374</v>
      </c>
      <c r="C12" s="961"/>
      <c r="D12" s="209">
        <v>3590.72</v>
      </c>
      <c r="E12" s="329">
        <f>ROUND(((0.058*14.3)*D12)/2088,2)</f>
        <v>1.43</v>
      </c>
      <c r="F12" s="234" t="s">
        <v>978</v>
      </c>
    </row>
    <row r="13" spans="1:8">
      <c r="A13" s="193" t="s">
        <v>235</v>
      </c>
      <c r="B13" s="960" t="s">
        <v>56</v>
      </c>
      <c r="C13" s="960"/>
      <c r="D13" s="192">
        <v>0.15</v>
      </c>
      <c r="E13" s="218">
        <f>ROUND((E8+E9)*15%,2)</f>
        <v>13.92</v>
      </c>
      <c r="F13" s="342" t="s">
        <v>1005</v>
      </c>
    </row>
    <row r="14" spans="1:8">
      <c r="A14" s="193"/>
      <c r="B14" s="960" t="s">
        <v>309</v>
      </c>
      <c r="C14" s="960"/>
      <c r="D14" s="193"/>
      <c r="E14" s="260">
        <f>E8+E9+E10+E13</f>
        <v>108.54</v>
      </c>
      <c r="F14" s="254" t="s">
        <v>1012</v>
      </c>
    </row>
    <row r="15" spans="1:8">
      <c r="A15" s="193"/>
      <c r="B15" s="960" t="s">
        <v>530</v>
      </c>
      <c r="C15" s="960"/>
      <c r="D15" s="193"/>
      <c r="E15" s="260"/>
      <c r="F15" s="254"/>
    </row>
    <row r="16" spans="1:8">
      <c r="A16" s="190"/>
      <c r="B16" s="962"/>
      <c r="C16" s="962"/>
      <c r="D16" s="378"/>
      <c r="E16" s="379"/>
      <c r="F16" s="211"/>
    </row>
    <row r="17" spans="1:6">
      <c r="A17" s="963" t="s">
        <v>816</v>
      </c>
      <c r="B17" s="963"/>
      <c r="C17" s="963"/>
      <c r="D17" s="963"/>
      <c r="E17" s="963"/>
      <c r="F17" s="963"/>
    </row>
    <row r="18" spans="1:6">
      <c r="A18" s="958" t="s">
        <v>633</v>
      </c>
      <c r="B18" s="950"/>
      <c r="C18" s="950"/>
      <c r="D18" s="950"/>
      <c r="E18" s="950"/>
      <c r="F18" s="950"/>
    </row>
    <row r="19" spans="1:6">
      <c r="A19" s="964" t="s">
        <v>699</v>
      </c>
      <c r="B19" s="965"/>
      <c r="C19" s="965"/>
      <c r="D19" s="965"/>
      <c r="E19" s="965"/>
      <c r="F19" s="966"/>
    </row>
    <row r="20" spans="1:6">
      <c r="A20" s="193"/>
      <c r="B20" s="967" t="s">
        <v>471</v>
      </c>
      <c r="C20" s="967"/>
      <c r="D20" s="256" t="s">
        <v>472</v>
      </c>
      <c r="E20" s="256" t="s">
        <v>312</v>
      </c>
      <c r="F20" s="256" t="s">
        <v>82</v>
      </c>
    </row>
    <row r="21" spans="1:6" ht="28.15" customHeight="1">
      <c r="A21" s="193"/>
      <c r="B21" s="968" t="s">
        <v>725</v>
      </c>
      <c r="C21" s="969"/>
      <c r="D21" s="328">
        <v>45</v>
      </c>
      <c r="E21" s="361">
        <f>ROUND(D21/1000*10.22,2)</f>
        <v>0.46</v>
      </c>
      <c r="F21" s="359" t="s">
        <v>919</v>
      </c>
    </row>
    <row r="22" spans="1:6">
      <c r="A22" s="193"/>
      <c r="B22" s="975" t="s">
        <v>724</v>
      </c>
      <c r="C22" s="975"/>
      <c r="D22" s="330">
        <v>999.7</v>
      </c>
      <c r="E22" s="461">
        <f>ROUND(D22/2088,2)</f>
        <v>0.48</v>
      </c>
      <c r="F22" s="359" t="s">
        <v>996</v>
      </c>
    </row>
    <row r="23" spans="1:6">
      <c r="A23" s="970" t="s">
        <v>648</v>
      </c>
      <c r="B23" s="970"/>
      <c r="C23" s="970"/>
      <c r="D23" s="970"/>
      <c r="E23" s="353">
        <f>ROUND(SUM(E21:E22),2)</f>
        <v>0.94</v>
      </c>
      <c r="F23" s="367"/>
    </row>
    <row r="24" spans="1:6">
      <c r="A24" s="971"/>
      <c r="B24" s="971"/>
      <c r="C24" s="971"/>
      <c r="D24" s="971"/>
      <c r="E24" s="971"/>
      <c r="F24" s="971"/>
    </row>
    <row r="25" spans="1:6">
      <c r="A25" s="190"/>
      <c r="B25" s="949"/>
      <c r="C25" s="949"/>
      <c r="D25" s="431"/>
      <c r="E25" s="409"/>
      <c r="F25" s="434"/>
    </row>
    <row r="26" spans="1:6">
      <c r="A26" s="190"/>
      <c r="B26" s="927"/>
      <c r="C26" s="927"/>
      <c r="D26" s="431"/>
      <c r="E26" s="409"/>
      <c r="F26" s="435"/>
    </row>
    <row r="27" spans="1:6">
      <c r="A27" s="973"/>
      <c r="B27" s="973"/>
      <c r="C27" s="973"/>
      <c r="D27" s="973"/>
      <c r="E27" s="232"/>
    </row>
    <row r="28" spans="1:6">
      <c r="A28" s="976"/>
      <c r="B28" s="976"/>
      <c r="C28" s="976"/>
      <c r="D28" s="976"/>
      <c r="E28" s="976"/>
      <c r="F28" s="976"/>
    </row>
    <row r="29" spans="1:6">
      <c r="A29" s="190"/>
      <c r="B29" s="949"/>
      <c r="C29" s="949"/>
      <c r="D29" s="431"/>
      <c r="E29" s="409"/>
      <c r="F29" s="434"/>
    </row>
    <row r="30" spans="1:6">
      <c r="A30" s="190"/>
      <c r="B30" s="927"/>
      <c r="C30" s="927"/>
      <c r="D30" s="431"/>
      <c r="E30" s="409"/>
      <c r="F30" s="435"/>
    </row>
    <row r="31" spans="1:6">
      <c r="A31" s="973"/>
      <c r="B31" s="973"/>
      <c r="C31" s="973"/>
      <c r="D31" s="973"/>
      <c r="E31" s="232"/>
    </row>
    <row r="32" spans="1:6">
      <c r="A32" s="976"/>
      <c r="B32" s="976"/>
      <c r="C32" s="976"/>
      <c r="D32" s="976"/>
      <c r="E32" s="976"/>
      <c r="F32" s="976"/>
    </row>
    <row r="33" spans="1:6" ht="15.75">
      <c r="A33" s="190"/>
      <c r="B33" s="295" t="s">
        <v>23</v>
      </c>
      <c r="F33" s="51" t="s">
        <v>51</v>
      </c>
    </row>
    <row r="34" spans="1:6">
      <c r="A34" s="190"/>
      <c r="B34" s="927"/>
      <c r="C34" s="927"/>
      <c r="D34" s="431"/>
      <c r="E34" s="409"/>
      <c r="F34" s="434"/>
    </row>
    <row r="35" spans="1:6">
      <c r="A35" s="973"/>
      <c r="B35" s="973"/>
      <c r="C35" s="973"/>
      <c r="D35" s="973"/>
      <c r="E35" s="232"/>
    </row>
    <row r="36" spans="1:6">
      <c r="A36" s="976"/>
      <c r="B36" s="976"/>
      <c r="C36" s="976"/>
      <c r="D36" s="976"/>
      <c r="E36" s="976"/>
      <c r="F36" s="976"/>
    </row>
    <row r="37" spans="1:6">
      <c r="A37" s="190"/>
      <c r="B37" s="949"/>
      <c r="C37" s="949"/>
      <c r="D37" s="431"/>
      <c r="E37" s="409"/>
      <c r="F37" s="434"/>
    </row>
    <row r="38" spans="1:6">
      <c r="A38" s="190"/>
      <c r="B38" s="927"/>
      <c r="C38" s="927"/>
      <c r="D38" s="431"/>
      <c r="E38" s="409"/>
      <c r="F38" s="434"/>
    </row>
    <row r="39" spans="1:6">
      <c r="A39" s="973"/>
      <c r="B39" s="973"/>
      <c r="C39" s="973"/>
      <c r="D39" s="973"/>
      <c r="E39" s="232"/>
    </row>
  </sheetData>
  <mergeCells count="36">
    <mergeCell ref="A1:G1"/>
    <mergeCell ref="B37:C37"/>
    <mergeCell ref="B38:C38"/>
    <mergeCell ref="A39:D39"/>
    <mergeCell ref="A3:G3"/>
    <mergeCell ref="B22:C22"/>
    <mergeCell ref="A31:D31"/>
    <mergeCell ref="A32:F32"/>
    <mergeCell ref="B34:C34"/>
    <mergeCell ref="A35:D35"/>
    <mergeCell ref="A36:F36"/>
    <mergeCell ref="B25:C25"/>
    <mergeCell ref="B26:C26"/>
    <mergeCell ref="A27:D27"/>
    <mergeCell ref="A28:F28"/>
    <mergeCell ref="B29:C29"/>
    <mergeCell ref="B30:C30"/>
    <mergeCell ref="A19:F19"/>
    <mergeCell ref="B20:C20"/>
    <mergeCell ref="B21:C21"/>
    <mergeCell ref="A23:D23"/>
    <mergeCell ref="A24:F24"/>
    <mergeCell ref="A4:G4"/>
    <mergeCell ref="A5:G5"/>
    <mergeCell ref="A18:F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7:F17"/>
  </mergeCell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I61"/>
  <sheetViews>
    <sheetView view="pageBreakPreview" topLeftCell="A10" zoomScale="98" zoomScaleSheetLayoutView="98" workbookViewId="0">
      <selection activeCell="E11" sqref="E11:E18"/>
    </sheetView>
  </sheetViews>
  <sheetFormatPr defaultRowHeight="15"/>
  <cols>
    <col min="1" max="1" width="3" customWidth="1"/>
    <col min="2" max="2" width="32.140625" customWidth="1"/>
    <col min="3" max="3" width="6.28515625" customWidth="1"/>
    <col min="4" max="4" width="10.28515625" customWidth="1"/>
    <col min="5" max="5" width="17" customWidth="1"/>
    <col min="6" max="6" width="28.7109375" customWidth="1"/>
    <col min="7" max="7" width="7.42578125" customWidth="1"/>
  </cols>
  <sheetData>
    <row r="1" spans="1:8" ht="15.75">
      <c r="A1" s="189" t="s">
        <v>481</v>
      </c>
    </row>
    <row r="2" spans="1:8" ht="15.75">
      <c r="A2" s="189" t="s">
        <v>799</v>
      </c>
    </row>
    <row r="3" spans="1:8" ht="16.149999999999999" customHeight="1">
      <c r="A3" s="977" t="s">
        <v>534</v>
      </c>
      <c r="B3" s="977"/>
      <c r="C3" s="977"/>
      <c r="D3" s="977"/>
      <c r="E3" s="977"/>
      <c r="F3" s="977"/>
      <c r="G3" s="251"/>
    </row>
    <row r="4" spans="1:8" ht="12.6" customHeight="1">
      <c r="A4" s="949" t="s">
        <v>466</v>
      </c>
      <c r="B4" s="949"/>
      <c r="C4" s="949"/>
      <c r="D4" s="949"/>
      <c r="G4" s="298"/>
    </row>
    <row r="5" spans="1:8" ht="12.6" customHeight="1">
      <c r="A5" s="557" t="s">
        <v>800</v>
      </c>
      <c r="B5" s="557"/>
      <c r="C5" s="557"/>
      <c r="D5" s="557"/>
      <c r="G5" s="298"/>
    </row>
    <row r="6" spans="1:8" ht="12.6" customHeight="1">
      <c r="A6" s="949" t="s">
        <v>716</v>
      </c>
      <c r="B6" s="949"/>
      <c r="C6" s="949"/>
      <c r="D6" s="949"/>
      <c r="G6" s="298"/>
    </row>
    <row r="7" spans="1:8" ht="12.6" customHeight="1">
      <c r="A7" s="949" t="s">
        <v>485</v>
      </c>
      <c r="B7" s="949"/>
      <c r="C7" s="949"/>
      <c r="D7" s="557"/>
      <c r="G7" s="298"/>
    </row>
    <row r="8" spans="1:8">
      <c r="A8" s="949" t="s">
        <v>655</v>
      </c>
      <c r="B8" s="949"/>
      <c r="C8" s="949"/>
      <c r="D8" s="949"/>
    </row>
    <row r="9" spans="1:8">
      <c r="A9" s="140" t="s">
        <v>306</v>
      </c>
      <c r="B9" s="252"/>
      <c r="C9" s="252"/>
      <c r="D9" s="252"/>
      <c r="E9" s="252"/>
      <c r="F9" s="252"/>
      <c r="G9" s="252"/>
    </row>
    <row r="10" spans="1:8" ht="38.450000000000003" customHeight="1">
      <c r="A10" s="206" t="s">
        <v>296</v>
      </c>
      <c r="B10" s="959" t="s">
        <v>307</v>
      </c>
      <c r="C10" s="959"/>
      <c r="D10" s="207"/>
      <c r="E10" s="274" t="s">
        <v>308</v>
      </c>
      <c r="F10" s="328" t="s">
        <v>82</v>
      </c>
      <c r="G10" s="244"/>
    </row>
    <row r="11" spans="1:8" ht="13.9" customHeight="1">
      <c r="A11" s="193" t="s">
        <v>296</v>
      </c>
      <c r="B11" s="951" t="s">
        <v>631</v>
      </c>
      <c r="C11" s="951"/>
      <c r="D11" s="275">
        <f>ЗВЕДЕНИЙ!W62</f>
        <v>215771.26</v>
      </c>
      <c r="E11" s="275">
        <f>ROUND(D11/12/G11,2)</f>
        <v>107.36</v>
      </c>
      <c r="F11" s="340" t="s">
        <v>1083</v>
      </c>
      <c r="G11" s="456">
        <f>H11/12</f>
        <v>167.47499999999999</v>
      </c>
      <c r="H11">
        <v>2009.7</v>
      </c>
    </row>
    <row r="12" spans="1:8" ht="12.6" customHeight="1">
      <c r="A12" s="193" t="s">
        <v>219</v>
      </c>
      <c r="B12" s="951" t="s">
        <v>482</v>
      </c>
      <c r="C12" s="951"/>
      <c r="D12" s="207"/>
      <c r="E12" s="275">
        <f>ROUND(E11*22%,2)</f>
        <v>23.62</v>
      </c>
      <c r="F12" s="340" t="s">
        <v>1080</v>
      </c>
      <c r="G12" s="244"/>
    </row>
    <row r="13" spans="1:8" ht="13.15" customHeight="1">
      <c r="A13" s="193" t="s">
        <v>223</v>
      </c>
      <c r="B13" s="960" t="s">
        <v>454</v>
      </c>
      <c r="C13" s="960"/>
      <c r="D13" s="207"/>
      <c r="E13" s="908">
        <f>ROUND(E15+E14,2)</f>
        <v>5.66</v>
      </c>
      <c r="F13" s="340"/>
      <c r="G13" s="244"/>
    </row>
    <row r="14" spans="1:8" ht="13.9" customHeight="1">
      <c r="A14" s="193"/>
      <c r="B14" s="961" t="s">
        <v>483</v>
      </c>
      <c r="C14" s="961"/>
      <c r="D14" s="209">
        <v>10.220000000000001</v>
      </c>
      <c r="E14" s="329">
        <f>ROUND(182/1000*D14,2)</f>
        <v>1.86</v>
      </c>
      <c r="F14" s="341" t="s">
        <v>908</v>
      </c>
      <c r="G14" s="244"/>
    </row>
    <row r="15" spans="1:8" ht="19.899999999999999" customHeight="1">
      <c r="A15" s="193"/>
      <c r="B15" s="961" t="s">
        <v>374</v>
      </c>
      <c r="C15" s="961"/>
      <c r="D15" s="209">
        <v>3590.72</v>
      </c>
      <c r="E15" s="329">
        <f>ROUND(((0.058*36.7)*D15)/2009.7,2)</f>
        <v>3.8</v>
      </c>
      <c r="F15" s="234" t="s">
        <v>977</v>
      </c>
      <c r="G15" s="244"/>
    </row>
    <row r="16" spans="1:8" ht="15.6" customHeight="1">
      <c r="A16" s="193" t="s">
        <v>235</v>
      </c>
      <c r="B16" s="960" t="s">
        <v>56</v>
      </c>
      <c r="C16" s="960"/>
      <c r="D16" s="192">
        <v>0.15</v>
      </c>
      <c r="E16" s="218">
        <f>ROUND((E11+E12)*15%,2)</f>
        <v>19.649999999999999</v>
      </c>
      <c r="F16" s="342" t="s">
        <v>1081</v>
      </c>
      <c r="G16" s="244"/>
    </row>
    <row r="17" spans="1:9" ht="12" customHeight="1">
      <c r="A17" s="193"/>
      <c r="B17" s="960" t="s">
        <v>309</v>
      </c>
      <c r="C17" s="960"/>
      <c r="D17" s="193"/>
      <c r="E17" s="260">
        <f>ROUND(E11+E12+E13+E16,2)</f>
        <v>156.29</v>
      </c>
      <c r="F17" s="254" t="s">
        <v>1082</v>
      </c>
      <c r="G17" s="244"/>
    </row>
    <row r="18" spans="1:9" ht="12.6" customHeight="1">
      <c r="A18" s="193"/>
      <c r="B18" s="960" t="s">
        <v>530</v>
      </c>
      <c r="C18" s="960"/>
      <c r="D18" s="253"/>
      <c r="E18" s="260">
        <f>ROUND(E17/4,2)</f>
        <v>39.07</v>
      </c>
      <c r="F18" s="254"/>
      <c r="G18" s="244"/>
    </row>
    <row r="19" spans="1:9">
      <c r="D19" s="343"/>
      <c r="E19" s="344"/>
      <c r="F19" s="345"/>
      <c r="G19" s="244"/>
    </row>
    <row r="20" spans="1:9">
      <c r="A20" s="963" t="s">
        <v>647</v>
      </c>
      <c r="B20" s="963"/>
      <c r="C20" s="963"/>
      <c r="D20" s="963"/>
      <c r="E20" s="963"/>
      <c r="F20" s="963"/>
      <c r="G20" s="348"/>
      <c r="H20" s="348"/>
    </row>
    <row r="21" spans="1:9">
      <c r="A21" s="958" t="s">
        <v>633</v>
      </c>
      <c r="B21" s="950"/>
      <c r="C21" s="950"/>
      <c r="D21" s="950"/>
      <c r="E21" s="950"/>
      <c r="F21" s="950"/>
      <c r="G21" s="190"/>
    </row>
    <row r="22" spans="1:9" ht="23.45" customHeight="1">
      <c r="A22" s="328"/>
      <c r="B22" s="978" t="s">
        <v>471</v>
      </c>
      <c r="C22" s="978"/>
      <c r="D22" s="370" t="s">
        <v>646</v>
      </c>
      <c r="E22" s="363" t="s">
        <v>312</v>
      </c>
      <c r="F22" s="363" t="s">
        <v>82</v>
      </c>
    </row>
    <row r="23" spans="1:9" ht="24" customHeight="1">
      <c r="A23" s="193"/>
      <c r="B23" s="979" t="s">
        <v>532</v>
      </c>
      <c r="C23" s="979"/>
      <c r="D23" s="331">
        <v>20</v>
      </c>
      <c r="E23" s="274">
        <f>ROUND(20/1000*10.22,2)</f>
        <v>0.2</v>
      </c>
      <c r="F23" s="339" t="s">
        <v>909</v>
      </c>
    </row>
    <row r="24" spans="1:9" ht="12.6" customHeight="1">
      <c r="A24" s="193"/>
      <c r="B24" s="979" t="s">
        <v>531</v>
      </c>
      <c r="C24" s="979"/>
      <c r="D24" s="262"/>
      <c r="E24" s="352"/>
      <c r="F24" s="367"/>
    </row>
    <row r="25" spans="1:9" ht="12.6" customHeight="1">
      <c r="A25" s="193"/>
      <c r="B25" s="981"/>
      <c r="C25" s="981"/>
      <c r="D25" s="191"/>
      <c r="E25" s="3"/>
      <c r="F25" s="250"/>
    </row>
    <row r="26" spans="1:9" ht="11.45" customHeight="1">
      <c r="A26" s="193"/>
      <c r="B26" s="980" t="s">
        <v>634</v>
      </c>
      <c r="C26" s="980"/>
      <c r="D26" s="980"/>
      <c r="E26" s="353">
        <f>E23+E24</f>
        <v>0.2</v>
      </c>
      <c r="F26" s="367"/>
    </row>
    <row r="27" spans="1:9" ht="11.45" customHeight="1">
      <c r="A27" s="193"/>
      <c r="B27" s="983" t="s">
        <v>536</v>
      </c>
      <c r="C27" s="983"/>
      <c r="D27" s="983"/>
      <c r="E27" s="983"/>
      <c r="F27" s="983"/>
      <c r="G27" s="190"/>
      <c r="H27" s="190"/>
      <c r="I27" s="190"/>
    </row>
    <row r="28" spans="1:9" ht="12" customHeight="1">
      <c r="A28" s="191"/>
      <c r="B28" s="982" t="s">
        <v>640</v>
      </c>
      <c r="C28" s="982"/>
      <c r="D28" s="357">
        <v>90</v>
      </c>
      <c r="E28" s="362">
        <f>ROUND((D28/1000)*10.22,2)</f>
        <v>0.92</v>
      </c>
      <c r="F28" s="811" t="s">
        <v>910</v>
      </c>
      <c r="G28" s="364"/>
    </row>
    <row r="29" spans="1:9" ht="10.9" customHeight="1">
      <c r="A29" s="191"/>
      <c r="B29" s="982" t="s">
        <v>475</v>
      </c>
      <c r="C29" s="982"/>
      <c r="D29" s="357">
        <v>40</v>
      </c>
      <c r="E29" s="362">
        <f t="shared" ref="E29:E31" si="0">ROUND((D29/1000)*10.22,2)</f>
        <v>0.41</v>
      </c>
      <c r="F29" s="811" t="s">
        <v>911</v>
      </c>
      <c r="G29" s="364"/>
    </row>
    <row r="30" spans="1:9" ht="10.9" customHeight="1">
      <c r="A30" s="191"/>
      <c r="B30" s="982" t="s">
        <v>641</v>
      </c>
      <c r="C30" s="982"/>
      <c r="D30" s="357">
        <v>50</v>
      </c>
      <c r="E30" s="362">
        <f t="shared" si="0"/>
        <v>0.51</v>
      </c>
      <c r="F30" s="811" t="s">
        <v>912</v>
      </c>
      <c r="G30" s="364"/>
    </row>
    <row r="31" spans="1:9" ht="10.9" customHeight="1">
      <c r="A31" s="191"/>
      <c r="B31" s="990" t="s">
        <v>970</v>
      </c>
      <c r="C31" s="991"/>
      <c r="D31" s="357">
        <v>45</v>
      </c>
      <c r="E31" s="362">
        <f t="shared" si="0"/>
        <v>0.46</v>
      </c>
      <c r="F31" s="811" t="s">
        <v>919</v>
      </c>
      <c r="G31" s="364"/>
    </row>
    <row r="32" spans="1:9">
      <c r="A32" s="194"/>
      <c r="B32" s="987" t="s">
        <v>635</v>
      </c>
      <c r="C32" s="988"/>
      <c r="D32" s="191"/>
      <c r="E32" s="362">
        <f>SUM(E28:E31)</f>
        <v>2.3000000000000003</v>
      </c>
      <c r="F32" s="811" t="s">
        <v>999</v>
      </c>
      <c r="G32" s="365"/>
    </row>
    <row r="33" spans="1:7" ht="25.15" customHeight="1">
      <c r="A33" s="194"/>
      <c r="B33" s="984" t="s">
        <v>636</v>
      </c>
      <c r="C33" s="985"/>
      <c r="D33" s="986"/>
      <c r="E33" s="574">
        <f>(E28+E29+E30+E31)/4</f>
        <v>0.57500000000000007</v>
      </c>
      <c r="F33" s="811" t="s">
        <v>1003</v>
      </c>
      <c r="G33" s="365"/>
    </row>
    <row r="34" spans="1:7" ht="10.9" customHeight="1">
      <c r="A34" s="194"/>
      <c r="B34" s="989" t="s">
        <v>637</v>
      </c>
      <c r="C34" s="989"/>
      <c r="D34" s="256" t="s">
        <v>638</v>
      </c>
      <c r="E34" s="351" t="s">
        <v>312</v>
      </c>
      <c r="F34" s="351" t="s">
        <v>82</v>
      </c>
      <c r="G34" s="365"/>
    </row>
    <row r="35" spans="1:7" ht="10.9" customHeight="1">
      <c r="A35" s="194"/>
      <c r="B35" s="982" t="s">
        <v>474</v>
      </c>
      <c r="C35" s="982"/>
      <c r="D35" s="362">
        <v>980</v>
      </c>
      <c r="E35" s="262">
        <f>ROUND(D35/2009.7,2)</f>
        <v>0.49</v>
      </c>
      <c r="F35" s="339" t="s">
        <v>913</v>
      </c>
      <c r="G35" s="365"/>
    </row>
    <row r="36" spans="1:7" ht="12.6" customHeight="1">
      <c r="A36" s="194"/>
      <c r="B36" s="982" t="s">
        <v>475</v>
      </c>
      <c r="C36" s="982"/>
      <c r="D36" s="362">
        <v>390</v>
      </c>
      <c r="E36" s="262">
        <f>ROUND(D36/2009.7,2)</f>
        <v>0.19</v>
      </c>
      <c r="F36" s="339" t="s">
        <v>914</v>
      </c>
      <c r="G36" s="365"/>
    </row>
    <row r="37" spans="1:7" ht="12.6" customHeight="1">
      <c r="A37" s="194"/>
      <c r="B37" s="982" t="s">
        <v>641</v>
      </c>
      <c r="C37" s="982"/>
      <c r="D37" s="362">
        <v>680</v>
      </c>
      <c r="E37" s="262">
        <f>ROUND(D37/2009.7,2)</f>
        <v>0.34</v>
      </c>
      <c r="F37" s="339" t="s">
        <v>915</v>
      </c>
      <c r="G37" s="365"/>
    </row>
    <row r="38" spans="1:7" ht="12.6" customHeight="1">
      <c r="A38" s="194"/>
      <c r="B38" s="982" t="s">
        <v>966</v>
      </c>
      <c r="C38" s="982"/>
      <c r="D38" s="362">
        <v>1080</v>
      </c>
      <c r="E38" s="262">
        <f>ROUND(D38/2009.7,2)</f>
        <v>0.54</v>
      </c>
      <c r="F38" s="339" t="s">
        <v>998</v>
      </c>
      <c r="G38" s="365"/>
    </row>
    <row r="39" spans="1:7">
      <c r="A39" s="194"/>
      <c r="B39" s="994" t="s">
        <v>635</v>
      </c>
      <c r="C39" s="994"/>
      <c r="D39" s="347"/>
      <c r="E39" s="347">
        <f>SUM(E35:E38)</f>
        <v>1.56</v>
      </c>
      <c r="F39" s="331"/>
      <c r="G39" s="365"/>
    </row>
    <row r="40" spans="1:7" ht="16.149999999999999" customHeight="1">
      <c r="A40" s="194"/>
      <c r="B40" s="993" t="s">
        <v>639</v>
      </c>
      <c r="C40" s="993"/>
      <c r="D40" s="993"/>
      <c r="E40" s="363">
        <f>ROUND(E39/4,2)</f>
        <v>0.39</v>
      </c>
      <c r="F40" s="811" t="s">
        <v>967</v>
      </c>
      <c r="G40" s="365"/>
    </row>
    <row r="41" spans="1:7" ht="22.9" customHeight="1">
      <c r="A41" s="194"/>
      <c r="B41" s="993" t="s">
        <v>848</v>
      </c>
      <c r="C41" s="993"/>
      <c r="D41" s="993"/>
      <c r="E41" s="574">
        <f>ROUND(E33+E40,2)</f>
        <v>0.97</v>
      </c>
      <c r="F41" s="811" t="s">
        <v>1147</v>
      </c>
      <c r="G41" s="365"/>
    </row>
    <row r="42" spans="1:7">
      <c r="A42" s="194"/>
      <c r="B42" s="983" t="s">
        <v>535</v>
      </c>
      <c r="C42" s="983"/>
      <c r="D42" s="983"/>
      <c r="E42" s="983"/>
      <c r="F42" s="983"/>
      <c r="G42" s="365"/>
    </row>
    <row r="43" spans="1:7" ht="13.9" customHeight="1">
      <c r="A43" s="194"/>
      <c r="B43" s="982" t="s">
        <v>473</v>
      </c>
      <c r="C43" s="982"/>
      <c r="D43" s="357">
        <v>54</v>
      </c>
      <c r="E43" s="362">
        <f>ROUND(D43/1000*10.22,2)</f>
        <v>0.55000000000000004</v>
      </c>
      <c r="F43" s="367" t="s">
        <v>916</v>
      </c>
      <c r="G43" s="365"/>
    </row>
    <row r="44" spans="1:7" ht="12.6" customHeight="1">
      <c r="A44" s="194"/>
      <c r="B44" s="995" t="s">
        <v>644</v>
      </c>
      <c r="C44" s="995"/>
      <c r="D44" s="357">
        <v>7854</v>
      </c>
      <c r="E44" s="362">
        <f>ROUND(7854/2009.7,2)</f>
        <v>3.91</v>
      </c>
      <c r="F44" s="367" t="s">
        <v>917</v>
      </c>
      <c r="G44" s="365"/>
    </row>
    <row r="45" spans="1:7">
      <c r="A45" s="194"/>
      <c r="B45" s="980" t="s">
        <v>643</v>
      </c>
      <c r="C45" s="980"/>
      <c r="D45" s="980"/>
      <c r="E45" s="353">
        <f>ROUND(SUM(E43:E44),2)</f>
        <v>4.46</v>
      </c>
      <c r="F45" s="361"/>
      <c r="G45" s="365"/>
    </row>
    <row r="46" spans="1:7">
      <c r="A46" s="194"/>
      <c r="B46" s="983" t="s">
        <v>642</v>
      </c>
      <c r="C46" s="983"/>
      <c r="D46" s="983"/>
      <c r="E46" s="983"/>
      <c r="F46" s="983"/>
      <c r="G46" s="365"/>
    </row>
    <row r="47" spans="1:7">
      <c r="A47" s="194"/>
      <c r="B47" s="982" t="s">
        <v>473</v>
      </c>
      <c r="C47" s="982"/>
      <c r="D47" s="597">
        <f>250</f>
        <v>250</v>
      </c>
      <c r="E47" s="262">
        <f>ROUND(D47/1000*10.22,2)</f>
        <v>2.56</v>
      </c>
      <c r="F47" s="356" t="s">
        <v>918</v>
      </c>
    </row>
    <row r="48" spans="1:7">
      <c r="A48" s="194"/>
      <c r="B48" s="992" t="s">
        <v>645</v>
      </c>
      <c r="C48" s="992"/>
      <c r="D48" s="992"/>
      <c r="E48" s="351">
        <f>E47</f>
        <v>2.56</v>
      </c>
      <c r="F48" s="368"/>
    </row>
    <row r="49" spans="1:6">
      <c r="A49" s="194"/>
      <c r="B49" s="812"/>
      <c r="C49" s="812"/>
      <c r="D49" s="812"/>
      <c r="E49" s="351"/>
      <c r="F49" s="368"/>
    </row>
    <row r="50" spans="1:6">
      <c r="A50" s="983" t="s">
        <v>649</v>
      </c>
      <c r="B50" s="983"/>
      <c r="C50" s="983"/>
      <c r="D50" s="983"/>
      <c r="E50" s="983"/>
      <c r="F50" s="983"/>
    </row>
    <row r="51" spans="1:6" ht="15.6" customHeight="1">
      <c r="A51" s="367"/>
      <c r="B51" s="982" t="s">
        <v>473</v>
      </c>
      <c r="C51" s="982"/>
      <c r="D51" s="357">
        <v>45</v>
      </c>
      <c r="E51" s="391">
        <f>ROUND(D51/1000*10.22,2)</f>
        <v>0.46</v>
      </c>
      <c r="F51" s="349" t="s">
        <v>919</v>
      </c>
    </row>
    <row r="52" spans="1:6">
      <c r="A52" s="367"/>
      <c r="B52" s="995" t="s">
        <v>537</v>
      </c>
      <c r="C52" s="995"/>
      <c r="D52" s="357">
        <v>75.650000000000006</v>
      </c>
      <c r="E52" s="391">
        <f>ROUND(D52/2009.7,2)</f>
        <v>0.04</v>
      </c>
      <c r="F52" s="359" t="s">
        <v>920</v>
      </c>
    </row>
    <row r="53" spans="1:6">
      <c r="A53" s="980" t="s">
        <v>1021</v>
      </c>
      <c r="B53" s="980"/>
      <c r="C53" s="980"/>
      <c r="D53" s="980"/>
      <c r="E53" s="558">
        <f>ROUND(E51+E52,2)</f>
        <v>0.5</v>
      </c>
      <c r="F53" s="559"/>
    </row>
    <row r="54" spans="1:6" ht="21.6" customHeight="1">
      <c r="F54" s="372"/>
    </row>
    <row r="55" spans="1:6">
      <c r="A55" s="190"/>
      <c r="B55" s="998"/>
      <c r="C55" s="998"/>
      <c r="D55" s="371"/>
      <c r="E55" s="373"/>
      <c r="F55" s="350"/>
    </row>
    <row r="56" spans="1:6">
      <c r="A56" s="190"/>
      <c r="B56" s="996"/>
      <c r="C56" s="996"/>
      <c r="D56" s="374"/>
      <c r="E56" s="375"/>
      <c r="F56" s="376"/>
    </row>
    <row r="57" spans="1:6">
      <c r="A57" s="190"/>
      <c r="B57" s="997"/>
      <c r="C57" s="997"/>
      <c r="D57" s="997"/>
      <c r="E57" s="377"/>
      <c r="F57" s="350"/>
    </row>
    <row r="58" spans="1:6">
      <c r="A58" s="100"/>
      <c r="B58" s="100"/>
      <c r="C58" s="100"/>
      <c r="D58" s="100"/>
      <c r="E58" s="100"/>
      <c r="F58" s="100"/>
    </row>
    <row r="60" spans="1:6" ht="15.75">
      <c r="A60" s="295" t="s">
        <v>23</v>
      </c>
      <c r="B60" s="37"/>
      <c r="C60" s="51"/>
      <c r="F60" s="51" t="s">
        <v>51</v>
      </c>
    </row>
    <row r="61" spans="1:6" ht="10.9" customHeight="1"/>
  </sheetData>
  <mergeCells count="50">
    <mergeCell ref="A50:F50"/>
    <mergeCell ref="B56:C56"/>
    <mergeCell ref="B57:D57"/>
    <mergeCell ref="B55:C55"/>
    <mergeCell ref="A53:D53"/>
    <mergeCell ref="B51:C51"/>
    <mergeCell ref="B52:C52"/>
    <mergeCell ref="B37:C37"/>
    <mergeCell ref="B45:D45"/>
    <mergeCell ref="B46:F46"/>
    <mergeCell ref="B47:C47"/>
    <mergeCell ref="B48:D48"/>
    <mergeCell ref="B40:D40"/>
    <mergeCell ref="B41:D41"/>
    <mergeCell ref="B39:C39"/>
    <mergeCell ref="B42:F42"/>
    <mergeCell ref="B43:C43"/>
    <mergeCell ref="B44:C44"/>
    <mergeCell ref="B38:C38"/>
    <mergeCell ref="B36:C36"/>
    <mergeCell ref="B27:F27"/>
    <mergeCell ref="B30:C30"/>
    <mergeCell ref="B33:D33"/>
    <mergeCell ref="B32:C32"/>
    <mergeCell ref="B34:C34"/>
    <mergeCell ref="B35:C35"/>
    <mergeCell ref="B28:C28"/>
    <mergeCell ref="B29:C29"/>
    <mergeCell ref="B31:C31"/>
    <mergeCell ref="B22:C22"/>
    <mergeCell ref="B23:C23"/>
    <mergeCell ref="B24:C24"/>
    <mergeCell ref="B26:D26"/>
    <mergeCell ref="B25:C25"/>
    <mergeCell ref="A21:F21"/>
    <mergeCell ref="B15:C15"/>
    <mergeCell ref="A3:F3"/>
    <mergeCell ref="B10:C10"/>
    <mergeCell ref="B11:C11"/>
    <mergeCell ref="A20:F20"/>
    <mergeCell ref="B12:C12"/>
    <mergeCell ref="B16:C16"/>
    <mergeCell ref="B17:C17"/>
    <mergeCell ref="B13:C13"/>
    <mergeCell ref="B14:C14"/>
    <mergeCell ref="B18:C18"/>
    <mergeCell ref="A4:D4"/>
    <mergeCell ref="A6:D6"/>
    <mergeCell ref="A7:C7"/>
    <mergeCell ref="A8:D8"/>
  </mergeCells>
  <printOptions horizontalCentered="1"/>
  <pageMargins left="0.70866141732283472" right="0.31496062992125984" top="0.55118110236220474" bottom="0.55118110236220474" header="0" footer="0.31496062992125984"/>
  <pageSetup paperSize="9" scale="7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51"/>
  <sheetViews>
    <sheetView view="pageBreakPreview" topLeftCell="A25" zoomScale="85" zoomScaleSheetLayoutView="85" workbookViewId="0">
      <selection activeCell="E48" sqref="E48"/>
    </sheetView>
  </sheetViews>
  <sheetFormatPr defaultRowHeight="15"/>
  <cols>
    <col min="1" max="1" width="4.85546875" customWidth="1"/>
    <col min="3" max="3" width="26.28515625" customWidth="1"/>
    <col min="4" max="4" width="11" customWidth="1"/>
    <col min="5" max="5" width="17.28515625" customWidth="1"/>
    <col min="6" max="6" width="28" customWidth="1"/>
    <col min="7" max="7" width="8.85546875" customWidth="1"/>
    <col min="8" max="8" width="12.7109375" customWidth="1"/>
  </cols>
  <sheetData>
    <row r="1" spans="1:8" ht="15.75">
      <c r="A1" s="189" t="s">
        <v>805</v>
      </c>
      <c r="D1" s="123"/>
    </row>
    <row r="2" spans="1:8" ht="15.75">
      <c r="A2" s="999" t="s">
        <v>480</v>
      </c>
      <c r="B2" s="972"/>
      <c r="C2" s="972"/>
      <c r="D2" s="972"/>
      <c r="E2" s="972"/>
      <c r="F2" s="972"/>
      <c r="G2" s="972"/>
    </row>
    <row r="3" spans="1:8" ht="34.15" customHeight="1">
      <c r="A3" s="1007" t="s">
        <v>806</v>
      </c>
      <c r="B3" s="1007"/>
      <c r="C3" s="1007"/>
      <c r="D3" s="1007"/>
      <c r="E3" s="1007"/>
      <c r="F3" s="1007"/>
      <c r="G3" s="290"/>
    </row>
    <row r="4" spans="1:8" s="557" customFormat="1" ht="15.75">
      <c r="A4" s="1000" t="s">
        <v>654</v>
      </c>
      <c r="B4" s="1000"/>
      <c r="C4" s="1000"/>
      <c r="D4" s="1000"/>
      <c r="E4" s="1000"/>
      <c r="F4" s="1000"/>
      <c r="G4" s="5"/>
    </row>
    <row r="5" spans="1:8" ht="15.75">
      <c r="A5" s="1000" t="s">
        <v>468</v>
      </c>
      <c r="B5" s="1000"/>
      <c r="C5" s="1000"/>
      <c r="D5" s="1000"/>
      <c r="E5" s="1000"/>
      <c r="F5" s="1000"/>
      <c r="G5" s="1000"/>
    </row>
    <row r="6" spans="1:8" ht="15.75">
      <c r="A6" s="5" t="s">
        <v>656</v>
      </c>
      <c r="B6" s="466"/>
      <c r="C6" s="466"/>
      <c r="D6" s="466"/>
      <c r="E6" s="466"/>
      <c r="F6" s="466"/>
      <c r="G6" s="466"/>
    </row>
    <row r="7" spans="1:8" ht="15.75">
      <c r="A7" s="5" t="s">
        <v>657</v>
      </c>
      <c r="B7" s="466"/>
      <c r="C7" s="466"/>
      <c r="D7" s="466"/>
      <c r="E7" s="466"/>
      <c r="F7" s="466"/>
      <c r="G7" s="466"/>
    </row>
    <row r="8" spans="1:8">
      <c r="A8" s="190"/>
      <c r="B8" s="557"/>
      <c r="C8" s="557"/>
      <c r="D8" s="557"/>
      <c r="E8" s="557"/>
      <c r="F8" s="557"/>
      <c r="G8" s="557"/>
    </row>
    <row r="9" spans="1:8">
      <c r="A9" s="140" t="s">
        <v>306</v>
      </c>
      <c r="B9" s="252"/>
      <c r="C9" s="252"/>
      <c r="D9" s="252"/>
      <c r="E9" s="560" t="s">
        <v>807</v>
      </c>
      <c r="F9" s="252"/>
    </row>
    <row r="10" spans="1:8" ht="48">
      <c r="A10" s="206" t="s">
        <v>296</v>
      </c>
      <c r="B10" s="959" t="s">
        <v>307</v>
      </c>
      <c r="C10" s="959"/>
      <c r="D10" s="207"/>
      <c r="E10" s="274" t="s">
        <v>308</v>
      </c>
      <c r="F10" s="328" t="s">
        <v>82</v>
      </c>
      <c r="G10" s="634" t="s">
        <v>849</v>
      </c>
      <c r="H10">
        <v>2009.7</v>
      </c>
    </row>
    <row r="11" spans="1:8">
      <c r="A11" s="193" t="s">
        <v>296</v>
      </c>
      <c r="B11" s="951" t="s">
        <v>631</v>
      </c>
      <c r="C11" s="951"/>
      <c r="D11" s="275">
        <f>ЗВЕДЕНИЙ!W62</f>
        <v>215771.26</v>
      </c>
      <c r="E11" s="275">
        <f>ROUND(D11/H10,2)</f>
        <v>107.36</v>
      </c>
      <c r="F11" s="340" t="s">
        <v>1083</v>
      </c>
      <c r="G11" s="635">
        <f>E11*100/E17</f>
        <v>69.986962190352017</v>
      </c>
    </row>
    <row r="12" spans="1:8">
      <c r="A12" s="193" t="s">
        <v>219</v>
      </c>
      <c r="B12" s="951" t="s">
        <v>482</v>
      </c>
      <c r="C12" s="951"/>
      <c r="D12" s="207"/>
      <c r="E12" s="275">
        <f>ROUND(E11*22%,2)</f>
        <v>23.62</v>
      </c>
      <c r="F12" s="340" t="s">
        <v>1080</v>
      </c>
      <c r="G12" s="635">
        <f>E12*100/E17</f>
        <v>15.397653194263363</v>
      </c>
    </row>
    <row r="13" spans="1:8">
      <c r="A13" s="193" t="s">
        <v>223</v>
      </c>
      <c r="B13" s="960" t="s">
        <v>454</v>
      </c>
      <c r="C13" s="960"/>
      <c r="D13" s="207"/>
      <c r="E13" s="260">
        <f>ROUND(E15+E14,2)</f>
        <v>2.77</v>
      </c>
      <c r="F13" s="340"/>
      <c r="G13" s="635">
        <f>E13*100/E17</f>
        <v>1.8057366362451108</v>
      </c>
    </row>
    <row r="14" spans="1:8">
      <c r="A14" s="193"/>
      <c r="B14" s="961" t="s">
        <v>483</v>
      </c>
      <c r="C14" s="961"/>
      <c r="D14" s="209">
        <v>10.220000000000001</v>
      </c>
      <c r="E14" s="329">
        <f>ROUND(182/1000*D14,2)</f>
        <v>1.86</v>
      </c>
      <c r="F14" s="341" t="s">
        <v>908</v>
      </c>
      <c r="G14" s="577">
        <f>E14*100/E17</f>
        <v>1.21251629726206</v>
      </c>
    </row>
    <row r="15" spans="1:8" ht="22.5">
      <c r="A15" s="193"/>
      <c r="B15" s="961" t="s">
        <v>374</v>
      </c>
      <c r="C15" s="961"/>
      <c r="D15" s="209">
        <v>3590.72</v>
      </c>
      <c r="E15" s="329">
        <f>ROUND(((0.058*8.8)*D15)/2009.7,2)</f>
        <v>0.91</v>
      </c>
      <c r="F15" s="234" t="s">
        <v>979</v>
      </c>
      <c r="G15" s="577">
        <f>E15*100/E17</f>
        <v>0.59322033898305082</v>
      </c>
    </row>
    <row r="16" spans="1:8">
      <c r="A16" s="193" t="s">
        <v>235</v>
      </c>
      <c r="B16" s="960" t="s">
        <v>56</v>
      </c>
      <c r="C16" s="960"/>
      <c r="D16" s="192">
        <v>0.15</v>
      </c>
      <c r="E16" s="218">
        <f>ROUND((E11+E12)*15%,2)</f>
        <v>19.649999999999999</v>
      </c>
      <c r="F16" s="342" t="s">
        <v>1081</v>
      </c>
      <c r="G16" s="635">
        <f>E16*100/E17</f>
        <v>12.809647979139502</v>
      </c>
    </row>
    <row r="17" spans="1:7">
      <c r="A17" s="193"/>
      <c r="B17" s="960" t="s">
        <v>309</v>
      </c>
      <c r="C17" s="960"/>
      <c r="D17" s="193"/>
      <c r="E17" s="260">
        <f>ROUND(E11+E12+E13+E16,2)</f>
        <v>153.4</v>
      </c>
      <c r="F17" s="254" t="s">
        <v>1084</v>
      </c>
      <c r="G17" s="123"/>
    </row>
    <row r="18" spans="1:7">
      <c r="A18" s="193"/>
      <c r="B18" s="960" t="s">
        <v>530</v>
      </c>
      <c r="C18" s="960"/>
      <c r="D18" s="193"/>
      <c r="E18" s="260"/>
      <c r="F18" s="254"/>
    </row>
    <row r="19" spans="1:7">
      <c r="A19" s="190"/>
      <c r="B19" s="962"/>
      <c r="C19" s="962"/>
      <c r="D19" s="378"/>
      <c r="E19" s="379"/>
      <c r="F19" s="211"/>
    </row>
    <row r="20" spans="1:7">
      <c r="A20" s="140" t="s">
        <v>306</v>
      </c>
      <c r="B20" s="252"/>
      <c r="C20" s="252"/>
      <c r="D20" s="252"/>
      <c r="E20" s="252" t="s">
        <v>808</v>
      </c>
      <c r="F20" s="252"/>
    </row>
    <row r="21" spans="1:7" ht="48">
      <c r="A21" s="206" t="s">
        <v>296</v>
      </c>
      <c r="B21" s="959" t="s">
        <v>307</v>
      </c>
      <c r="C21" s="959"/>
      <c r="D21" s="207"/>
      <c r="E21" s="274" t="s">
        <v>308</v>
      </c>
      <c r="F21" s="328" t="s">
        <v>82</v>
      </c>
    </row>
    <row r="22" spans="1:7">
      <c r="A22" s="193" t="s">
        <v>296</v>
      </c>
      <c r="B22" s="951" t="s">
        <v>631</v>
      </c>
      <c r="C22" s="951"/>
      <c r="D22" s="228">
        <f>D11</f>
        <v>215771.26</v>
      </c>
      <c r="E22" s="275">
        <f>ROUND(D22/H10,2)</f>
        <v>107.36</v>
      </c>
      <c r="F22" s="340" t="str">
        <f>F11</f>
        <v>215771,26/2009,7</v>
      </c>
    </row>
    <row r="23" spans="1:7">
      <c r="A23" s="193" t="s">
        <v>219</v>
      </c>
      <c r="B23" s="951" t="s">
        <v>482</v>
      </c>
      <c r="C23" s="951"/>
      <c r="D23" s="207"/>
      <c r="E23" s="275">
        <f>ROUND(E22*22%,2)</f>
        <v>23.62</v>
      </c>
      <c r="F23" s="340" t="str">
        <f>F12</f>
        <v>107,36*22%</v>
      </c>
    </row>
    <row r="24" spans="1:7">
      <c r="A24" s="193" t="s">
        <v>223</v>
      </c>
      <c r="B24" s="960" t="s">
        <v>454</v>
      </c>
      <c r="C24" s="960"/>
      <c r="D24" s="207"/>
      <c r="E24" s="260">
        <f>ROUND(E26+E25,2)</f>
        <v>5.66</v>
      </c>
      <c r="F24" s="340"/>
    </row>
    <row r="25" spans="1:7">
      <c r="A25" s="193"/>
      <c r="B25" s="961" t="s">
        <v>483</v>
      </c>
      <c r="C25" s="961"/>
      <c r="D25" s="209">
        <v>10.220000000000001</v>
      </c>
      <c r="E25" s="329">
        <f>ROUND(182/1000*D25,2)</f>
        <v>1.86</v>
      </c>
      <c r="F25" s="341" t="s">
        <v>908</v>
      </c>
    </row>
    <row r="26" spans="1:7" ht="22.5">
      <c r="A26" s="193"/>
      <c r="B26" s="961" t="s">
        <v>374</v>
      </c>
      <c r="C26" s="961"/>
      <c r="D26" s="209">
        <v>3590.72</v>
      </c>
      <c r="E26" s="329">
        <f>ROUND(((0.058*36.7)*D26)/2009.7,2)</f>
        <v>3.8</v>
      </c>
      <c r="F26" s="234" t="s">
        <v>997</v>
      </c>
    </row>
    <row r="27" spans="1:7">
      <c r="A27" s="193" t="s">
        <v>235</v>
      </c>
      <c r="B27" s="960" t="s">
        <v>56</v>
      </c>
      <c r="C27" s="960"/>
      <c r="D27" s="192">
        <v>0.15</v>
      </c>
      <c r="E27" s="218">
        <f>ROUND((E22+E23)*15%,2)</f>
        <v>19.649999999999999</v>
      </c>
      <c r="F27" s="342" t="str">
        <f>F16</f>
        <v>107,36+23,62× 15 %</v>
      </c>
    </row>
    <row r="28" spans="1:7">
      <c r="A28" s="193"/>
      <c r="B28" s="960" t="s">
        <v>309</v>
      </c>
      <c r="C28" s="960"/>
      <c r="D28" s="193"/>
      <c r="E28" s="260">
        <f>ROUND(E22+E23+E24+E27,2)</f>
        <v>156.29</v>
      </c>
      <c r="F28" s="254" t="s">
        <v>1085</v>
      </c>
    </row>
    <row r="29" spans="1:7">
      <c r="A29" s="193"/>
      <c r="B29" s="1002"/>
      <c r="C29" s="1003"/>
      <c r="D29" s="193"/>
      <c r="E29" s="260">
        <f>ROUND(E28/4,2)</f>
        <v>39.07</v>
      </c>
      <c r="F29" s="254"/>
    </row>
    <row r="30" spans="1:7">
      <c r="A30" s="190"/>
      <c r="B30" s="962"/>
      <c r="C30" s="962"/>
      <c r="D30" s="378"/>
      <c r="E30" s="379"/>
      <c r="F30" s="211"/>
    </row>
    <row r="31" spans="1:7">
      <c r="A31" s="963" t="s">
        <v>647</v>
      </c>
      <c r="B31" s="963"/>
      <c r="C31" s="963"/>
      <c r="D31" s="963"/>
      <c r="E31" s="963"/>
      <c r="F31" s="963"/>
    </row>
    <row r="32" spans="1:7">
      <c r="A32" s="1008" t="s">
        <v>633</v>
      </c>
      <c r="B32" s="1009"/>
      <c r="C32" s="1009"/>
      <c r="D32" s="1009"/>
      <c r="E32" s="1009"/>
      <c r="F32" s="1009"/>
    </row>
    <row r="33" spans="1:6">
      <c r="A33" s="964" t="s">
        <v>650</v>
      </c>
      <c r="B33" s="965"/>
      <c r="C33" s="965"/>
      <c r="D33" s="965"/>
      <c r="E33" s="965"/>
      <c r="F33" s="966"/>
    </row>
    <row r="34" spans="1:6">
      <c r="A34" s="193"/>
      <c r="B34" s="967" t="s">
        <v>471</v>
      </c>
      <c r="C34" s="967"/>
      <c r="D34" s="256" t="s">
        <v>472</v>
      </c>
      <c r="E34" s="256" t="s">
        <v>312</v>
      </c>
      <c r="F34" s="256" t="s">
        <v>82</v>
      </c>
    </row>
    <row r="35" spans="1:6" ht="15.75">
      <c r="A35" s="193"/>
      <c r="B35" s="1001" t="s">
        <v>473</v>
      </c>
      <c r="C35" s="1001"/>
      <c r="D35" s="333">
        <v>300</v>
      </c>
      <c r="E35" s="9">
        <f>ROUND(D35/1000*10.22,2)</f>
        <v>3.07</v>
      </c>
      <c r="F35" s="359" t="s">
        <v>925</v>
      </c>
    </row>
    <row r="36" spans="1:6" ht="26.45" customHeight="1">
      <c r="A36" s="193"/>
      <c r="B36" s="951" t="s">
        <v>559</v>
      </c>
      <c r="C36" s="951"/>
      <c r="D36" s="333"/>
      <c r="E36" s="203">
        <f>ROUND(D36/2009.7,2)</f>
        <v>0</v>
      </c>
      <c r="F36" s="360"/>
    </row>
    <row r="37" spans="1:6">
      <c r="A37" s="970" t="s">
        <v>648</v>
      </c>
      <c r="B37" s="970"/>
      <c r="C37" s="970"/>
      <c r="D37" s="970"/>
      <c r="E37" s="217">
        <f>ROUND(SUM(E35:E36),2)</f>
        <v>3.07</v>
      </c>
      <c r="F37" s="367"/>
    </row>
    <row r="39" spans="1:6">
      <c r="A39" s="1005" t="s">
        <v>651</v>
      </c>
      <c r="B39" s="1005"/>
      <c r="C39" s="1005"/>
      <c r="D39" s="1005"/>
      <c r="E39" s="1005"/>
      <c r="F39" s="1005"/>
    </row>
    <row r="40" spans="1:6">
      <c r="A40" s="193"/>
      <c r="B40" s="952" t="s">
        <v>473</v>
      </c>
      <c r="C40" s="952"/>
      <c r="D40" s="330">
        <v>260</v>
      </c>
      <c r="E40" s="332">
        <f>ROUND(D40/1000*10.22,2)</f>
        <v>2.66</v>
      </c>
      <c r="F40" s="249" t="s">
        <v>926</v>
      </c>
    </row>
    <row r="41" spans="1:6">
      <c r="A41" s="193"/>
      <c r="B41" s="1006"/>
      <c r="C41" s="1006"/>
      <c r="D41" s="330"/>
      <c r="E41" s="332">
        <f>ROUND(D41/2096,2)</f>
        <v>0</v>
      </c>
      <c r="F41" s="358"/>
    </row>
    <row r="42" spans="1:6">
      <c r="A42" s="1004" t="s">
        <v>648</v>
      </c>
      <c r="B42" s="1004"/>
      <c r="C42" s="1004"/>
      <c r="D42" s="1004"/>
      <c r="E42" s="217">
        <f>ROUND(E40+E41,2)</f>
        <v>2.66</v>
      </c>
      <c r="F42" s="191"/>
    </row>
    <row r="44" spans="1:6">
      <c r="A44" s="1004"/>
      <c r="B44" s="1004"/>
      <c r="C44" s="1004"/>
      <c r="D44" s="1004"/>
      <c r="E44" s="217"/>
      <c r="F44" s="191"/>
    </row>
    <row r="45" spans="1:6">
      <c r="A45" s="1005" t="s">
        <v>653</v>
      </c>
      <c r="B45" s="1005"/>
      <c r="C45" s="1005"/>
      <c r="D45" s="1005"/>
      <c r="E45" s="1005"/>
      <c r="F45" s="1005"/>
    </row>
    <row r="46" spans="1:6">
      <c r="A46" s="193"/>
      <c r="B46" s="952" t="s">
        <v>473</v>
      </c>
      <c r="C46" s="952"/>
      <c r="D46" s="330">
        <v>800</v>
      </c>
      <c r="E46" s="332">
        <f>ROUND(D46/1000*10.22,2)</f>
        <v>8.18</v>
      </c>
      <c r="F46" s="249" t="s">
        <v>927</v>
      </c>
    </row>
    <row r="47" spans="1:6">
      <c r="A47" s="193"/>
      <c r="B47" s="1006"/>
      <c r="C47" s="1006"/>
      <c r="D47" s="330"/>
      <c r="E47" s="332">
        <f>ROUND(D47/2096,2)</f>
        <v>0</v>
      </c>
      <c r="F47" s="249"/>
    </row>
    <row r="48" spans="1:6">
      <c r="A48" s="1004" t="s">
        <v>648</v>
      </c>
      <c r="B48" s="1004"/>
      <c r="C48" s="1004"/>
      <c r="D48" s="1004"/>
      <c r="E48" s="217">
        <f>ROUND(E46+E47,2)</f>
        <v>8.18</v>
      </c>
      <c r="F48" s="191"/>
    </row>
    <row r="51" spans="1:6" ht="15.75">
      <c r="A51" s="295" t="s">
        <v>23</v>
      </c>
      <c r="F51" s="51" t="s">
        <v>51</v>
      </c>
    </row>
  </sheetData>
  <mergeCells count="40">
    <mergeCell ref="B41:C41"/>
    <mergeCell ref="A42:D42"/>
    <mergeCell ref="A39:F39"/>
    <mergeCell ref="B40:C40"/>
    <mergeCell ref="A3:F3"/>
    <mergeCell ref="A4:F4"/>
    <mergeCell ref="B21:C21"/>
    <mergeCell ref="B22:C22"/>
    <mergeCell ref="B23:C23"/>
    <mergeCell ref="B24:C24"/>
    <mergeCell ref="B25:C25"/>
    <mergeCell ref="B30:C30"/>
    <mergeCell ref="A31:F31"/>
    <mergeCell ref="A32:F32"/>
    <mergeCell ref="B26:C26"/>
    <mergeCell ref="B27:C27"/>
    <mergeCell ref="A44:D44"/>
    <mergeCell ref="A45:F45"/>
    <mergeCell ref="B46:C46"/>
    <mergeCell ref="B47:C47"/>
    <mergeCell ref="A48:D48"/>
    <mergeCell ref="B28:C28"/>
    <mergeCell ref="A37:D37"/>
    <mergeCell ref="B34:C34"/>
    <mergeCell ref="B35:C35"/>
    <mergeCell ref="A33:F33"/>
    <mergeCell ref="B36:C36"/>
    <mergeCell ref="B29:C29"/>
    <mergeCell ref="A2:G2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15:C15"/>
    <mergeCell ref="A5:G5"/>
  </mergeCells>
  <pageMargins left="0.7" right="0.7" top="0.75" bottom="0.75" header="0.3" footer="0.3"/>
  <pageSetup paperSize="9" scale="87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41"/>
  <sheetViews>
    <sheetView view="pageBreakPreview" topLeftCell="A19" zoomScale="95" zoomScaleNormal="100" zoomScaleSheetLayoutView="95" workbookViewId="0">
      <selection activeCell="E38" sqref="E38"/>
    </sheetView>
  </sheetViews>
  <sheetFormatPr defaultColWidth="8.85546875" defaultRowHeight="15"/>
  <cols>
    <col min="1" max="1" width="5.42578125" style="190" customWidth="1"/>
    <col min="2" max="2" width="30.28515625" style="190" customWidth="1"/>
    <col min="3" max="3" width="8.42578125" style="190" customWidth="1"/>
    <col min="4" max="4" width="8.7109375" style="190" customWidth="1"/>
    <col min="5" max="5" width="15.85546875" style="190" customWidth="1"/>
    <col min="6" max="6" width="22.28515625" style="190" customWidth="1"/>
    <col min="7" max="16384" width="8.85546875" style="190"/>
  </cols>
  <sheetData>
    <row r="1" spans="1:7" ht="15.75" hidden="1">
      <c r="A1" s="189" t="s">
        <v>510</v>
      </c>
    </row>
    <row r="2" spans="1:7" ht="17.45" hidden="1" customHeight="1">
      <c r="A2" s="926" t="s">
        <v>476</v>
      </c>
      <c r="B2" s="927"/>
      <c r="C2" s="927"/>
      <c r="D2" s="927"/>
      <c r="E2" s="927"/>
      <c r="F2" s="927"/>
    </row>
    <row r="3" spans="1:7" ht="15.6" hidden="1" customHeight="1">
      <c r="A3" s="928" t="s">
        <v>511</v>
      </c>
      <c r="B3" s="929"/>
      <c r="C3" s="929"/>
      <c r="D3" s="929"/>
      <c r="E3" s="929"/>
      <c r="F3" s="929"/>
    </row>
    <row r="4" spans="1:7" ht="15.6" customHeight="1">
      <c r="A4" s="189" t="s">
        <v>510</v>
      </c>
      <c r="B4" s="245"/>
      <c r="C4" s="245"/>
      <c r="D4" s="245"/>
      <c r="E4" s="245"/>
      <c r="F4" s="245"/>
    </row>
    <row r="5" spans="1:7" ht="15.6" customHeight="1">
      <c r="A5" s="1012" t="s">
        <v>793</v>
      </c>
      <c r="B5" s="1012"/>
      <c r="C5" s="1012"/>
      <c r="D5" s="1012"/>
      <c r="E5" s="1012"/>
    </row>
    <row r="6" spans="1:7" ht="34.9" customHeight="1">
      <c r="A6" s="1022" t="s">
        <v>719</v>
      </c>
      <c r="B6" s="1022"/>
      <c r="C6" s="1022"/>
      <c r="D6" s="1022"/>
      <c r="E6" s="1022"/>
      <c r="F6" s="1022"/>
    </row>
    <row r="7" spans="1:7" ht="14.45" customHeight="1">
      <c r="A7" s="1023" t="s">
        <v>794</v>
      </c>
      <c r="B7" s="1023"/>
      <c r="C7" s="1023"/>
      <c r="D7" s="1023"/>
      <c r="E7" s="1023"/>
      <c r="F7" s="1023"/>
    </row>
    <row r="8" spans="1:7">
      <c r="A8" s="974" t="s">
        <v>795</v>
      </c>
      <c r="B8" s="974"/>
      <c r="C8" s="974"/>
      <c r="D8" s="974"/>
      <c r="E8" s="974"/>
      <c r="F8" s="974"/>
    </row>
    <row r="9" spans="1:7" ht="25.15" customHeight="1">
      <c r="A9" s="974" t="s">
        <v>796</v>
      </c>
      <c r="B9" s="974"/>
      <c r="C9" s="974"/>
      <c r="D9" s="974"/>
      <c r="E9" s="974"/>
      <c r="F9" s="974"/>
    </row>
    <row r="10" spans="1:7" ht="45">
      <c r="A10" s="328" t="s">
        <v>296</v>
      </c>
      <c r="B10" s="959" t="s">
        <v>307</v>
      </c>
      <c r="C10" s="959"/>
      <c r="D10" s="207"/>
      <c r="E10" s="2" t="s">
        <v>308</v>
      </c>
      <c r="F10" s="328" t="s">
        <v>82</v>
      </c>
      <c r="G10" s="190">
        <v>174</v>
      </c>
    </row>
    <row r="11" spans="1:7" ht="14.45" customHeight="1">
      <c r="A11" s="330" t="s">
        <v>296</v>
      </c>
      <c r="B11" s="951" t="s">
        <v>631</v>
      </c>
      <c r="C11" s="951"/>
      <c r="D11" s="361">
        <f>ЗВЕДЕНИЙ!V60</f>
        <v>208174.03504779999</v>
      </c>
      <c r="E11" s="361">
        <f>ROUND(D11/12/G10,2)</f>
        <v>99.7</v>
      </c>
      <c r="F11" s="340" t="s">
        <v>960</v>
      </c>
    </row>
    <row r="12" spans="1:7">
      <c r="A12" s="330" t="s">
        <v>219</v>
      </c>
      <c r="B12" s="951" t="s">
        <v>482</v>
      </c>
      <c r="C12" s="951"/>
      <c r="D12" s="229"/>
      <c r="E12" s="361">
        <f>ROUND(E11*22%,2)</f>
        <v>21.93</v>
      </c>
      <c r="F12" s="340" t="s">
        <v>959</v>
      </c>
    </row>
    <row r="13" spans="1:7">
      <c r="A13" s="330" t="s">
        <v>223</v>
      </c>
      <c r="B13" s="960" t="s">
        <v>798</v>
      </c>
      <c r="C13" s="960"/>
      <c r="D13" s="229"/>
      <c r="E13" s="369">
        <f>ROUND(E16+E14,2)</f>
        <v>5.41</v>
      </c>
      <c r="F13" s="340"/>
    </row>
    <row r="14" spans="1:7">
      <c r="A14" s="330"/>
      <c r="B14" s="961" t="s">
        <v>483</v>
      </c>
      <c r="C14" s="961"/>
      <c r="D14" s="331">
        <v>10.220000000000001</v>
      </c>
      <c r="E14" s="361">
        <f>(144/1000)*10.22</f>
        <v>1.4716799999999999</v>
      </c>
      <c r="F14" s="392" t="s">
        <v>897</v>
      </c>
    </row>
    <row r="15" spans="1:7" ht="36.75">
      <c r="A15" s="599"/>
      <c r="B15" s="1013" t="s">
        <v>797</v>
      </c>
      <c r="C15" s="1013"/>
      <c r="D15" s="600">
        <v>10.220000000000001</v>
      </c>
      <c r="E15" s="601">
        <f>((1839.75/1000)*10.22)/60*40</f>
        <v>12.534830000000001</v>
      </c>
      <c r="F15" s="602" t="s">
        <v>898</v>
      </c>
    </row>
    <row r="16" spans="1:7" ht="33.75">
      <c r="A16" s="330"/>
      <c r="B16" s="961" t="s">
        <v>374</v>
      </c>
      <c r="C16" s="961"/>
      <c r="D16" s="331">
        <v>3590.72</v>
      </c>
      <c r="E16" s="361">
        <f>ROUND((0.058*39.5)*(D16/2088),2)</f>
        <v>3.94</v>
      </c>
      <c r="F16" s="212" t="s">
        <v>976</v>
      </c>
    </row>
    <row r="17" spans="1:6" ht="17.45" customHeight="1">
      <c r="A17" s="330" t="s">
        <v>235</v>
      </c>
      <c r="B17" s="960" t="s">
        <v>56</v>
      </c>
      <c r="C17" s="960"/>
      <c r="D17" s="380">
        <v>0.15</v>
      </c>
      <c r="E17" s="381">
        <f>ROUND((E11+E12)*15%,2)</f>
        <v>18.239999999999998</v>
      </c>
      <c r="F17" s="342" t="s">
        <v>1008</v>
      </c>
    </row>
    <row r="18" spans="1:6">
      <c r="A18" s="330"/>
      <c r="B18" s="960" t="s">
        <v>309</v>
      </c>
      <c r="C18" s="960"/>
      <c r="D18" s="214"/>
      <c r="E18" s="369">
        <f>ROUND(E11+E12+E13+E17,2)</f>
        <v>145.28</v>
      </c>
      <c r="F18" s="254" t="s">
        <v>1009</v>
      </c>
    </row>
    <row r="19" spans="1:6" ht="36.75">
      <c r="A19" s="603"/>
      <c r="B19" s="1013" t="s">
        <v>841</v>
      </c>
      <c r="C19" s="1013"/>
      <c r="D19" s="600">
        <v>10.220000000000001</v>
      </c>
      <c r="E19" s="601">
        <f>ROUND(((1839.75/1000)*10.22)/60*10,2)</f>
        <v>3.13</v>
      </c>
      <c r="F19" s="602" t="s">
        <v>899</v>
      </c>
    </row>
    <row r="20" spans="1:6">
      <c r="B20" s="255"/>
      <c r="C20" s="255"/>
      <c r="E20" s="216"/>
      <c r="F20" s="385"/>
    </row>
    <row r="21" spans="1:6">
      <c r="A21" s="963"/>
      <c r="B21" s="963"/>
      <c r="C21" s="963"/>
      <c r="D21" s="963"/>
      <c r="E21" s="963"/>
      <c r="F21" s="963"/>
    </row>
    <row r="22" spans="1:6">
      <c r="A22" s="411"/>
      <c r="B22" s="411"/>
      <c r="C22" s="411"/>
      <c r="D22" s="411"/>
      <c r="E22" s="411"/>
      <c r="F22" s="411"/>
    </row>
    <row r="23" spans="1:6" ht="27.6" customHeight="1">
      <c r="A23" s="963" t="s">
        <v>647</v>
      </c>
      <c r="B23" s="963"/>
      <c r="C23" s="963"/>
      <c r="D23" s="963"/>
      <c r="E23" s="963"/>
      <c r="F23" s="963"/>
    </row>
    <row r="24" spans="1:6">
      <c r="A24" s="328">
        <v>1</v>
      </c>
      <c r="B24" s="951" t="s">
        <v>513</v>
      </c>
      <c r="C24" s="951"/>
      <c r="D24" s="328">
        <f>SUM(D25:D35)</f>
        <v>14320.5</v>
      </c>
      <c r="E24" s="260"/>
      <c r="F24" s="360"/>
    </row>
    <row r="25" spans="1:6" ht="48.6" customHeight="1">
      <c r="A25" s="193"/>
      <c r="B25" s="1018" t="s">
        <v>1018</v>
      </c>
      <c r="C25" s="1019"/>
      <c r="D25" s="553">
        <v>1472.5</v>
      </c>
      <c r="E25" s="260">
        <f>ROUND(D25/9/2088,2)</f>
        <v>0.08</v>
      </c>
      <c r="F25" s="554" t="s">
        <v>1095</v>
      </c>
    </row>
    <row r="26" spans="1:6">
      <c r="A26" s="193"/>
      <c r="B26" s="1014" t="s">
        <v>790</v>
      </c>
      <c r="C26" s="1015"/>
      <c r="D26" s="383"/>
      <c r="E26" s="275">
        <f t="shared" ref="E26:E35" si="0">ROUND(D26/2088,2)</f>
        <v>0</v>
      </c>
      <c r="F26" s="382"/>
    </row>
    <row r="27" spans="1:6">
      <c r="A27" s="193">
        <v>1</v>
      </c>
      <c r="B27" s="1014" t="s">
        <v>523</v>
      </c>
      <c r="C27" s="1015"/>
      <c r="D27" s="383">
        <v>223.2</v>
      </c>
      <c r="E27" s="275">
        <f t="shared" si="0"/>
        <v>0.11</v>
      </c>
      <c r="F27" s="382" t="s">
        <v>900</v>
      </c>
    </row>
    <row r="28" spans="1:6">
      <c r="A28" s="193">
        <v>2</v>
      </c>
      <c r="B28" s="1014" t="s">
        <v>527</v>
      </c>
      <c r="C28" s="1015"/>
      <c r="D28" s="383">
        <v>754</v>
      </c>
      <c r="E28" s="275">
        <f t="shared" si="0"/>
        <v>0.36</v>
      </c>
      <c r="F28" s="382" t="s">
        <v>901</v>
      </c>
    </row>
    <row r="29" spans="1:6">
      <c r="A29" s="193">
        <v>3</v>
      </c>
      <c r="B29" s="1024" t="s">
        <v>528</v>
      </c>
      <c r="C29" s="1025"/>
      <c r="D29" s="383">
        <v>1290</v>
      </c>
      <c r="E29" s="275">
        <f t="shared" si="0"/>
        <v>0.62</v>
      </c>
      <c r="F29" s="382" t="s">
        <v>902</v>
      </c>
    </row>
    <row r="30" spans="1:6" ht="13.9" customHeight="1">
      <c r="A30" s="193">
        <v>4</v>
      </c>
      <c r="B30" s="1014" t="s">
        <v>529</v>
      </c>
      <c r="C30" s="1015"/>
      <c r="D30" s="383">
        <v>4158</v>
      </c>
      <c r="E30" s="275">
        <f t="shared" si="0"/>
        <v>1.99</v>
      </c>
      <c r="F30" s="382" t="s">
        <v>903</v>
      </c>
    </row>
    <row r="31" spans="1:6">
      <c r="A31" s="193">
        <v>5</v>
      </c>
      <c r="B31" s="1016" t="s">
        <v>789</v>
      </c>
      <c r="C31" s="1017"/>
      <c r="D31" s="383">
        <v>2950</v>
      </c>
      <c r="E31" s="275">
        <f t="shared" si="0"/>
        <v>1.41</v>
      </c>
      <c r="F31" s="549" t="s">
        <v>904</v>
      </c>
    </row>
    <row r="32" spans="1:6">
      <c r="A32" s="193">
        <v>6</v>
      </c>
      <c r="B32" s="1010" t="s">
        <v>524</v>
      </c>
      <c r="C32" s="1010"/>
      <c r="D32" s="383">
        <v>175</v>
      </c>
      <c r="E32" s="275">
        <f t="shared" si="0"/>
        <v>0.08</v>
      </c>
      <c r="F32" s="367" t="s">
        <v>905</v>
      </c>
    </row>
    <row r="33" spans="1:6">
      <c r="A33" s="193">
        <v>7</v>
      </c>
      <c r="B33" s="1010" t="s">
        <v>525</v>
      </c>
      <c r="C33" s="1010"/>
      <c r="D33" s="383">
        <v>67.8</v>
      </c>
      <c r="E33" s="275">
        <f t="shared" si="0"/>
        <v>0.03</v>
      </c>
      <c r="F33" s="392" t="s">
        <v>906</v>
      </c>
    </row>
    <row r="34" spans="1:6" ht="15" customHeight="1">
      <c r="A34" s="193">
        <v>8</v>
      </c>
      <c r="B34" s="1020" t="s">
        <v>932</v>
      </c>
      <c r="C34" s="1021"/>
      <c r="D34" s="383">
        <v>930</v>
      </c>
      <c r="E34" s="275">
        <f t="shared" si="0"/>
        <v>0.45</v>
      </c>
      <c r="F34" s="392" t="s">
        <v>933</v>
      </c>
    </row>
    <row r="35" spans="1:6">
      <c r="A35" s="193">
        <v>9</v>
      </c>
      <c r="B35" s="1010" t="s">
        <v>526</v>
      </c>
      <c r="C35" s="1010"/>
      <c r="D35" s="383">
        <v>2300</v>
      </c>
      <c r="E35" s="275">
        <f t="shared" si="0"/>
        <v>1.1000000000000001</v>
      </c>
      <c r="F35" s="367" t="s">
        <v>907</v>
      </c>
    </row>
    <row r="36" spans="1:6">
      <c r="A36" s="193"/>
      <c r="B36" s="952" t="s">
        <v>791</v>
      </c>
      <c r="C36" s="952"/>
      <c r="D36" s="256">
        <f>SUM(D26:D35)</f>
        <v>12848</v>
      </c>
      <c r="E36" s="217">
        <f>D36/9/2088</f>
        <v>0.68369518944231589</v>
      </c>
      <c r="F36" s="367" t="s">
        <v>1019</v>
      </c>
    </row>
    <row r="37" spans="1:6">
      <c r="A37" s="193"/>
      <c r="B37" s="1011" t="s">
        <v>792</v>
      </c>
      <c r="C37" s="1011"/>
      <c r="D37" s="193"/>
      <c r="E37" s="217">
        <f>ROUND(E25+E36,2)</f>
        <v>0.76</v>
      </c>
      <c r="F37" s="367" t="s">
        <v>1020</v>
      </c>
    </row>
    <row r="41" spans="1:6" ht="15.75">
      <c r="B41" s="295" t="s">
        <v>23</v>
      </c>
      <c r="C41" s="37"/>
      <c r="D41" s="51"/>
      <c r="E41" s="51" t="s">
        <v>51</v>
      </c>
      <c r="F41" s="90"/>
    </row>
  </sheetData>
  <mergeCells count="33">
    <mergeCell ref="B28:C28"/>
    <mergeCell ref="B29:C29"/>
    <mergeCell ref="A9:F9"/>
    <mergeCell ref="B15:C15"/>
    <mergeCell ref="B33:C33"/>
    <mergeCell ref="A2:F2"/>
    <mergeCell ref="A3:F3"/>
    <mergeCell ref="B10:C10"/>
    <mergeCell ref="B11:C11"/>
    <mergeCell ref="B17:C17"/>
    <mergeCell ref="B12:C12"/>
    <mergeCell ref="B13:C13"/>
    <mergeCell ref="B14:C14"/>
    <mergeCell ref="B16:C16"/>
    <mergeCell ref="A6:F6"/>
    <mergeCell ref="A7:F7"/>
    <mergeCell ref="A8:F8"/>
    <mergeCell ref="B35:C35"/>
    <mergeCell ref="B36:C36"/>
    <mergeCell ref="B37:C37"/>
    <mergeCell ref="A5:E5"/>
    <mergeCell ref="B18:C18"/>
    <mergeCell ref="B19:C19"/>
    <mergeCell ref="B24:C24"/>
    <mergeCell ref="A21:F21"/>
    <mergeCell ref="A23:F23"/>
    <mergeCell ref="B30:C30"/>
    <mergeCell ref="B31:C31"/>
    <mergeCell ref="B32:C32"/>
    <mergeCell ref="B25:C25"/>
    <mergeCell ref="B26:C26"/>
    <mergeCell ref="B27:C27"/>
    <mergeCell ref="B34:C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50"/>
  <sheetViews>
    <sheetView view="pageBreakPreview" zoomScaleSheetLayoutView="100" workbookViewId="0">
      <selection activeCell="E38" sqref="E38"/>
    </sheetView>
  </sheetViews>
  <sheetFormatPr defaultRowHeight="15"/>
  <cols>
    <col min="1" max="1" width="4" customWidth="1"/>
    <col min="3" max="3" width="24.5703125" customWidth="1"/>
    <col min="4" max="4" width="9.7109375" customWidth="1"/>
    <col min="5" max="5" width="14.28515625" customWidth="1"/>
    <col min="6" max="6" width="27.5703125" customWidth="1"/>
  </cols>
  <sheetData>
    <row r="1" spans="1:8" ht="15.75">
      <c r="A1" s="189" t="s">
        <v>510</v>
      </c>
      <c r="B1" s="245"/>
      <c r="C1" s="245"/>
      <c r="D1" s="245"/>
      <c r="E1" s="245"/>
      <c r="F1" s="245"/>
    </row>
    <row r="2" spans="1:8">
      <c r="A2" s="252"/>
      <c r="B2" s="545"/>
      <c r="C2" s="545"/>
      <c r="D2" s="545"/>
      <c r="E2" s="545"/>
      <c r="F2" s="545"/>
    </row>
    <row r="3" spans="1:8" ht="30" customHeight="1">
      <c r="A3" s="1026" t="s">
        <v>719</v>
      </c>
      <c r="B3" s="1026"/>
      <c r="C3" s="1026"/>
      <c r="D3" s="1026"/>
      <c r="E3" s="1026"/>
      <c r="F3" s="1026"/>
    </row>
    <row r="4" spans="1:8" ht="15.6" customHeight="1">
      <c r="A4" s="1033" t="s">
        <v>658</v>
      </c>
      <c r="B4" s="1033"/>
      <c r="C4" s="1033"/>
      <c r="D4" s="1033"/>
      <c r="E4" s="1033"/>
      <c r="F4" s="1033"/>
      <c r="G4" s="1033"/>
    </row>
    <row r="5" spans="1:8" ht="12" customHeight="1">
      <c r="A5" s="190" t="s">
        <v>659</v>
      </c>
      <c r="B5" s="190"/>
      <c r="C5" s="190"/>
      <c r="D5" s="190"/>
      <c r="E5" s="190"/>
      <c r="F5" s="190"/>
    </row>
    <row r="6" spans="1:8" ht="12" customHeight="1">
      <c r="A6" s="1036" t="s">
        <v>145</v>
      </c>
      <c r="B6" s="1036"/>
      <c r="C6" s="1036"/>
      <c r="D6" s="1036"/>
      <c r="E6" s="1036"/>
      <c r="F6" s="1036"/>
    </row>
    <row r="7" spans="1:8" ht="12" customHeight="1">
      <c r="A7" s="1037" t="s">
        <v>669</v>
      </c>
      <c r="B7" s="1037"/>
      <c r="C7" s="1037"/>
      <c r="D7" s="1037"/>
      <c r="E7" s="1037"/>
      <c r="F7" s="1037"/>
    </row>
    <row r="8" spans="1:8" ht="12" customHeight="1">
      <c r="A8" s="390"/>
      <c r="B8" s="390"/>
      <c r="C8" s="390"/>
      <c r="D8" s="390"/>
      <c r="E8" s="390"/>
      <c r="F8" s="390"/>
    </row>
    <row r="9" spans="1:8">
      <c r="A9" s="140" t="s">
        <v>306</v>
      </c>
      <c r="B9" s="252"/>
      <c r="C9" s="252"/>
      <c r="D9" s="252"/>
      <c r="E9" s="252"/>
      <c r="F9" s="252"/>
      <c r="H9">
        <v>174</v>
      </c>
    </row>
    <row r="10" spans="1:8" ht="46.15" customHeight="1">
      <c r="A10" s="328" t="s">
        <v>296</v>
      </c>
      <c r="B10" s="959" t="s">
        <v>307</v>
      </c>
      <c r="C10" s="959"/>
      <c r="D10" s="207"/>
      <c r="E10" s="2" t="s">
        <v>673</v>
      </c>
      <c r="F10" s="328" t="s">
        <v>82</v>
      </c>
    </row>
    <row r="11" spans="1:8">
      <c r="A11" s="330" t="s">
        <v>296</v>
      </c>
      <c r="B11" s="951" t="s">
        <v>631</v>
      </c>
      <c r="C11" s="951"/>
      <c r="D11" s="361">
        <f>ЗВЕДЕНИЙ!V60</f>
        <v>208174.03504779999</v>
      </c>
      <c r="E11" s="361">
        <f>ROUND(D11/12/H9,2)</f>
        <v>99.7</v>
      </c>
      <c r="F11" s="340" t="s">
        <v>960</v>
      </c>
    </row>
    <row r="12" spans="1:8">
      <c r="A12" s="330" t="s">
        <v>219</v>
      </c>
      <c r="B12" s="951" t="s">
        <v>482</v>
      </c>
      <c r="C12" s="951"/>
      <c r="D12" s="229"/>
      <c r="E12" s="361">
        <f>ROUND(E11*22%,2)</f>
        <v>21.93</v>
      </c>
      <c r="F12" s="340" t="s">
        <v>959</v>
      </c>
    </row>
    <row r="13" spans="1:8">
      <c r="A13" s="330" t="s">
        <v>223</v>
      </c>
      <c r="B13" s="960" t="s">
        <v>454</v>
      </c>
      <c r="C13" s="960"/>
      <c r="D13" s="229"/>
      <c r="E13" s="369">
        <f>ROUND(E15+E14,2)</f>
        <v>2.77</v>
      </c>
      <c r="F13" s="340"/>
    </row>
    <row r="14" spans="1:8" ht="13.9" customHeight="1">
      <c r="A14" s="330"/>
      <c r="B14" s="961" t="s">
        <v>483</v>
      </c>
      <c r="C14" s="961"/>
      <c r="D14" s="331">
        <v>10.220000000000001</v>
      </c>
      <c r="E14" s="361">
        <f>(((72)/1000)*D14)</f>
        <v>0.73583999999999994</v>
      </c>
      <c r="F14" s="386" t="s">
        <v>982</v>
      </c>
    </row>
    <row r="15" spans="1:8" ht="21" customHeight="1">
      <c r="A15" s="330"/>
      <c r="B15" s="961" t="s">
        <v>374</v>
      </c>
      <c r="C15" s="961"/>
      <c r="D15" s="331">
        <v>3590.72</v>
      </c>
      <c r="E15" s="361">
        <f>ROUND(((0.058*20.4)*(D15)/2088),2)</f>
        <v>2.0299999999999998</v>
      </c>
      <c r="F15" s="212" t="s">
        <v>975</v>
      </c>
    </row>
    <row r="16" spans="1:8">
      <c r="A16" s="330" t="s">
        <v>235</v>
      </c>
      <c r="B16" s="960" t="s">
        <v>56</v>
      </c>
      <c r="C16" s="960"/>
      <c r="D16" s="380">
        <v>0.15</v>
      </c>
      <c r="E16" s="381">
        <f>ROUND((E11+E12)*15%,2)</f>
        <v>18.239999999999998</v>
      </c>
      <c r="F16" s="342" t="s">
        <v>1007</v>
      </c>
    </row>
    <row r="17" spans="1:6">
      <c r="A17" s="330"/>
      <c r="B17" s="960" t="s">
        <v>309</v>
      </c>
      <c r="C17" s="960"/>
      <c r="D17" s="214"/>
      <c r="E17" s="369">
        <f>ROUND(E11+E12+E16+E13,2)</f>
        <v>142.63999999999999</v>
      </c>
      <c r="F17" s="254" t="s">
        <v>1010</v>
      </c>
    </row>
    <row r="18" spans="1:6">
      <c r="A18" s="193"/>
      <c r="B18" s="960" t="s">
        <v>530</v>
      </c>
      <c r="C18" s="960"/>
      <c r="D18" s="193"/>
      <c r="E18" s="260"/>
      <c r="F18" s="254"/>
    </row>
    <row r="19" spans="1:6">
      <c r="A19" s="190"/>
      <c r="B19" s="255"/>
      <c r="C19" s="255"/>
      <c r="D19" s="190"/>
      <c r="E19" s="216"/>
      <c r="F19" s="385"/>
    </row>
    <row r="20" spans="1:6">
      <c r="A20" s="963" t="s">
        <v>647</v>
      </c>
      <c r="B20" s="963"/>
      <c r="C20" s="963"/>
      <c r="D20" s="963"/>
      <c r="E20" s="963"/>
      <c r="F20" s="963"/>
    </row>
    <row r="21" spans="1:6" ht="14.45" customHeight="1">
      <c r="A21" s="958" t="s">
        <v>633</v>
      </c>
      <c r="B21" s="950"/>
      <c r="C21" s="950"/>
      <c r="D21" s="950"/>
      <c r="E21" s="950"/>
      <c r="F21" s="950"/>
    </row>
    <row r="22" spans="1:6" ht="23.45" customHeight="1">
      <c r="A22" s="328"/>
      <c r="B22" s="1034" t="s">
        <v>471</v>
      </c>
      <c r="C22" s="1034"/>
      <c r="D22" s="388" t="s">
        <v>662</v>
      </c>
      <c r="E22" s="389" t="s">
        <v>312</v>
      </c>
      <c r="F22" s="389" t="s">
        <v>82</v>
      </c>
    </row>
    <row r="23" spans="1:6" ht="13.9" customHeight="1">
      <c r="A23" s="328"/>
      <c r="B23" s="1038" t="s">
        <v>664</v>
      </c>
      <c r="C23" s="1038"/>
      <c r="D23" s="1038"/>
      <c r="E23" s="1038"/>
      <c r="F23" s="1038"/>
    </row>
    <row r="24" spans="1:6" ht="21.6" customHeight="1">
      <c r="A24" s="193"/>
      <c r="B24" s="979" t="s">
        <v>661</v>
      </c>
      <c r="C24" s="979"/>
      <c r="D24" s="262">
        <v>15</v>
      </c>
      <c r="E24" s="274">
        <f>ROUND(((D24/1000)*10.22)/60*10,2)</f>
        <v>0.03</v>
      </c>
      <c r="F24" s="4" t="s">
        <v>888</v>
      </c>
    </row>
    <row r="25" spans="1:6" ht="24" customHeight="1">
      <c r="A25" s="193"/>
      <c r="B25" s="979" t="s">
        <v>660</v>
      </c>
      <c r="C25" s="979"/>
      <c r="D25" s="262">
        <v>1520</v>
      </c>
      <c r="E25" s="387">
        <f>ROUND(D25/2088,2)</f>
        <v>0.73</v>
      </c>
      <c r="F25" s="339" t="s">
        <v>889</v>
      </c>
    </row>
    <row r="26" spans="1:6" ht="15" customHeight="1">
      <c r="A26" s="193"/>
      <c r="B26" s="979" t="s">
        <v>697</v>
      </c>
      <c r="C26" s="979"/>
      <c r="D26" s="262" t="s">
        <v>679</v>
      </c>
      <c r="E26" s="387">
        <v>15.48</v>
      </c>
      <c r="F26" s="339" t="s">
        <v>961</v>
      </c>
    </row>
    <row r="27" spans="1:6" ht="24.6" customHeight="1">
      <c r="A27" s="193"/>
      <c r="B27" s="979" t="s">
        <v>663</v>
      </c>
      <c r="C27" s="979"/>
      <c r="D27" s="262">
        <v>15</v>
      </c>
      <c r="E27" s="387">
        <f>ROUND((58/100)*D27,2)</f>
        <v>8.6999999999999993</v>
      </c>
      <c r="F27" s="349" t="s">
        <v>890</v>
      </c>
    </row>
    <row r="28" spans="1:6" ht="15" customHeight="1">
      <c r="A28" s="193"/>
      <c r="B28" s="979" t="s">
        <v>741</v>
      </c>
      <c r="C28" s="979"/>
      <c r="D28" s="262">
        <v>10</v>
      </c>
      <c r="E28" s="387">
        <f>1.26*10</f>
        <v>12.6</v>
      </c>
      <c r="F28" s="349" t="s">
        <v>944</v>
      </c>
    </row>
    <row r="29" spans="1:6" ht="14.45" customHeight="1">
      <c r="A29" s="193"/>
      <c r="B29" s="979" t="s">
        <v>742</v>
      </c>
      <c r="C29" s="979"/>
      <c r="D29" s="262">
        <v>10</v>
      </c>
      <c r="E29" s="387">
        <f>0.28*10</f>
        <v>2.8000000000000003</v>
      </c>
      <c r="F29" s="349" t="s">
        <v>891</v>
      </c>
    </row>
    <row r="30" spans="1:6" ht="14.45" customHeight="1">
      <c r="A30" s="193"/>
      <c r="B30" s="1035" t="s">
        <v>846</v>
      </c>
      <c r="C30" s="1035"/>
      <c r="D30" s="1035"/>
      <c r="E30" s="660">
        <f>SUM(E24:E29)</f>
        <v>40.339999999999996</v>
      </c>
      <c r="F30" s="250"/>
    </row>
    <row r="31" spans="1:6" ht="16.149999999999999" customHeight="1">
      <c r="A31" s="193"/>
      <c r="B31" s="1032"/>
      <c r="C31" s="1032"/>
      <c r="D31" s="1032"/>
      <c r="E31" s="425">
        <f>(E17+E30)/60*30/10</f>
        <v>9.1489999999999991</v>
      </c>
      <c r="F31" s="367"/>
    </row>
    <row r="32" spans="1:6" ht="14.45" customHeight="1">
      <c r="A32" s="328"/>
      <c r="B32" s="1031" t="s">
        <v>665</v>
      </c>
      <c r="C32" s="1031"/>
      <c r="D32" s="1031"/>
      <c r="E32" s="1031"/>
      <c r="F32" s="1031"/>
    </row>
    <row r="33" spans="1:6" ht="21" customHeight="1">
      <c r="A33" s="328"/>
      <c r="B33" s="979" t="s">
        <v>666</v>
      </c>
      <c r="C33" s="979"/>
      <c r="D33" s="262">
        <v>1650</v>
      </c>
      <c r="E33" s="387">
        <f>ROUND(D33/1000*10.22/60*5,2)</f>
        <v>1.41</v>
      </c>
      <c r="F33" s="427" t="s">
        <v>892</v>
      </c>
    </row>
    <row r="34" spans="1:6" ht="13.15" customHeight="1">
      <c r="A34" s="193"/>
      <c r="B34" s="979" t="s">
        <v>667</v>
      </c>
      <c r="C34" s="979"/>
      <c r="D34" s="262">
        <v>484.5</v>
      </c>
      <c r="E34" s="391">
        <f>ROUND(D34/2088,2)</f>
        <v>0.23</v>
      </c>
      <c r="F34" s="367" t="s">
        <v>893</v>
      </c>
    </row>
    <row r="35" spans="1:6" ht="24" customHeight="1">
      <c r="A35" s="193"/>
      <c r="B35" s="1029" t="s">
        <v>670</v>
      </c>
      <c r="C35" s="1029"/>
      <c r="D35" s="262">
        <v>1.5</v>
      </c>
      <c r="E35" s="387">
        <f>ROUND(D35*3.95+G35,2)</f>
        <v>5.93</v>
      </c>
      <c r="F35" s="386" t="s">
        <v>743</v>
      </c>
    </row>
    <row r="36" spans="1:6">
      <c r="A36" s="193"/>
      <c r="B36" s="982" t="s">
        <v>668</v>
      </c>
      <c r="C36" s="982"/>
      <c r="D36" s="357">
        <v>33.909999999999997</v>
      </c>
      <c r="E36" s="391">
        <f>ROUND((D36/20)*10,2)</f>
        <v>16.96</v>
      </c>
      <c r="F36" s="424" t="s">
        <v>962</v>
      </c>
    </row>
    <row r="37" spans="1:6">
      <c r="A37" s="193"/>
      <c r="B37" s="982" t="s">
        <v>995</v>
      </c>
      <c r="C37" s="982"/>
      <c r="D37" s="262"/>
      <c r="E37" s="387"/>
      <c r="F37" s="340"/>
    </row>
    <row r="38" spans="1:6">
      <c r="A38" s="193"/>
      <c r="B38" s="1028" t="s">
        <v>309</v>
      </c>
      <c r="C38" s="1028"/>
      <c r="D38" s="1028"/>
      <c r="E38" s="425">
        <f>(E33+E34+E35+E36+E37)</f>
        <v>24.53</v>
      </c>
      <c r="F38" s="424" t="s">
        <v>994</v>
      </c>
    </row>
    <row r="39" spans="1:6">
      <c r="A39" s="1030" t="s">
        <v>672</v>
      </c>
      <c r="B39" s="1030"/>
      <c r="C39" s="1030"/>
      <c r="D39" s="1030"/>
      <c r="E39" s="217">
        <f>ROUND((E17+E38)/10,2)/2</f>
        <v>8.36</v>
      </c>
      <c r="F39" s="191"/>
    </row>
    <row r="40" spans="1:6">
      <c r="A40" s="330"/>
      <c r="B40" s="1027" t="s">
        <v>688</v>
      </c>
      <c r="C40" s="1027"/>
      <c r="D40" s="330"/>
      <c r="E40" s="330"/>
      <c r="F40" s="330"/>
    </row>
    <row r="41" spans="1:6" ht="18.600000000000001" customHeight="1">
      <c r="A41" s="330"/>
      <c r="B41" s="979" t="s">
        <v>687</v>
      </c>
      <c r="C41" s="979"/>
      <c r="D41" s="262">
        <v>12</v>
      </c>
      <c r="E41" s="387">
        <f>(D41/1000*10.22)/60*25</f>
        <v>5.1100000000000007E-2</v>
      </c>
      <c r="F41" s="339" t="s">
        <v>894</v>
      </c>
    </row>
    <row r="42" spans="1:6" ht="12" customHeight="1">
      <c r="A42" s="330"/>
      <c r="B42" s="982" t="s">
        <v>689</v>
      </c>
      <c r="C42" s="982"/>
      <c r="D42" s="262">
        <v>164</v>
      </c>
      <c r="E42" s="387">
        <f>ROUND(D42/2088,2)</f>
        <v>0.08</v>
      </c>
      <c r="F42" s="339" t="s">
        <v>895</v>
      </c>
    </row>
    <row r="43" spans="1:6" ht="22.15" customHeight="1">
      <c r="A43" s="330"/>
      <c r="B43" s="982" t="s">
        <v>670</v>
      </c>
      <c r="C43" s="982"/>
      <c r="D43" s="262">
        <v>0.15</v>
      </c>
      <c r="E43" s="387">
        <f>ROUND(3.95*D43,2)</f>
        <v>0.59</v>
      </c>
      <c r="F43" s="426" t="s">
        <v>744</v>
      </c>
    </row>
    <row r="44" spans="1:6" ht="31.15" customHeight="1">
      <c r="A44" s="330"/>
      <c r="B44" s="1029" t="s">
        <v>690</v>
      </c>
      <c r="C44" s="1029"/>
      <c r="D44" s="262">
        <v>45</v>
      </c>
      <c r="E44" s="387">
        <f>ROUND((4.5/15)*5,2)</f>
        <v>1.5</v>
      </c>
      <c r="F44" s="4" t="s">
        <v>693</v>
      </c>
    </row>
    <row r="45" spans="1:6">
      <c r="A45" s="330"/>
      <c r="B45" s="1027" t="s">
        <v>671</v>
      </c>
      <c r="C45" s="1027"/>
      <c r="D45" s="262"/>
      <c r="E45" s="425">
        <f>E41+E42+E44+E43</f>
        <v>2.2210999999999999</v>
      </c>
      <c r="F45" s="339" t="s">
        <v>896</v>
      </c>
    </row>
    <row r="46" spans="1:6">
      <c r="A46" s="330"/>
      <c r="B46" s="1028" t="s">
        <v>691</v>
      </c>
      <c r="C46" s="1028"/>
      <c r="D46" s="330"/>
      <c r="E46" s="217">
        <f>ROUND((E45+E17)/10,2)/2</f>
        <v>7.2450000000000001</v>
      </c>
      <c r="F46" s="356"/>
    </row>
    <row r="48" spans="1:6" ht="15.75">
      <c r="F48" s="90"/>
    </row>
    <row r="50" spans="2:5" ht="15.75">
      <c r="B50" s="295" t="s">
        <v>23</v>
      </c>
      <c r="C50" s="37"/>
      <c r="D50" s="51"/>
      <c r="E50" s="51" t="s">
        <v>51</v>
      </c>
    </row>
  </sheetData>
  <mergeCells count="40">
    <mergeCell ref="A4:G4"/>
    <mergeCell ref="B22:C22"/>
    <mergeCell ref="A20:F20"/>
    <mergeCell ref="A21:F21"/>
    <mergeCell ref="B30:D30"/>
    <mergeCell ref="B27:C27"/>
    <mergeCell ref="B28:C28"/>
    <mergeCell ref="B14:C14"/>
    <mergeCell ref="A6:F6"/>
    <mergeCell ref="A7:F7"/>
    <mergeCell ref="B23:F23"/>
    <mergeCell ref="A39:D39"/>
    <mergeCell ref="B10:C10"/>
    <mergeCell ref="B11:C11"/>
    <mergeCell ref="B12:C12"/>
    <mergeCell ref="B13:C13"/>
    <mergeCell ref="B38:D38"/>
    <mergeCell ref="B32:F32"/>
    <mergeCell ref="B37:C37"/>
    <mergeCell ref="B34:C34"/>
    <mergeCell ref="B36:C36"/>
    <mergeCell ref="B33:C33"/>
    <mergeCell ref="B35:C35"/>
    <mergeCell ref="B31:D31"/>
    <mergeCell ref="A3:F3"/>
    <mergeCell ref="B45:C45"/>
    <mergeCell ref="B46:C46"/>
    <mergeCell ref="B41:C41"/>
    <mergeCell ref="B40:C40"/>
    <mergeCell ref="B42:C42"/>
    <mergeCell ref="B44:C44"/>
    <mergeCell ref="B43:C43"/>
    <mergeCell ref="B15:C15"/>
    <mergeCell ref="B16:C16"/>
    <mergeCell ref="B17:C17"/>
    <mergeCell ref="B18:C18"/>
    <mergeCell ref="B29:C29"/>
    <mergeCell ref="B24:C24"/>
    <mergeCell ref="B25:C25"/>
    <mergeCell ref="B26:C26"/>
  </mergeCells>
  <pageMargins left="0.70866141732283472" right="0.70866141732283472" top="0.74803149606299213" bottom="0.74803149606299213" header="0.31496062992125984" footer="0.31496062992125984"/>
  <pageSetup paperSize="9" scale="84" orientation="portrait" verticalDpi="300" r:id="rId1"/>
  <rowBreaks count="1" manualBreakCount="1">
    <brk id="53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29"/>
  <sheetViews>
    <sheetView view="pageBreakPreview" topLeftCell="A4" zoomScale="85" zoomScaleSheetLayoutView="85" workbookViewId="0">
      <selection activeCell="E13" sqref="E13"/>
    </sheetView>
  </sheetViews>
  <sheetFormatPr defaultRowHeight="15"/>
  <cols>
    <col min="1" max="1" width="5.85546875" customWidth="1"/>
    <col min="2" max="2" width="15.7109375" customWidth="1"/>
    <col min="3" max="3" width="11.7109375" customWidth="1"/>
    <col min="4" max="4" width="11.140625" customWidth="1"/>
    <col min="5" max="5" width="12.28515625" customWidth="1"/>
    <col min="6" max="6" width="23.42578125" customWidth="1"/>
  </cols>
  <sheetData>
    <row r="1" spans="1:10" ht="36.6" customHeight="1">
      <c r="A1" s="1039" t="s">
        <v>510</v>
      </c>
      <c r="B1" s="1039"/>
      <c r="C1" s="1039"/>
      <c r="D1" s="1039"/>
      <c r="E1" s="1039"/>
      <c r="F1" s="1039"/>
      <c r="G1" s="464"/>
      <c r="H1" s="464"/>
      <c r="I1" s="464"/>
      <c r="J1" s="465"/>
    </row>
    <row r="2" spans="1:10" ht="19.149999999999999" customHeight="1">
      <c r="A2" s="1039" t="s">
        <v>793</v>
      </c>
      <c r="B2" s="1039"/>
      <c r="C2" s="1039"/>
      <c r="D2" s="1039"/>
      <c r="E2" s="1039"/>
      <c r="F2" s="1039"/>
      <c r="G2" s="464"/>
      <c r="H2" s="464"/>
      <c r="I2" s="464"/>
      <c r="J2" s="465"/>
    </row>
    <row r="3" spans="1:10" ht="15.75">
      <c r="A3" s="977" t="s">
        <v>776</v>
      </c>
      <c r="B3" s="977"/>
      <c r="C3" s="977"/>
      <c r="D3" s="977"/>
      <c r="E3" s="977"/>
      <c r="F3" s="977"/>
    </row>
    <row r="4" spans="1:10" ht="14.45" customHeight="1">
      <c r="A4" s="1033" t="s">
        <v>809</v>
      </c>
      <c r="B4" s="1033"/>
      <c r="C4" s="1033"/>
      <c r="D4" s="1033"/>
      <c r="E4" s="1033"/>
      <c r="F4" s="1033"/>
      <c r="G4" s="544"/>
      <c r="H4" s="544"/>
      <c r="I4" s="544"/>
    </row>
    <row r="5" spans="1:10">
      <c r="G5" s="544"/>
      <c r="H5" s="544"/>
      <c r="I5" s="544"/>
    </row>
    <row r="6" spans="1:10">
      <c r="A6" s="140" t="s">
        <v>306</v>
      </c>
      <c r="B6" s="252"/>
      <c r="C6" s="252"/>
      <c r="D6" s="252"/>
      <c r="E6" s="252"/>
      <c r="F6" s="252"/>
    </row>
    <row r="7" spans="1:10" ht="67.5">
      <c r="A7" s="328" t="s">
        <v>296</v>
      </c>
      <c r="B7" s="959" t="s">
        <v>307</v>
      </c>
      <c r="C7" s="959"/>
      <c r="D7" s="207"/>
      <c r="E7" s="2" t="s">
        <v>308</v>
      </c>
      <c r="F7" s="328" t="s">
        <v>82</v>
      </c>
      <c r="G7">
        <v>174</v>
      </c>
    </row>
    <row r="8" spans="1:10">
      <c r="A8" s="330" t="s">
        <v>296</v>
      </c>
      <c r="B8" s="951" t="s">
        <v>631</v>
      </c>
      <c r="C8" s="951"/>
      <c r="D8" s="361">
        <f>ЗВЕДЕНИЙ!V60</f>
        <v>208174.03504779999</v>
      </c>
      <c r="E8" s="361">
        <f>ROUND(D8/12/G7,2)</f>
        <v>99.7</v>
      </c>
      <c r="F8" s="340" t="s">
        <v>958</v>
      </c>
    </row>
    <row r="9" spans="1:10">
      <c r="A9" s="330" t="s">
        <v>219</v>
      </c>
      <c r="B9" s="951" t="s">
        <v>482</v>
      </c>
      <c r="C9" s="951"/>
      <c r="D9" s="229"/>
      <c r="E9" s="361">
        <f>ROUND(E8*22%,2)</f>
        <v>21.93</v>
      </c>
      <c r="F9" s="729" t="s">
        <v>959</v>
      </c>
    </row>
    <row r="10" spans="1:10">
      <c r="A10" s="330" t="s">
        <v>223</v>
      </c>
      <c r="B10" s="960" t="s">
        <v>454</v>
      </c>
      <c r="C10" s="960"/>
      <c r="D10" s="229"/>
      <c r="E10" s="369">
        <f>ROUND(E11,2)</f>
        <v>20.350000000000001</v>
      </c>
      <c r="F10" s="340"/>
    </row>
    <row r="11" spans="1:10" ht="33.75">
      <c r="A11" s="330"/>
      <c r="B11" s="961" t="s">
        <v>374</v>
      </c>
      <c r="C11" s="961"/>
      <c r="D11" s="331">
        <v>3590.72</v>
      </c>
      <c r="E11" s="361">
        <f>ROUND((0.058*204)*(D11/2088),2)</f>
        <v>20.350000000000001</v>
      </c>
      <c r="F11" s="212" t="s">
        <v>974</v>
      </c>
    </row>
    <row r="12" spans="1:10">
      <c r="A12" s="330" t="s">
        <v>235</v>
      </c>
      <c r="B12" s="960" t="s">
        <v>56</v>
      </c>
      <c r="C12" s="960"/>
      <c r="D12" s="380">
        <v>0.15</v>
      </c>
      <c r="E12" s="381">
        <f>ROUND((E8+E9)*15%,2)</f>
        <v>18.239999999999998</v>
      </c>
      <c r="F12" s="342" t="s">
        <v>1008</v>
      </c>
    </row>
    <row r="13" spans="1:10">
      <c r="A13" s="330"/>
      <c r="B13" s="960" t="s">
        <v>309</v>
      </c>
      <c r="C13" s="960"/>
      <c r="D13" s="214"/>
      <c r="E13" s="369">
        <f>ROUND(E8+E9+E10+E12,2)</f>
        <v>160.22</v>
      </c>
      <c r="F13" s="254" t="s">
        <v>1011</v>
      </c>
    </row>
    <row r="14" spans="1:10">
      <c r="A14" s="193"/>
      <c r="B14" s="960" t="s">
        <v>530</v>
      </c>
      <c r="C14" s="960"/>
      <c r="D14" s="253"/>
      <c r="E14" s="260"/>
      <c r="F14" s="346"/>
    </row>
    <row r="15" spans="1:10">
      <c r="A15" s="190"/>
      <c r="B15" s="255"/>
      <c r="C15" s="255"/>
      <c r="D15" s="190"/>
      <c r="E15" s="216"/>
      <c r="F15" s="385"/>
    </row>
    <row r="16" spans="1:10">
      <c r="A16" s="963" t="s">
        <v>647</v>
      </c>
      <c r="B16" s="963"/>
      <c r="C16" s="963"/>
      <c r="D16" s="963"/>
      <c r="E16" s="963"/>
      <c r="F16" s="963"/>
    </row>
    <row r="17" spans="1:6">
      <c r="A17" s="930" t="s">
        <v>726</v>
      </c>
      <c r="B17" s="930"/>
      <c r="C17" s="930"/>
      <c r="D17" s="930"/>
      <c r="E17" s="930"/>
      <c r="F17" s="930"/>
    </row>
    <row r="18" spans="1:6">
      <c r="A18" s="193"/>
      <c r="B18" s="1040" t="s">
        <v>727</v>
      </c>
      <c r="C18" s="1041"/>
      <c r="D18" s="330"/>
      <c r="E18" s="330">
        <f>ROUND(D18/2088,2)</f>
        <v>0</v>
      </c>
      <c r="F18" s="193"/>
    </row>
    <row r="19" spans="1:6" ht="16.149999999999999" customHeight="1">
      <c r="A19" s="193"/>
      <c r="B19" s="938" t="s">
        <v>648</v>
      </c>
      <c r="C19" s="940"/>
      <c r="D19" s="193"/>
      <c r="E19" s="256">
        <f>SUM(E18)</f>
        <v>0</v>
      </c>
      <c r="F19" s="193"/>
    </row>
    <row r="25" spans="1:6" ht="15.75">
      <c r="F25" s="90"/>
    </row>
    <row r="29" spans="1:6" ht="15.75">
      <c r="B29" s="295" t="s">
        <v>23</v>
      </c>
      <c r="C29" s="37"/>
      <c r="D29" s="51"/>
      <c r="E29" s="51" t="s">
        <v>51</v>
      </c>
    </row>
  </sheetData>
  <mergeCells count="16">
    <mergeCell ref="A1:F1"/>
    <mergeCell ref="A17:F17"/>
    <mergeCell ref="B18:C18"/>
    <mergeCell ref="B19:C19"/>
    <mergeCell ref="B14:C14"/>
    <mergeCell ref="A16:F16"/>
    <mergeCell ref="B9:C9"/>
    <mergeCell ref="B10:C10"/>
    <mergeCell ref="B11:C11"/>
    <mergeCell ref="B12:C12"/>
    <mergeCell ref="B13:C13"/>
    <mergeCell ref="A3:F3"/>
    <mergeCell ref="B7:C7"/>
    <mergeCell ref="B8:C8"/>
    <mergeCell ref="A4:F4"/>
    <mergeCell ref="A2:F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23</vt:i4>
      </vt:variant>
      <vt:variant>
        <vt:lpstr>Іменовані діапазони</vt:lpstr>
      </vt:variant>
      <vt:variant>
        <vt:i4>23</vt:i4>
      </vt:variant>
    </vt:vector>
  </HeadingPairs>
  <TitlesOfParts>
    <vt:vector size="46" baseType="lpstr">
      <vt:lpstr>адмінвитр.психолог) (2)</vt:lpstr>
      <vt:lpstr>адмінвитр.мед.сес , фізреаб</vt:lpstr>
      <vt:lpstr>вимір. тиску</vt:lpstr>
      <vt:lpstr>Психолог</vt:lpstr>
      <vt:lpstr>міос,ноги,короб,алімп, корон</vt:lpstr>
      <vt:lpstr>масаж, сераг,нуга, релакс</vt:lpstr>
      <vt:lpstr>фіз.реаб театр., зан.в залі</vt:lpstr>
      <vt:lpstr>фітотер, оксиген, аромотер</vt:lpstr>
      <vt:lpstr>теніс</vt:lpstr>
      <vt:lpstr>ЗВЕДЕНИЙ</vt:lpstr>
      <vt:lpstr>ІІІ відділення</vt:lpstr>
      <vt:lpstr>адмінвитрати сест.мед</vt:lpstr>
      <vt:lpstr>адмінвитр.фахів з фіз реаб</vt:lpstr>
      <vt:lpstr>Додаток 1</vt:lpstr>
      <vt:lpstr>Додаток  2</vt:lpstr>
      <vt:lpstr>адм.сес.мед і соц.роб. цілодоб.</vt:lpstr>
      <vt:lpstr>адмінвитрати ІІ відд перук</vt:lpstr>
      <vt:lpstr>адмінвитрати ІІ відд соц </vt:lpstr>
      <vt:lpstr>Перукар ІІ відд</vt:lpstr>
      <vt:lpstr>соц. роб ІІ віддділення</vt:lpstr>
      <vt:lpstr>ІІ відділення</vt:lpstr>
      <vt:lpstr>І відділення</vt:lpstr>
      <vt:lpstr>адмінвитрати І відд</vt:lpstr>
      <vt:lpstr>'адм.сес.мед і соц.роб. цілодоб.'!Область_друку</vt:lpstr>
      <vt:lpstr>'адмінвитр.мед.сес , фізреаб'!Область_друку</vt:lpstr>
      <vt:lpstr>'адмінвитр.психолог) (2)'!Область_друку</vt:lpstr>
      <vt:lpstr>'адмінвитр.фахів з фіз реаб'!Область_друку</vt:lpstr>
      <vt:lpstr>'адмінвитрати І відд'!Область_друку</vt:lpstr>
      <vt:lpstr>'адмінвитрати ІІ відд перук'!Область_друку</vt:lpstr>
      <vt:lpstr>'адмінвитрати ІІ відд соц '!Область_друку</vt:lpstr>
      <vt:lpstr>'адмінвитрати сест.мед'!Область_друку</vt:lpstr>
      <vt:lpstr>'вимір. тиску'!Область_друку</vt:lpstr>
      <vt:lpstr>'Додаток  2'!Область_друку</vt:lpstr>
      <vt:lpstr>'Додаток 1'!Область_друку</vt:lpstr>
      <vt:lpstr>ЗВЕДЕНИЙ!Область_друку</vt:lpstr>
      <vt:lpstr>'І відділення'!Область_друку</vt:lpstr>
      <vt:lpstr>'ІІ відділення'!Область_друку</vt:lpstr>
      <vt:lpstr>'ІІІ відділення'!Область_друку</vt:lpstr>
      <vt:lpstr>'масаж, сераг,нуга, релакс'!Область_друку</vt:lpstr>
      <vt:lpstr>'міос,ноги,короб,алімп, корон'!Область_друку</vt:lpstr>
      <vt:lpstr>'Перукар ІІ відд'!Область_друку</vt:lpstr>
      <vt:lpstr>Психолог!Область_друку</vt:lpstr>
      <vt:lpstr>'соц. роб ІІ віддділення'!Область_друку</vt:lpstr>
      <vt:lpstr>теніс!Область_друку</vt:lpstr>
      <vt:lpstr>'фіз.реаб театр., зан.в залі'!Область_друку</vt:lpstr>
      <vt:lpstr>'фітотер, оксиген, аромотер'!Область_друку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Бухгалтерія w7</dc:creator>
  <cp:lastModifiedBy>Отрощенко Сергій Володимирович</cp:lastModifiedBy>
  <cp:lastPrinted>2025-04-23T12:40:37Z</cp:lastPrinted>
  <dcterms:created xsi:type="dcterms:W3CDTF">2021-07-27T07:28:18Z</dcterms:created>
  <dcterms:modified xsi:type="dcterms:W3CDTF">2025-04-29T07:47:01Z</dcterms:modified>
</cp:coreProperties>
</file>