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_kovtun\AppData\Local\Temp\eM Client temporary files\"/>
    </mc:Choice>
  </mc:AlternateContent>
  <xr:revisionPtr revIDLastSave="0" documentId="13_ncr:1_{0252D4CF-66F7-4359-958F-901EB4678C3F}" xr6:coauthVersionLast="47" xr6:coauthVersionMax="47" xr10:uidLastSave="{00000000-0000-0000-0000-000000000000}"/>
  <bookViews>
    <workbookView xWindow="-120" yWindow="-120" windowWidth="29040" windowHeight="15720" xr2:uid="{00000000-000D-0000-FFFF-FFFF00000000}"/>
  </bookViews>
  <sheets>
    <sheet name="d2" sheetId="1" r:id="rId1"/>
  </sheets>
  <definedNames>
    <definedName name="_xlnm.Print_Titles" localSheetId="0">'d2'!$10:$13</definedName>
    <definedName name="_xlnm.Print_Area" localSheetId="0">'d2'!$B$1:$N$248</definedName>
    <definedName name="С1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4" i="1" l="1"/>
  <c r="I134" i="1"/>
  <c r="K143" i="1"/>
  <c r="K142" i="1"/>
  <c r="K141" i="1"/>
  <c r="K140" i="1"/>
  <c r="J140" i="1"/>
  <c r="I140" i="1"/>
  <c r="G140" i="1"/>
  <c r="F140" i="1"/>
  <c r="E140" i="1"/>
  <c r="O225" i="1"/>
  <c r="J228" i="1"/>
  <c r="I228" i="1"/>
  <c r="F228" i="1"/>
  <c r="O210" i="1"/>
  <c r="K211" i="1"/>
  <c r="K213" i="1"/>
  <c r="J211" i="1"/>
  <c r="I211" i="1"/>
  <c r="G211" i="1"/>
  <c r="F211" i="1"/>
  <c r="O176" i="1"/>
  <c r="I207" i="1"/>
  <c r="K183" i="1"/>
  <c r="N183" i="1"/>
  <c r="J190" i="1"/>
  <c r="I190" i="1"/>
  <c r="G190" i="1"/>
  <c r="F190" i="1"/>
  <c r="J188" i="1"/>
  <c r="I188" i="1"/>
  <c r="G188" i="1"/>
  <c r="F188" i="1"/>
  <c r="J177" i="1"/>
  <c r="I177" i="1"/>
  <c r="G177" i="1"/>
  <c r="F177" i="1"/>
  <c r="N175" i="1"/>
  <c r="K175" i="1"/>
  <c r="H167" i="1"/>
  <c r="J161" i="1"/>
  <c r="I161" i="1"/>
  <c r="G161" i="1"/>
  <c r="F161" i="1"/>
  <c r="I148" i="1"/>
  <c r="J156" i="1"/>
  <c r="I156" i="1"/>
  <c r="G156" i="1"/>
  <c r="F156" i="1"/>
  <c r="J150" i="1"/>
  <c r="I150" i="1"/>
  <c r="G150" i="1"/>
  <c r="F150" i="1"/>
  <c r="J148" i="1" l="1"/>
  <c r="G148" i="1"/>
  <c r="F148" i="1"/>
  <c r="J145" i="1"/>
  <c r="I145" i="1"/>
  <c r="G145" i="1"/>
  <c r="F145" i="1"/>
  <c r="N143" i="1"/>
  <c r="G134" i="1"/>
  <c r="F134" i="1"/>
  <c r="N133" i="1"/>
  <c r="K133" i="1"/>
  <c r="J132" i="1"/>
  <c r="I132" i="1"/>
  <c r="J131" i="1"/>
  <c r="I131" i="1"/>
  <c r="J129" i="1"/>
  <c r="I129" i="1"/>
  <c r="G130" i="1" l="1"/>
  <c r="F130" i="1"/>
  <c r="J102" i="1"/>
  <c r="I102" i="1"/>
  <c r="G102" i="1"/>
  <c r="F102" i="1"/>
  <c r="E102" i="1"/>
  <c r="N104" i="1"/>
  <c r="H104" i="1"/>
  <c r="G99" i="1"/>
  <c r="F99" i="1"/>
  <c r="G94" i="1"/>
  <c r="F94" i="1"/>
  <c r="G90" i="1"/>
  <c r="F90" i="1"/>
  <c r="G87" i="1"/>
  <c r="F87" i="1"/>
  <c r="G78" i="1"/>
  <c r="F78" i="1"/>
  <c r="E78" i="1"/>
  <c r="G72" i="1" l="1"/>
  <c r="F72" i="1"/>
  <c r="E72" i="1"/>
  <c r="G68" i="1"/>
  <c r="F68" i="1"/>
  <c r="E68" i="1"/>
  <c r="N60" i="1"/>
  <c r="J59" i="1"/>
  <c r="I59" i="1"/>
  <c r="K60" i="1"/>
  <c r="G59" i="1"/>
  <c r="F59" i="1"/>
  <c r="E59" i="1"/>
  <c r="J58" i="1"/>
  <c r="N58" i="1" s="1"/>
  <c r="I58" i="1"/>
  <c r="J42" i="1"/>
  <c r="I42" i="1"/>
  <c r="G42" i="1"/>
  <c r="F42" i="1"/>
  <c r="E42" i="1"/>
  <c r="N46" i="1"/>
  <c r="N45" i="1"/>
  <c r="K46" i="1"/>
  <c r="K45" i="1"/>
  <c r="K37" i="1"/>
  <c r="N61" i="1"/>
  <c r="H61" i="1"/>
  <c r="G55" i="1"/>
  <c r="G38" i="1"/>
  <c r="F38" i="1"/>
  <c r="E38" i="1"/>
  <c r="G35" i="1"/>
  <c r="F35" i="1"/>
  <c r="E35" i="1"/>
  <c r="G32" i="1"/>
  <c r="F32" i="1"/>
  <c r="E32" i="1"/>
  <c r="F28" i="1"/>
  <c r="E25" i="1"/>
  <c r="G25" i="1"/>
  <c r="F25" i="1"/>
  <c r="G21" i="1"/>
  <c r="F21" i="1"/>
  <c r="E21" i="1"/>
  <c r="J18" i="1"/>
  <c r="I18" i="1"/>
  <c r="K231" i="1"/>
  <c r="J207" i="1"/>
  <c r="G207" i="1"/>
  <c r="F207" i="1"/>
  <c r="J200" i="1"/>
  <c r="I200" i="1"/>
  <c r="G200" i="1"/>
  <c r="F200" i="1"/>
  <c r="G120" i="1"/>
  <c r="F120" i="1"/>
  <c r="E120" i="1"/>
  <c r="J90" i="1"/>
  <c r="I90" i="1"/>
  <c r="N93" i="1"/>
  <c r="N209" i="1"/>
  <c r="N208" i="1"/>
  <c r="N213" i="1"/>
  <c r="N216" i="1"/>
  <c r="N217" i="1"/>
  <c r="I120" i="1"/>
  <c r="J120" i="1"/>
  <c r="K127" i="1"/>
  <c r="K124" i="1"/>
  <c r="K121" i="1"/>
  <c r="N127" i="1"/>
  <c r="N124" i="1"/>
  <c r="N121" i="1"/>
  <c r="N59" i="1" l="1"/>
  <c r="K59" i="1"/>
  <c r="K58" i="1"/>
  <c r="N120" i="1"/>
  <c r="K120" i="1"/>
  <c r="J239" i="1"/>
  <c r="J236" i="1"/>
  <c r="E90" i="1"/>
  <c r="H93" i="1" l="1"/>
  <c r="K181" i="1" l="1"/>
  <c r="J153" i="1"/>
  <c r="I153" i="1"/>
  <c r="E153" i="1"/>
  <c r="G153" i="1"/>
  <c r="G75" i="1"/>
  <c r="N75" i="1" s="1"/>
  <c r="F75" i="1"/>
  <c r="E75" i="1"/>
  <c r="N76" i="1"/>
  <c r="N53" i="1"/>
  <c r="K51" i="1"/>
  <c r="K50" i="1"/>
  <c r="H56" i="1"/>
  <c r="I55" i="1"/>
  <c r="K56" i="1"/>
  <c r="H48" i="1"/>
  <c r="N202" i="1"/>
  <c r="G241" i="1"/>
  <c r="F241" i="1"/>
  <c r="E241" i="1"/>
  <c r="J241" i="1"/>
  <c r="I241" i="1"/>
  <c r="N243" i="1"/>
  <c r="K243" i="1"/>
  <c r="H230" i="1"/>
  <c r="H229" i="1"/>
  <c r="E188" i="1"/>
  <c r="N56" i="1"/>
  <c r="N57" i="1"/>
  <c r="K57" i="1"/>
  <c r="J55" i="1"/>
  <c r="F55" i="1"/>
  <c r="E55" i="1"/>
  <c r="H55" i="1" l="1"/>
  <c r="K55" i="1"/>
  <c r="N55" i="1"/>
  <c r="K63" i="1"/>
  <c r="K65" i="1"/>
  <c r="J68" i="1"/>
  <c r="I68" i="1"/>
  <c r="J52" i="1" l="1"/>
  <c r="I52" i="1"/>
  <c r="G52" i="1"/>
  <c r="F52" i="1"/>
  <c r="E52" i="1"/>
  <c r="K53" i="1"/>
  <c r="N41" i="1"/>
  <c r="K52" i="1" l="1"/>
  <c r="N52" i="1"/>
  <c r="E190" i="1" l="1"/>
  <c r="H166" i="1" l="1"/>
  <c r="N166" i="1"/>
  <c r="N97" i="1" l="1"/>
  <c r="N240" i="1" l="1"/>
  <c r="I239" i="1"/>
  <c r="G239" i="1"/>
  <c r="F239" i="1"/>
  <c r="E239" i="1"/>
  <c r="N239" i="1" l="1"/>
  <c r="K242" i="1"/>
  <c r="N242" i="1"/>
  <c r="N241" i="1" l="1"/>
  <c r="K216" i="1" l="1"/>
  <c r="K91" i="1"/>
  <c r="N54" i="1"/>
  <c r="K54" i="1"/>
  <c r="N232" i="1" l="1"/>
  <c r="H232" i="1"/>
  <c r="H189" i="1" l="1"/>
  <c r="H155" i="1"/>
  <c r="N155" i="1"/>
  <c r="H135" i="1" l="1"/>
  <c r="H85" i="1"/>
  <c r="K237" i="1" l="1"/>
  <c r="H231" i="1"/>
  <c r="H227" i="1"/>
  <c r="H221" i="1"/>
  <c r="H217" i="1"/>
  <c r="H216" i="1"/>
  <c r="H215" i="1"/>
  <c r="H213" i="1"/>
  <c r="H212" i="1"/>
  <c r="H209" i="1" l="1"/>
  <c r="H206" i="1"/>
  <c r="H203" i="1"/>
  <c r="H202" i="1"/>
  <c r="H201" i="1"/>
  <c r="H199" i="1"/>
  <c r="H197" i="1"/>
  <c r="H196" i="1"/>
  <c r="H192" i="1"/>
  <c r="H191" i="1"/>
  <c r="H178" i="1"/>
  <c r="H174" i="1" l="1"/>
  <c r="H172" i="1"/>
  <c r="H169" i="1"/>
  <c r="H168" i="1"/>
  <c r="H164" i="1"/>
  <c r="H163" i="1"/>
  <c r="H162" i="1"/>
  <c r="H159" i="1"/>
  <c r="H158" i="1"/>
  <c r="H157" i="1"/>
  <c r="H152" i="1"/>
  <c r="H151" i="1"/>
  <c r="H147" i="1"/>
  <c r="H146" i="1"/>
  <c r="H142" i="1"/>
  <c r="H141" i="1"/>
  <c r="H139" i="1"/>
  <c r="H138" i="1"/>
  <c r="H137" i="1"/>
  <c r="H136" i="1"/>
  <c r="H132" i="1" l="1"/>
  <c r="H131" i="1"/>
  <c r="H129" i="1"/>
  <c r="H105" i="1"/>
  <c r="H103" i="1"/>
  <c r="H101" i="1"/>
  <c r="H100" i="1"/>
  <c r="H98" i="1"/>
  <c r="H96" i="1"/>
  <c r="H95" i="1"/>
  <c r="H92" i="1"/>
  <c r="H91" i="1"/>
  <c r="H89" i="1"/>
  <c r="H88" i="1"/>
  <c r="H86" i="1"/>
  <c r="H84" i="1"/>
  <c r="H83" i="1"/>
  <c r="H82" i="1"/>
  <c r="H81" i="1"/>
  <c r="H80" i="1"/>
  <c r="H79" i="1"/>
  <c r="K129" i="1" l="1"/>
  <c r="H74" i="1"/>
  <c r="H73" i="1"/>
  <c r="H69" i="1"/>
  <c r="H66" i="1"/>
  <c r="H65" i="1"/>
  <c r="H64" i="1"/>
  <c r="H63" i="1"/>
  <c r="H47" i="1"/>
  <c r="H44" i="1"/>
  <c r="H43" i="1"/>
  <c r="H41" i="1"/>
  <c r="H40" i="1"/>
  <c r="H39" i="1"/>
  <c r="H37" i="1"/>
  <c r="H36" i="1"/>
  <c r="H34" i="1"/>
  <c r="E14" i="1"/>
  <c r="F14" i="1"/>
  <c r="G14" i="1"/>
  <c r="I14" i="1"/>
  <c r="J14" i="1"/>
  <c r="H33" i="1"/>
  <c r="H31" i="1"/>
  <c r="H30" i="1"/>
  <c r="H29" i="1"/>
  <c r="H27" i="1"/>
  <c r="H26" i="1"/>
  <c r="H24" i="1"/>
  <c r="H23" i="1"/>
  <c r="H22" i="1"/>
  <c r="G49" i="1"/>
  <c r="H20" i="1"/>
  <c r="H18" i="1"/>
  <c r="H17" i="1"/>
  <c r="H16" i="1"/>
  <c r="K14" i="1" l="1"/>
  <c r="H14" i="1"/>
  <c r="K15" i="1"/>
  <c r="H15" i="1" l="1"/>
  <c r="N24" i="1" l="1"/>
  <c r="K24" i="1"/>
  <c r="F236" i="1" l="1"/>
  <c r="F235" i="1" s="1"/>
  <c r="F234" i="1" s="1"/>
  <c r="F226" i="1"/>
  <c r="F223" i="1"/>
  <c r="F220" i="1"/>
  <c r="F218" i="1"/>
  <c r="F214" i="1"/>
  <c r="F195" i="1"/>
  <c r="F193" i="1"/>
  <c r="F187" i="1" s="1"/>
  <c r="F184" i="1"/>
  <c r="F179" i="1" s="1"/>
  <c r="F170" i="1"/>
  <c r="F160" i="1" s="1"/>
  <c r="F106" i="1"/>
  <c r="F77" i="1" s="1"/>
  <c r="F70" i="1"/>
  <c r="F62" i="1" s="1"/>
  <c r="F49" i="1"/>
  <c r="F19" i="1" s="1"/>
  <c r="F198" i="1" l="1"/>
  <c r="F225" i="1"/>
  <c r="F210" i="1"/>
  <c r="F144" i="1"/>
  <c r="F176" i="1" l="1"/>
  <c r="F233" i="1" s="1"/>
  <c r="F266" i="1" s="1"/>
  <c r="N237" i="1"/>
  <c r="K159" i="1"/>
  <c r="N105" i="1"/>
  <c r="F244" i="1" l="1"/>
  <c r="K18" i="1"/>
  <c r="G214" i="1" l="1"/>
  <c r="J214" i="1"/>
  <c r="I214" i="1"/>
  <c r="E214" i="1"/>
  <c r="H214" i="1" l="1"/>
  <c r="N214" i="1"/>
  <c r="N215" i="1"/>
  <c r="N186" i="1" l="1"/>
  <c r="H177" i="1"/>
  <c r="E177" i="1"/>
  <c r="N139" i="1" l="1"/>
  <c r="N129" i="1"/>
  <c r="N85" i="1"/>
  <c r="K217" i="1" l="1"/>
  <c r="J193" i="1"/>
  <c r="J187" i="1" s="1"/>
  <c r="N159" i="1"/>
  <c r="H68" i="1" l="1"/>
  <c r="N15" i="1" l="1"/>
  <c r="N16" i="1"/>
  <c r="N17" i="1"/>
  <c r="N18" i="1"/>
  <c r="K20" i="1"/>
  <c r="N20" i="1"/>
  <c r="I21" i="1"/>
  <c r="J21" i="1"/>
  <c r="K22" i="1"/>
  <c r="N22" i="1"/>
  <c r="K23" i="1"/>
  <c r="N23" i="1"/>
  <c r="I25" i="1"/>
  <c r="J25" i="1"/>
  <c r="N26" i="1"/>
  <c r="N27" i="1"/>
  <c r="E28" i="1"/>
  <c r="G28" i="1"/>
  <c r="G19" i="1" s="1"/>
  <c r="I28" i="1"/>
  <c r="J28" i="1"/>
  <c r="N29" i="1"/>
  <c r="K30" i="1"/>
  <c r="N30" i="1"/>
  <c r="K31" i="1"/>
  <c r="N31" i="1"/>
  <c r="H32" i="1"/>
  <c r="I32" i="1"/>
  <c r="J32" i="1"/>
  <c r="K33" i="1"/>
  <c r="N33" i="1"/>
  <c r="N34" i="1"/>
  <c r="H35" i="1"/>
  <c r="I35" i="1"/>
  <c r="J35" i="1"/>
  <c r="K36" i="1"/>
  <c r="N36" i="1"/>
  <c r="N37" i="1"/>
  <c r="H38" i="1"/>
  <c r="I38" i="1"/>
  <c r="J38" i="1"/>
  <c r="N39" i="1"/>
  <c r="N40" i="1"/>
  <c r="K43" i="1"/>
  <c r="N43" i="1"/>
  <c r="K44" i="1"/>
  <c r="N44" i="1"/>
  <c r="N47" i="1"/>
  <c r="N48" i="1"/>
  <c r="E49" i="1"/>
  <c r="I49" i="1"/>
  <c r="J49" i="1"/>
  <c r="N50" i="1"/>
  <c r="N51" i="1"/>
  <c r="N63" i="1"/>
  <c r="N64" i="1"/>
  <c r="N65" i="1"/>
  <c r="N66" i="1"/>
  <c r="K67" i="1"/>
  <c r="N67" i="1"/>
  <c r="N68" i="1"/>
  <c r="N69" i="1"/>
  <c r="E70" i="1"/>
  <c r="E62" i="1" s="1"/>
  <c r="G70" i="1"/>
  <c r="N71" i="1"/>
  <c r="I72" i="1"/>
  <c r="I62" i="1" s="1"/>
  <c r="J72" i="1"/>
  <c r="J62" i="1" s="1"/>
  <c r="N73" i="1"/>
  <c r="N74" i="1"/>
  <c r="I78" i="1"/>
  <c r="J78" i="1"/>
  <c r="K79" i="1"/>
  <c r="N79" i="1"/>
  <c r="N80" i="1"/>
  <c r="N81" i="1"/>
  <c r="N82" i="1"/>
  <c r="N83" i="1"/>
  <c r="N84" i="1"/>
  <c r="N86" i="1"/>
  <c r="E87" i="1"/>
  <c r="H87" i="1"/>
  <c r="I87" i="1"/>
  <c r="J87" i="1"/>
  <c r="K88" i="1"/>
  <c r="N88" i="1"/>
  <c r="K89" i="1"/>
  <c r="N89" i="1"/>
  <c r="H90" i="1"/>
  <c r="N91" i="1"/>
  <c r="K92" i="1"/>
  <c r="N92" i="1"/>
  <c r="E94" i="1"/>
  <c r="H94" i="1"/>
  <c r="I94" i="1"/>
  <c r="J94" i="1"/>
  <c r="K95" i="1"/>
  <c r="N95" i="1"/>
  <c r="K96" i="1"/>
  <c r="N96" i="1"/>
  <c r="N98" i="1"/>
  <c r="E99" i="1"/>
  <c r="N100" i="1"/>
  <c r="N101" i="1"/>
  <c r="H102" i="1"/>
  <c r="N103" i="1"/>
  <c r="E106" i="1"/>
  <c r="G106" i="1"/>
  <c r="G77" i="1" s="1"/>
  <c r="I106" i="1"/>
  <c r="J106" i="1"/>
  <c r="K107" i="1"/>
  <c r="N107" i="1"/>
  <c r="K110" i="1"/>
  <c r="N110" i="1"/>
  <c r="K114" i="1"/>
  <c r="N114" i="1"/>
  <c r="K117" i="1"/>
  <c r="N117" i="1"/>
  <c r="E130" i="1"/>
  <c r="H130" i="1"/>
  <c r="I130" i="1"/>
  <c r="J130" i="1"/>
  <c r="K131" i="1"/>
  <c r="N131" i="1"/>
  <c r="K132" i="1"/>
  <c r="N132" i="1"/>
  <c r="N135" i="1"/>
  <c r="K136" i="1"/>
  <c r="N136" i="1"/>
  <c r="K137" i="1"/>
  <c r="N137" i="1"/>
  <c r="K138" i="1"/>
  <c r="N138" i="1"/>
  <c r="E134" i="1"/>
  <c r="N141" i="1"/>
  <c r="N142" i="1"/>
  <c r="E145" i="1"/>
  <c r="N146" i="1"/>
  <c r="N147" i="1"/>
  <c r="E148" i="1"/>
  <c r="N149" i="1"/>
  <c r="E150" i="1"/>
  <c r="H150" i="1"/>
  <c r="K151" i="1"/>
  <c r="N151" i="1"/>
  <c r="N152" i="1"/>
  <c r="K154" i="1"/>
  <c r="N154" i="1"/>
  <c r="E156" i="1"/>
  <c r="H156" i="1"/>
  <c r="N157" i="1"/>
  <c r="N158" i="1"/>
  <c r="E161" i="1"/>
  <c r="E160" i="1" s="1"/>
  <c r="H161" i="1"/>
  <c r="K162" i="1"/>
  <c r="N162" i="1"/>
  <c r="N163" i="1"/>
  <c r="N164" i="1"/>
  <c r="K165" i="1"/>
  <c r="N165" i="1"/>
  <c r="N167" i="1"/>
  <c r="N169" i="1"/>
  <c r="E170" i="1"/>
  <c r="G170" i="1"/>
  <c r="G160" i="1" s="1"/>
  <c r="I170" i="1"/>
  <c r="I160" i="1" s="1"/>
  <c r="J170" i="1"/>
  <c r="J160" i="1" s="1"/>
  <c r="K171" i="1"/>
  <c r="N171" i="1"/>
  <c r="K172" i="1"/>
  <c r="N172" i="1"/>
  <c r="N173" i="1"/>
  <c r="N174" i="1"/>
  <c r="N178" i="1"/>
  <c r="K180" i="1"/>
  <c r="N180" i="1"/>
  <c r="N181" i="1"/>
  <c r="K182" i="1"/>
  <c r="N182" i="1"/>
  <c r="E184" i="1"/>
  <c r="E179" i="1" s="1"/>
  <c r="G184" i="1"/>
  <c r="G179" i="1" s="1"/>
  <c r="I184" i="1"/>
  <c r="I179" i="1" s="1"/>
  <c r="J184" i="1"/>
  <c r="J179" i="1" s="1"/>
  <c r="K185" i="1"/>
  <c r="N185" i="1"/>
  <c r="H188" i="1"/>
  <c r="N189" i="1"/>
  <c r="N191" i="1"/>
  <c r="N192" i="1"/>
  <c r="E193" i="1"/>
  <c r="G193" i="1"/>
  <c r="G187" i="1" s="1"/>
  <c r="I193" i="1"/>
  <c r="I187" i="1" s="1"/>
  <c r="K194" i="1"/>
  <c r="N194" i="1"/>
  <c r="E195" i="1"/>
  <c r="G195" i="1"/>
  <c r="H195" i="1" s="1"/>
  <c r="I195" i="1"/>
  <c r="J195" i="1"/>
  <c r="N196" i="1"/>
  <c r="N197" i="1"/>
  <c r="N199" i="1"/>
  <c r="E200" i="1"/>
  <c r="H200" i="1"/>
  <c r="N201" i="1"/>
  <c r="K203" i="1"/>
  <c r="N203" i="1"/>
  <c r="K204" i="1"/>
  <c r="N204" i="1"/>
  <c r="N205" i="1"/>
  <c r="N206" i="1"/>
  <c r="E207" i="1"/>
  <c r="E211" i="1"/>
  <c r="H211" i="1"/>
  <c r="N212" i="1"/>
  <c r="K214" i="1"/>
  <c r="E218" i="1"/>
  <c r="G218" i="1"/>
  <c r="I218" i="1"/>
  <c r="J218" i="1"/>
  <c r="K219" i="1"/>
  <c r="N219" i="1"/>
  <c r="E220" i="1"/>
  <c r="G220" i="1"/>
  <c r="H220" i="1" s="1"/>
  <c r="I220" i="1"/>
  <c r="J220" i="1"/>
  <c r="N221" i="1"/>
  <c r="N222" i="1"/>
  <c r="E223" i="1"/>
  <c r="G223" i="1"/>
  <c r="I223" i="1"/>
  <c r="J223" i="1"/>
  <c r="N224" i="1"/>
  <c r="E226" i="1"/>
  <c r="G226" i="1"/>
  <c r="I226" i="1"/>
  <c r="J226" i="1"/>
  <c r="N227" i="1"/>
  <c r="E228" i="1"/>
  <c r="G228" i="1"/>
  <c r="H228" i="1" s="1"/>
  <c r="N229" i="1"/>
  <c r="N230" i="1"/>
  <c r="N231" i="1"/>
  <c r="L233" i="1"/>
  <c r="M233" i="1"/>
  <c r="E236" i="1"/>
  <c r="E235" i="1" s="1"/>
  <c r="E234" i="1" s="1"/>
  <c r="G236" i="1"/>
  <c r="G235" i="1" s="1"/>
  <c r="I236" i="1"/>
  <c r="I235" i="1" s="1"/>
  <c r="I234" i="1" s="1"/>
  <c r="J235" i="1"/>
  <c r="N238" i="1"/>
  <c r="L244" i="1"/>
  <c r="M244" i="1"/>
  <c r="E77" i="1" l="1"/>
  <c r="J77" i="1"/>
  <c r="I77" i="1"/>
  <c r="J19" i="1"/>
  <c r="I19" i="1"/>
  <c r="E19" i="1"/>
  <c r="H28" i="1"/>
  <c r="H19" i="1"/>
  <c r="H78" i="1"/>
  <c r="H77" i="1"/>
  <c r="H72" i="1"/>
  <c r="G62" i="1"/>
  <c r="H62" i="1" s="1"/>
  <c r="N49" i="1"/>
  <c r="K49" i="1"/>
  <c r="K156" i="1"/>
  <c r="I225" i="1"/>
  <c r="E225" i="1"/>
  <c r="H21" i="1"/>
  <c r="H226" i="1"/>
  <c r="G225" i="1"/>
  <c r="H225" i="1" s="1"/>
  <c r="K90" i="1"/>
  <c r="N223" i="1"/>
  <c r="J225" i="1"/>
  <c r="N99" i="1"/>
  <c r="H99" i="1"/>
  <c r="N25" i="1"/>
  <c r="H25" i="1"/>
  <c r="N193" i="1"/>
  <c r="N190" i="1"/>
  <c r="H190" i="1"/>
  <c r="N145" i="1"/>
  <c r="H145" i="1"/>
  <c r="H134" i="1"/>
  <c r="H140" i="1"/>
  <c r="N28" i="1"/>
  <c r="K94" i="1"/>
  <c r="N161" i="1"/>
  <c r="K106" i="1"/>
  <c r="N130" i="1"/>
  <c r="N72" i="1"/>
  <c r="K218" i="1"/>
  <c r="N211" i="1"/>
  <c r="I144" i="1"/>
  <c r="N106" i="1"/>
  <c r="N70" i="1"/>
  <c r="N236" i="1"/>
  <c r="K161" i="1"/>
  <c r="K35" i="1"/>
  <c r="K21" i="1"/>
  <c r="N156" i="1"/>
  <c r="N32" i="1"/>
  <c r="K193" i="1"/>
  <c r="E210" i="1"/>
  <c r="K184" i="1"/>
  <c r="E144" i="1"/>
  <c r="K130" i="1"/>
  <c r="N94" i="1"/>
  <c r="N90" i="1"/>
  <c r="N35" i="1"/>
  <c r="J144" i="1"/>
  <c r="N226" i="1"/>
  <c r="N218" i="1"/>
  <c r="I210" i="1"/>
  <c r="E198" i="1"/>
  <c r="H187" i="1"/>
  <c r="K16" i="1"/>
  <c r="N228" i="1"/>
  <c r="N220" i="1"/>
  <c r="H207" i="1"/>
  <c r="N200" i="1"/>
  <c r="N168" i="1"/>
  <c r="H160" i="1"/>
  <c r="N153" i="1"/>
  <c r="N150" i="1"/>
  <c r="K87" i="1"/>
  <c r="G234" i="1"/>
  <c r="I198" i="1"/>
  <c r="E187" i="1"/>
  <c r="E176" i="1" s="1"/>
  <c r="N179" i="1"/>
  <c r="K150" i="1"/>
  <c r="K78" i="1"/>
  <c r="K42" i="1"/>
  <c r="K32" i="1"/>
  <c r="K207" i="1"/>
  <c r="J234" i="1"/>
  <c r="N184" i="1"/>
  <c r="N38" i="1"/>
  <c r="J210" i="1"/>
  <c r="K208" i="1"/>
  <c r="N195" i="1"/>
  <c r="K62" i="1"/>
  <c r="G210" i="1"/>
  <c r="H210" i="1" s="1"/>
  <c r="J198" i="1"/>
  <c r="N188" i="1"/>
  <c r="N177" i="1"/>
  <c r="N170" i="1"/>
  <c r="N148" i="1"/>
  <c r="G144" i="1"/>
  <c r="H144" i="1" s="1"/>
  <c r="N140" i="1"/>
  <c r="N102" i="1"/>
  <c r="N87" i="1"/>
  <c r="N78" i="1"/>
  <c r="N42" i="1"/>
  <c r="K205" i="1"/>
  <c r="K170" i="1"/>
  <c r="N21" i="1"/>
  <c r="N62" i="1" l="1"/>
  <c r="O62" i="1" s="1"/>
  <c r="K225" i="1"/>
  <c r="E233" i="1"/>
  <c r="K210" i="1"/>
  <c r="G198" i="1"/>
  <c r="H198" i="1" s="1"/>
  <c r="N207" i="1"/>
  <c r="K198" i="1"/>
  <c r="K144" i="1"/>
  <c r="K160" i="1"/>
  <c r="N234" i="1"/>
  <c r="K187" i="1"/>
  <c r="K19" i="1"/>
  <c r="N160" i="1"/>
  <c r="O160" i="1" s="1"/>
  <c r="N187" i="1"/>
  <c r="N235" i="1"/>
  <c r="I176" i="1"/>
  <c r="I233" i="1" s="1"/>
  <c r="K134" i="1"/>
  <c r="N134" i="1"/>
  <c r="O134" i="1" s="1"/>
  <c r="N225" i="1"/>
  <c r="N144" i="1"/>
  <c r="O144" i="1" s="1"/>
  <c r="N14" i="1"/>
  <c r="O14" i="1" s="1"/>
  <c r="N77" i="1"/>
  <c r="O77" i="1" s="1"/>
  <c r="K77" i="1"/>
  <c r="N19" i="1"/>
  <c r="O19" i="1" s="1"/>
  <c r="K179" i="1"/>
  <c r="J176" i="1"/>
  <c r="J233" i="1" s="1"/>
  <c r="N210" i="1"/>
  <c r="I244" i="1" l="1"/>
  <c r="I266" i="1"/>
  <c r="E244" i="1"/>
  <c r="E266" i="1"/>
  <c r="N198" i="1"/>
  <c r="G176" i="1"/>
  <c r="H176" i="1" s="1"/>
  <c r="K176" i="1"/>
  <c r="K233" i="1"/>
  <c r="J244" i="1"/>
  <c r="N176" i="1" l="1"/>
  <c r="G233" i="1"/>
  <c r="H233" i="1" s="1"/>
  <c r="K244" i="1"/>
  <c r="N233" i="1" l="1"/>
  <c r="N244" i="1" s="1"/>
  <c r="S244" i="1" s="1"/>
  <c r="G244" i="1"/>
  <c r="H244" i="1" l="1"/>
  <c r="T244" i="1"/>
  <c r="O233" i="1"/>
  <c r="O244" i="1"/>
</calcChain>
</file>

<file path=xl/sharedStrings.xml><?xml version="1.0" encoding="utf-8"?>
<sst xmlns="http://schemas.openxmlformats.org/spreadsheetml/2006/main" count="774" uniqueCount="602">
  <si>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</si>
  <si>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</si>
  <si>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</si>
  <si>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</si>
  <si>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</si>
  <si>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Загальний фонд</t>
  </si>
  <si>
    <t>Спеціальний фонд</t>
  </si>
  <si>
    <t>1</t>
  </si>
  <si>
    <t>2</t>
  </si>
  <si>
    <t>3</t>
  </si>
  <si>
    <t>4</t>
  </si>
  <si>
    <t>5</t>
  </si>
  <si>
    <t>6</t>
  </si>
  <si>
    <t>0210100</t>
  </si>
  <si>
    <t>0100</t>
  </si>
  <si>
    <t>Державне управління</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</si>
  <si>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</si>
  <si>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</si>
  <si>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</si>
  <si>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</si>
  <si>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0210160</t>
  </si>
  <si>
    <t>0160</t>
  </si>
  <si>
    <t>0210170</t>
  </si>
  <si>
    <t>0170</t>
  </si>
  <si>
    <t>0131</t>
  </si>
  <si>
    <t>Підвищення кваліфікації депутатів місцевих рад та посадових осіб місцевого самоврядування</t>
  </si>
  <si>
    <t>0210180</t>
  </si>
  <si>
    <t>0180</t>
  </si>
  <si>
    <t>0133</t>
  </si>
  <si>
    <t>Інша діяльність у сфері державного управління</t>
  </si>
  <si>
    <t>7000</t>
  </si>
  <si>
    <t>7500</t>
  </si>
  <si>
    <t>Зв'язок, телекомунікації та інформатика</t>
  </si>
  <si>
    <t>7520</t>
  </si>
  <si>
    <t>Реалізація Національної програми інформатизації</t>
  </si>
  <si>
    <t>7600</t>
  </si>
  <si>
    <t>Інші програми та заходи, пов'язані з економічною діяльністю</t>
  </si>
  <si>
    <t>7680</t>
  </si>
  <si>
    <t>0490</t>
  </si>
  <si>
    <t>Членські внески до асоціацій органів місцевого самоврядування</t>
  </si>
  <si>
    <t>7690</t>
  </si>
  <si>
    <t>7691</t>
  </si>
  <si>
    <t>7693</t>
  </si>
  <si>
    <t>Інші заходи, пов'язані з економічною діяльністю</t>
  </si>
  <si>
    <t>8000</t>
  </si>
  <si>
    <t>Інша діяльність</t>
  </si>
  <si>
    <t>8400</t>
  </si>
  <si>
    <t>8410</t>
  </si>
  <si>
    <t>0830</t>
  </si>
  <si>
    <t>9000</t>
  </si>
  <si>
    <t>Міжбюджетні трансферти</t>
  </si>
  <si>
    <t>9700</t>
  </si>
  <si>
    <t>Субвенції з місцевого бюджету іншим місцевим бюджетам на здійснення програм та заходів за рахунок коштів місцевих бюджетів</t>
  </si>
  <si>
    <t>9710</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</si>
  <si>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</si>
  <si>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9770</t>
  </si>
  <si>
    <t>Інші субвенції з місцевого бюджету</t>
  </si>
  <si>
    <t>9800</t>
  </si>
  <si>
    <t>Субвенція з місцевого бюджету державному бюджету на виконання програм соціально-економічного розвитку регіонів</t>
  </si>
  <si>
    <t>0611000</t>
  </si>
  <si>
    <t>1000</t>
  </si>
  <si>
    <t>Освіта</t>
  </si>
  <si>
    <t>0611010</t>
  </si>
  <si>
    <t>1010</t>
  </si>
  <si>
    <t>0910</t>
  </si>
  <si>
    <t>Надання дошкільної освіти</t>
  </si>
  <si>
    <t>0611020</t>
  </si>
  <si>
    <t>1020</t>
  </si>
  <si>
    <t>Надання загальної середньої освіти за рахунок коштів місцевого бюджету</t>
  </si>
  <si>
    <t>0611021</t>
  </si>
  <si>
    <t>1021</t>
  </si>
  <si>
    <t>0921</t>
  </si>
  <si>
    <t>0611022</t>
  </si>
  <si>
    <t>1022</t>
  </si>
  <si>
    <t>0922</t>
  </si>
  <si>
    <t>0611030</t>
  </si>
  <si>
    <t>1030</t>
  </si>
  <si>
    <t>Надання загальної середньої освіти за рахунок освітньої субвенції</t>
  </si>
  <si>
    <t>0611031</t>
  </si>
  <si>
    <t>1031</t>
  </si>
  <si>
    <t>0611060</t>
  </si>
  <si>
    <t>1060</t>
  </si>
  <si>
    <t>0611061</t>
  </si>
  <si>
    <t>1061</t>
  </si>
  <si>
    <t>0611070</t>
  </si>
  <si>
    <t>1070</t>
  </si>
  <si>
    <t>0960</t>
  </si>
  <si>
    <t>Надання позашкільної освіти закладами позашкільної освіти, заходи із позашкільної роботи з дітьми</t>
  </si>
  <si>
    <t>0611090</t>
  </si>
  <si>
    <t>1090</t>
  </si>
  <si>
    <t>Підготовка кадрів закладами професійної (професійно-технічної) освіти та іншими закладами освіти</t>
  </si>
  <si>
    <t>0611091</t>
  </si>
  <si>
    <t>1091</t>
  </si>
  <si>
    <t>0930</t>
  </si>
  <si>
    <t>Підготовка кадрів закладами професійної (професійно-технічної) освіти та іншими закладами освіти за рахунок коштів місцевого бюджету</t>
  </si>
  <si>
    <t>0611092</t>
  </si>
  <si>
    <t>1092</t>
  </si>
  <si>
    <t>Підготовка кадрів закладами професійної (професійно-технічної) освіти та іншими закладами освіти за рахунок освітньої субвенції</t>
  </si>
  <si>
    <t>0611140</t>
  </si>
  <si>
    <t>1140</t>
  </si>
  <si>
    <t>Інші програми, заклади та заходи у сфері освіти</t>
  </si>
  <si>
    <t>0611141</t>
  </si>
  <si>
    <t>1141</t>
  </si>
  <si>
    <t>0990</t>
  </si>
  <si>
    <t>Забезпечення діяльності інших закладів у сфері освіти</t>
  </si>
  <si>
    <t>0611142</t>
  </si>
  <si>
    <t>1142</t>
  </si>
  <si>
    <t>Інші програми та заходи у сфері освіти</t>
  </si>
  <si>
    <t>0611150</t>
  </si>
  <si>
    <t>1150</t>
  </si>
  <si>
    <t>Забезпечення діяльності інклюзивно-ресурсних центрів</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</si>
  <si>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</si>
  <si>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</si>
  <si>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</si>
  <si>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</si>
  <si>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</si>
  <si>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</si>
  <si>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0611160</t>
  </si>
  <si>
    <t>1160</t>
  </si>
  <si>
    <t>0611180</t>
  </si>
  <si>
    <t>1180</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</si>
  <si>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</si>
  <si>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</si>
  <si>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</si>
  <si>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0611200</t>
  </si>
  <si>
    <t>1200</t>
  </si>
  <si>
    <t>1210</t>
  </si>
  <si>
    <t>3000</t>
  </si>
  <si>
    <t>Соціальний захист та соціальне забезпечення</t>
  </si>
  <si>
    <t>1040</t>
  </si>
  <si>
    <t>0712000</t>
  </si>
  <si>
    <t>2000</t>
  </si>
  <si>
    <t>Охорона здоров’я</t>
  </si>
  <si>
    <t>0712010</t>
  </si>
  <si>
    <t>2010</t>
  </si>
  <si>
    <t>0731</t>
  </si>
  <si>
    <t>Багатопрофільна стаціонарна медична допомога населенню</t>
  </si>
  <si>
    <t>0712020</t>
  </si>
  <si>
    <t>2020</t>
  </si>
  <si>
    <t>0732</t>
  </si>
  <si>
    <t>Спеціалізована стаціонарна медична допомога населенню</t>
  </si>
  <si>
    <t>0712030</t>
  </si>
  <si>
    <t>2030</t>
  </si>
  <si>
    <t>0733</t>
  </si>
  <si>
    <t>Лікарсько-акушерська допомога вагітним, породіллям та новонародженим</t>
  </si>
  <si>
    <t>0712080</t>
  </si>
  <si>
    <t>2080</t>
  </si>
  <si>
    <t>0721</t>
  </si>
  <si>
    <t>Амбулаторно-поліклінічна допомога населенню, крім первинної медичної допомоги</t>
  </si>
  <si>
    <t>0712100</t>
  </si>
  <si>
    <t>2100</t>
  </si>
  <si>
    <t>0722</t>
  </si>
  <si>
    <t>Стоматологічна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</si>
  <si>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</si>
  <si>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</si>
  <si>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</si>
  <si>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</si>
  <si>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</si>
  <si>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</si>
  <si>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</si>
  <si>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0712140</t>
  </si>
  <si>
    <t>2140</t>
  </si>
  <si>
    <t>Програми і централізовані заходи у галузі охорони здоров’я</t>
  </si>
  <si>
    <t>0712144</t>
  </si>
  <si>
    <t>2144</t>
  </si>
  <si>
    <t>0763</t>
  </si>
  <si>
    <t>Централізовані заходи з лікування хворих на цукровий та нецукровий діабет</t>
  </si>
  <si>
    <t>0712150</t>
  </si>
  <si>
    <t>2150</t>
  </si>
  <si>
    <t>0712151</t>
  </si>
  <si>
    <t>2151</t>
  </si>
  <si>
    <t>0712152</t>
  </si>
  <si>
    <t>2152</t>
  </si>
  <si>
    <t>7670</t>
  </si>
  <si>
    <t>0813000</t>
  </si>
  <si>
    <t>0813030</t>
  </si>
  <si>
    <t>3030</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</si>
  <si>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</si>
  <si>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</si>
  <si>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</si>
  <si>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</si>
  <si>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</si>
  <si>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</si>
  <si>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</si>
  <si>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</si>
  <si>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0813035</t>
  </si>
  <si>
    <t>3035</t>
  </si>
  <si>
    <t>Компенсаційні виплати за пільговий проїзд окремих категорій громадян на залізничному транспорті</t>
  </si>
  <si>
    <t>0813036</t>
  </si>
  <si>
    <t>3036</t>
  </si>
  <si>
    <t>Компенсаційні виплати на пільговий проїзд електротранспортом окремим категоріям громадян</t>
  </si>
  <si>
    <t>0813050</t>
  </si>
  <si>
    <t>3050</t>
  </si>
  <si>
    <t>Пільгове медичне обслуговування осіб, які постраждали внаслідок Чорнобильської катастрофи</t>
  </si>
  <si>
    <t>3060</t>
  </si>
  <si>
    <t>Оздоровлення громадян,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</si>
  <si>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</si>
  <si>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</si>
  <si>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</si>
  <si>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</si>
  <si>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</si>
  <si>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</si>
  <si>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0813104</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</si>
  <si>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</si>
  <si>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</si>
  <si>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</si>
  <si>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</si>
  <si>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Надання реабілітаційних послуг особам з інвалідністю та дітям з інвалідністю</t>
  </si>
  <si>
    <t>0813160</t>
  </si>
  <si>
    <t>3160</t>
  </si>
  <si>
    <t>0813170</t>
  </si>
  <si>
    <t>3170</t>
  </si>
  <si>
    <t>Забезпечення реалізації окремих програм для осіб з інвалідністю</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</si>
  <si>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</si>
  <si>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</si>
  <si>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</si>
  <si>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0813180</t>
  </si>
  <si>
    <t>3180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</si>
  <si>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</si>
  <si>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0813190</t>
  </si>
  <si>
    <t>3190</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</si>
  <si>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</si>
  <si>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</si>
  <si>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</si>
  <si>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</si>
  <si>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</si>
  <si>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</si>
  <si>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</si>
  <si>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0813240</t>
  </si>
  <si>
    <t>3240</t>
  </si>
  <si>
    <t>0813241</t>
  </si>
  <si>
    <t>3241</t>
  </si>
  <si>
    <t>0813242</t>
  </si>
  <si>
    <t>3242</t>
  </si>
  <si>
    <t>Інші заходи у сфері соціального захисту і соціального забезпечення</t>
  </si>
  <si>
    <t>6000</t>
  </si>
  <si>
    <t>Житлово-комунальне господарство</t>
  </si>
  <si>
    <t>6080</t>
  </si>
  <si>
    <t>6082</t>
  </si>
  <si>
    <t>0610</t>
  </si>
  <si>
    <t>7300</t>
  </si>
  <si>
    <t>0443</t>
  </si>
  <si>
    <t>1080</t>
  </si>
  <si>
    <t>1014000</t>
  </si>
  <si>
    <t>4000</t>
  </si>
  <si>
    <t>Культура i мистецтво</t>
  </si>
  <si>
    <t>1014010</t>
  </si>
  <si>
    <t>4010</t>
  </si>
  <si>
    <t>0821</t>
  </si>
  <si>
    <t>Фінансова підтримка театрів</t>
  </si>
  <si>
    <t>1014030</t>
  </si>
  <si>
    <t>4030</t>
  </si>
  <si>
    <t>0824</t>
  </si>
  <si>
    <t>Забезпечення діяльності бібліотек</t>
  </si>
  <si>
    <t>1014040</t>
  </si>
  <si>
    <t>4040</t>
  </si>
  <si>
    <t>1014060</t>
  </si>
  <si>
    <t>4060</t>
  </si>
  <si>
    <t>0828</t>
  </si>
  <si>
    <t>1014080</t>
  </si>
  <si>
    <t>4080</t>
  </si>
  <si>
    <t>Інші заклади та заходи в галузі культури і мистецтва</t>
  </si>
  <si>
    <t>1014081</t>
  </si>
  <si>
    <t>4081</t>
  </si>
  <si>
    <t>0829</t>
  </si>
  <si>
    <t>Забезпечення діяльності інших закладів в галузі культури і мистецтва</t>
  </si>
  <si>
    <t>1014082</t>
  </si>
  <si>
    <t>4082</t>
  </si>
  <si>
    <t>Інші заходи в галузі культури і мистецтва</t>
  </si>
  <si>
    <t>3120</t>
  </si>
  <si>
    <t>Здійснення соціальної роботи з вразливими категоріями населення</t>
  </si>
  <si>
    <t>3121</t>
  </si>
  <si>
    <t>3130</t>
  </si>
  <si>
    <t>3132</t>
  </si>
  <si>
    <t>3133</t>
  </si>
  <si>
    <t>1115000</t>
  </si>
  <si>
    <t>5000</t>
  </si>
  <si>
    <t xml:space="preserve"> Фiзична культура i спорт</t>
  </si>
  <si>
    <t>1115010</t>
  </si>
  <si>
    <t>5010</t>
  </si>
  <si>
    <t>Проведення спортивної роботи в регіоні</t>
  </si>
  <si>
    <t>1115011</t>
  </si>
  <si>
    <t>5011</t>
  </si>
  <si>
    <t>0810</t>
  </si>
  <si>
    <t>Проведення навчально-тренувальних зборів і змагань з олімпійських видів спорту</t>
  </si>
  <si>
    <t>1115012</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</si>
  <si>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</si>
  <si>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</si>
  <si>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</si>
  <si>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</si>
  <si>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</si>
  <si>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</si>
  <si>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</si>
  <si>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1115030</t>
  </si>
  <si>
    <t>5030</t>
  </si>
  <si>
    <t xml:space="preserve"> Розвиток дитячо-юнацького та резервного спорту</t>
  </si>
  <si>
    <t>1115031</t>
  </si>
  <si>
    <t>5031</t>
  </si>
  <si>
    <t>1115032</t>
  </si>
  <si>
    <t>5032</t>
  </si>
  <si>
    <t>Фінансова підтримка дитячо-юнацьких спортивних шкіл фізкультурно-спортивних товариств</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</si>
  <si>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</si>
  <si>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</si>
  <si>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</si>
  <si>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</si>
  <si>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</si>
  <si>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</si>
  <si>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1115062</t>
  </si>
  <si>
    <t>5062</t>
  </si>
  <si>
    <t>Підтримка спорту вищих досягнень та організацій, які здійснюють фізкультурно-спортивну діяльність в регіоні</t>
  </si>
  <si>
    <t>1115063</t>
  </si>
  <si>
    <t>5063</t>
  </si>
  <si>
    <t>Забезпечення діяльності централізованої бухгалтерії</t>
  </si>
  <si>
    <t>6084</t>
  </si>
  <si>
    <t>Витрати, пов’язані з наданням та обслуговуванням пільгових довгострокових кредитів, наданих громадянам на будівництво/реконструкцію/ придбання житла</t>
  </si>
  <si>
    <t>1216000</t>
  </si>
  <si>
    <t>1216010</t>
  </si>
  <si>
    <t>6010</t>
  </si>
  <si>
    <t>1216011</t>
  </si>
  <si>
    <t>6011</t>
  </si>
  <si>
    <t>Експлуатація та технічне обслуговування житлового фонду</t>
  </si>
  <si>
    <t>1216015</t>
  </si>
  <si>
    <t>6015</t>
  </si>
  <si>
    <t>0620</t>
  </si>
  <si>
    <t>Забезпечення надійної та безперебійної експлуатації ліфтів</t>
  </si>
  <si>
    <t>1216017</t>
  </si>
  <si>
    <t>6017</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</si>
  <si>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</si>
  <si>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</si>
  <si>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</si>
  <si>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</si>
  <si>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</si>
  <si>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</si>
  <si>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1217000</t>
  </si>
  <si>
    <t>Економічна діяльність</t>
  </si>
  <si>
    <t>7640</t>
  </si>
  <si>
    <t>0470</t>
  </si>
  <si>
    <t>Заходи з енергозбереження</t>
  </si>
  <si>
    <t>6012</t>
  </si>
  <si>
    <t>Забезпечення діяльності з виробництва, транспортування, постачання теплової енергії</t>
  </si>
  <si>
    <t>6013</t>
  </si>
  <si>
    <t>Забезпечення діяльності водопровідно-каналізаційного господарства</t>
  </si>
  <si>
    <t>7400</t>
  </si>
  <si>
    <t>Транспорт та транспортна інфраструктура, дорожнє господарство</t>
  </si>
  <si>
    <t>7461</t>
  </si>
  <si>
    <t>0456</t>
  </si>
  <si>
    <t>Утримання та розвиток автомобільних доріг та дорожньої інфраструктури за рахунок коштів місцевого бюджету</t>
  </si>
  <si>
    <t>8100</t>
  </si>
  <si>
    <t>8110</t>
  </si>
  <si>
    <t>0320</t>
  </si>
  <si>
    <t>Заходи із запобігання та ліквідації надзвичайних ситуацій та наслідків стихійного лиха</t>
  </si>
  <si>
    <t>8120</t>
  </si>
  <si>
    <t>Заходи з організації рятування на водах</t>
  </si>
  <si>
    <t>5040</t>
  </si>
  <si>
    <t>Підтримка і розвиток спортивної інфраструктури</t>
  </si>
  <si>
    <t>5043</t>
  </si>
  <si>
    <t>7330</t>
  </si>
  <si>
    <t>7370</t>
  </si>
  <si>
    <t>Реалізація інших заходів щодо соціально-економічного розвитку територій</t>
  </si>
  <si>
    <t>7420</t>
  </si>
  <si>
    <t>Забезпечення надання послуг з перевезення пасажирів електротранспортом</t>
  </si>
  <si>
    <t>7426</t>
  </si>
  <si>
    <t>0453</t>
  </si>
  <si>
    <t>Інші заходи у сфері електротранспорту</t>
  </si>
  <si>
    <t>7610</t>
  </si>
  <si>
    <t>0411</t>
  </si>
  <si>
    <t>Сприяння розвитку малого та середнього підприємництва</t>
  </si>
  <si>
    <t>7630</t>
  </si>
  <si>
    <t>Реалізація програм і заходів в галузі зовнішньоекономічної діяльності</t>
  </si>
  <si>
    <t>8300</t>
  </si>
  <si>
    <t>Охорона навколишнього природного середовища</t>
  </si>
  <si>
    <t>0540</t>
  </si>
  <si>
    <t>7100</t>
  </si>
  <si>
    <t>Сільське, лісове, рибне господарство та мисливство</t>
  </si>
  <si>
    <t>7130</t>
  </si>
  <si>
    <t>0421</t>
  </si>
  <si>
    <t>Здійснення заходів із землеустрою</t>
  </si>
  <si>
    <t>7650</t>
  </si>
  <si>
    <t>Проведення експертної грошової оцінки земельної ділянки чи права на неї</t>
  </si>
  <si>
    <t>Обслуговування місцевого боргу</t>
  </si>
  <si>
    <t>Резервний фонд</t>
  </si>
  <si>
    <t>Резервний фонд місцевого бюджету</t>
  </si>
  <si>
    <t>9100</t>
  </si>
  <si>
    <t>Дотації з місцевого бюджету іншим бюджетам</t>
  </si>
  <si>
    <t>Реверсна дотація</t>
  </si>
  <si>
    <t>Х</t>
  </si>
  <si>
    <t>УСЬОГО</t>
  </si>
  <si>
    <t>Додаток 2</t>
  </si>
  <si>
    <t>Звіт про виконання видатків загального та спеціального фондів бюджету Хмельницької міської територіальної громади</t>
  </si>
  <si>
    <t>Найменування бюджетної програми згідно з Типовою програмною класифікацією видатків та кредитування місцевого бюджету</t>
  </si>
  <si>
    <t>% виконання</t>
  </si>
  <si>
    <t>Відсоток вручну</t>
  </si>
  <si>
    <t>Всього</t>
  </si>
  <si>
    <t>8821</t>
  </si>
  <si>
    <t>8822</t>
  </si>
  <si>
    <t>8800</t>
  </si>
  <si>
    <t>8820</t>
  </si>
  <si>
    <t xml:space="preserve"> Інша діяльність</t>
  </si>
  <si>
    <t>Кредитування</t>
  </si>
  <si>
    <t>Пільгові довгострокові кредити молодим сім'ям та одиноким молодим громадянам на будівництво/реконструкцію/придбання житла та їх повернення</t>
  </si>
  <si>
    <t xml:space="preserve"> Надання пільгових довгострокових кредитів молодим сім'ям та одиноким молодим громадянам на будівництво/реконструкцію/придбання житла</t>
  </si>
  <si>
    <t>Повернення пільгових довгострокових кредитів, наданих молодим сім'ям та одиноким молодим громадянам на будівництво/реконструкцію/придбання житла</t>
  </si>
  <si>
    <t>7460</t>
  </si>
  <si>
    <t>Утримання та розвиток автомобільних доріг та дорожньої інфраструктури</t>
  </si>
  <si>
    <t>7350</t>
  </si>
  <si>
    <t>Розроблення схем планування та забудови територій(містобудівної документації)</t>
  </si>
  <si>
    <t>7540</t>
  </si>
  <si>
    <t>Реалізація заходів, спрямованих на підвищення  доступності широкосмугового доступу до Інтернету в сільській місцевості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</si>
  <si>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</si>
  <si>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</si>
  <si>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1023</t>
  </si>
  <si>
    <t>1220</t>
  </si>
  <si>
    <t>1222</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</si>
  <si>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</si>
  <si>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</si>
  <si>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7410</t>
  </si>
  <si>
    <t>Забезпечення надання послуг з перевезення пасажирів автомобільним транспортом</t>
  </si>
  <si>
    <t>7413</t>
  </si>
  <si>
    <t>0451</t>
  </si>
  <si>
    <t>Інші заходи у сфері автотранспорту</t>
  </si>
  <si>
    <t>7620</t>
  </si>
  <si>
    <t>7622</t>
  </si>
  <si>
    <t>Розвиток готельного господарства та туризму</t>
  </si>
  <si>
    <t>Реалізація програм і заходів в галузі туризму та курортів</t>
  </si>
  <si>
    <t>1221</t>
  </si>
  <si>
    <t>3220</t>
  </si>
  <si>
    <t>Грошова компенсація за належні для отримання жилі приміщення для окремих категорій населення відповідно до законодавства</t>
  </si>
  <si>
    <t>3221</t>
  </si>
  <si>
    <t>Грошова компенсація за належні для отримання жилі приміщення для сімей осіб, визначених абзацами 5-8 пункту 1 статті 10 Закону України "Про статус ветеранів війни, гарантії їх соціального захисту", для осіб з інвалідністю I-II групи, яка настала внаслідок поранення,</t>
  </si>
  <si>
    <t xml:space="preserve">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t>
  </si>
  <si>
    <t>Донецькій та Луганській областях, забезпеченні їх здійснення,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</si>
  <si>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</si>
  <si>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t>
  </si>
  <si>
    <t>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t>
  </si>
  <si>
    <t>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19-20 частини першої статті 6 Закону</t>
  </si>
  <si>
    <t xml:space="preserve"> України "Про статус ветеранів війни, гарантії їх соціального захисту", та які потребують поліпшення житлових умов</t>
  </si>
  <si>
    <t>3223</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</si>
  <si>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t>
  </si>
  <si>
    <t>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</si>
  <si>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гарантії їх соціального захисту", та які потребують поліпшення житлових умов</t>
  </si>
  <si>
    <t>3224</t>
  </si>
  <si>
    <t>Грошова компенсація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I-II групи, які стали особами з інвалідністю внаслідок</t>
  </si>
  <si>
    <t>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t>
  </si>
  <si>
    <t>потребують поліпшення житлових умов</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</si>
  <si>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</si>
  <si>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</si>
  <si>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7360</t>
  </si>
  <si>
    <t>7363</t>
  </si>
  <si>
    <t>Виконання інвестиційних проектів</t>
  </si>
  <si>
    <t>Виконання інвестиційних проектів в рамках здійснення заходів щодо соціально-економічного розвитку окремих територій</t>
  </si>
  <si>
    <t>0460</t>
  </si>
  <si>
    <t>1033</t>
  </si>
  <si>
    <t>7</t>
  </si>
  <si>
    <t>8</t>
  </si>
  <si>
    <t>9</t>
  </si>
  <si>
    <t>10</t>
  </si>
  <si>
    <t>Надання спеціалізованої освіти мистецькими школами</t>
  </si>
  <si>
    <t>6090</t>
  </si>
  <si>
    <t>0640</t>
  </si>
  <si>
    <t>Інша діяльність у сфері житлово-комунального господарства</t>
  </si>
  <si>
    <t>7450</t>
  </si>
  <si>
    <t>Інша діяльність у сфері транспорту</t>
  </si>
  <si>
    <t>8200</t>
  </si>
  <si>
    <t>Громадський порядок та безпека</t>
  </si>
  <si>
    <t>8240</t>
  </si>
  <si>
    <t>0380</t>
  </si>
  <si>
    <t>Заходи та роботи з територіальної оборони</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</si>
  <si>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</si>
  <si>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7325</t>
  </si>
  <si>
    <t>8340</t>
  </si>
  <si>
    <t>Природоохоронні заходи за рахунок цільових фондів</t>
  </si>
  <si>
    <t>Будівництво¹ споруд, установ та закладів фізичної культури і спорту</t>
  </si>
  <si>
    <t>Будівництво¹  інших об'єктів комунальної власності</t>
  </si>
  <si>
    <t>3230</t>
  </si>
  <si>
    <t>4070</t>
  </si>
  <si>
    <t>0823</t>
  </si>
  <si>
    <t>Фінансова підтримка кінематографії</t>
  </si>
  <si>
    <r>
      <t xml:space="preserve">1 </t>
    </r>
    <r>
      <rPr>
        <sz val="20"/>
        <rFont val="Times New Roman"/>
        <family val="1"/>
        <charset val="204"/>
      </rPr>
      <t>Будівни́цтво — будівництво, реконструкція і реставрація, капітальний ремонт об'єктів виробничої, комунікаційної та соціальної інфраструктури за рахунок власних коштів місцевих бюджетів.</t>
    </r>
  </si>
  <si>
    <t>8220</t>
  </si>
  <si>
    <t>Заходи та роботи з мобілізаційної підготовки місцевого значення</t>
  </si>
  <si>
    <t>8230</t>
  </si>
  <si>
    <t>Інші заходи громадського порядку та безпеки</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</si>
  <si>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</si>
  <si>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</si>
  <si>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Видатки, пов'язані з наданням підтримки внутрішньо переміщеним та/або евакуйованим особам у зв'язку із введенням воєнного стану</t>
  </si>
  <si>
    <t>5049</t>
  </si>
  <si>
    <t>Виконання окремих заходів з реалізації соціального проекту "Активні парки - локації здорової України"</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</si>
  <si>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</si>
  <si>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9820</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</si>
  <si>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</si>
  <si>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1262</t>
  </si>
  <si>
    <t>1260</t>
  </si>
  <si>
    <t>Виконання гарантійних зобов'язань за позичальників, що отримали кредити під місцеві гарантії</t>
  </si>
  <si>
    <t>Надання коштів для забезпечення гарантійних зобов'язань за позичальників, що отримали кредити під місцеві гарантії</t>
  </si>
  <si>
    <t>8881</t>
  </si>
  <si>
    <t>8880</t>
  </si>
  <si>
    <t>Довгострокові кредити громадянам на будівництво / реконструкцію / придбання житла та їх повернення</t>
  </si>
  <si>
    <t>8840</t>
  </si>
  <si>
    <t>8842</t>
  </si>
  <si>
    <t>Повернення довгострокових кредитів, наданих громадянам на будівництво/реконструкцію/придбання житла</t>
  </si>
  <si>
    <t>6016</t>
  </si>
  <si>
    <t xml:space="preserve">	Впровадження засобів обліку витрат та регулювання споживання води та теплової енергії</t>
  </si>
  <si>
    <t>1261</t>
  </si>
  <si>
    <t>Начальник фінансового управління</t>
  </si>
  <si>
    <t>Сергій ЯМЧУК</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</si>
  <si>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</si>
  <si>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1290</t>
  </si>
  <si>
    <t>1291</t>
  </si>
  <si>
    <t>1292</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</si>
  <si>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</si>
  <si>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</si>
  <si>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8882</t>
  </si>
  <si>
    <t>Повернення коштів, наданих для виконання гарантійних зобов'язань за позичальників, що отримали кредити під місцеві гарантії</t>
  </si>
  <si>
    <t>Виконання заходів щодо облаштування безпечних умов у закладах охорони здоров'я</t>
  </si>
  <si>
    <t>2160</t>
  </si>
  <si>
    <t>2161</t>
  </si>
  <si>
    <t>Співфінансування заходів, що реалізуються за рахунок субвенції з державного бюджету місцевим бюджетам на облаштування безпечних умов у закладах охорони здоров'я</t>
  </si>
  <si>
    <t xml:space="preserve">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</si>
  <si>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t>
  </si>
  <si>
    <t>житлових умов</t>
  </si>
  <si>
    <t>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</si>
  <si>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 xml:space="preserve">до рішення  №    від        .2025 року </t>
  </si>
  <si>
    <t>за 1-й квартал 2025 року</t>
  </si>
  <si>
    <t>Затверджено на 2025 рік з урахуванням змін</t>
  </si>
  <si>
    <t>Затверджено на 1-й квартал 2025 року з урахуванням змін</t>
  </si>
  <si>
    <t>Виконано за 1-й квартал 2025 року</t>
  </si>
  <si>
    <t>Виконано за 1-й квартал 2025 року разом по загальному та спеціальному фондах</t>
  </si>
  <si>
    <t>Керівництво і управління у відповідній сфері у містах (місті Києві), селищах, селах, територіальних громадах</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</si>
  <si>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</si>
  <si>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</si>
  <si>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Надання загальної середньої освіти спеціалізованими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</si>
  <si>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</si>
  <si>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спеціалізованими закладами загальної середньої освіти за рахунок освітньої субвенції</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</si>
  <si>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</si>
  <si>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</si>
  <si>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 xml:space="preserve">	Забезпечення діяльності центрів професійного розвитку педагогічних працівників</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</si>
  <si>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</si>
  <si>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Проведення (надання) додаткових психолого-педагогічних і корекційно-розвиткових занять (послуг)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</si>
  <si>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Виконання заходів щодо модернізації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</si>
  <si>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</si>
  <si>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t>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 за рахунок субвенції з державного бюджету місцевим бюджетам</t>
  </si>
  <si>
    <t>Виконання заходів щодо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</si>
  <si>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</si>
  <si>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Інші програми, заклади та заходи у сфері охорони здоров'я</t>
  </si>
  <si>
    <t>Забезпечення діяльності інших закладів у сфері охорони здоров'я</t>
  </si>
  <si>
    <t>Інші програми та заходи у сфері охорони здоров'я</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</si>
  <si>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</si>
  <si>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Компенсаційні виплати на пільговий проїзд автомобільним транспортом окремим категоріям громадянремим категоріям громадян</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</si>
  <si>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</si>
  <si>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Розвиток та надання послуг спеціалізованими службами підтримки осіб, які постраждали від домашнього насильства та/або насильства за ознакою статі</t>
  </si>
  <si>
    <t>Реалізація державної політики у молодіжній сфері та сфері з утвердження української національної та громадянської ідентичності</t>
  </si>
  <si>
    <t>Створення умов для творчого, інтелектуального, духовного та фізичного розвитку дітей та молоді за місцем їх проживання</t>
  </si>
  <si>
    <t>Забезпечення молодіжними центрами соціального становлення та розвитку молоді та інші заходи у сфері молодіжної політики</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</si>
  <si>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</si>
  <si>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Соціальний захист ветеранів війни та праці</t>
  </si>
  <si>
    <t xml:space="preserve">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t>
  </si>
  <si>
    <t>поліпшення житлових умов</t>
  </si>
  <si>
    <t xml:space="preserve">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t>
  </si>
  <si>
    <t xml:space="preserve">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t>
  </si>
  <si>
    <t xml:space="preserve">	Інші заклади та заходи</t>
  </si>
  <si>
    <t>Надання комплексу послуг особам/сім’ям у сфері соціального захисту та соціального забезпечення іншими надавачами соціальних послуг</t>
  </si>
  <si>
    <t>Забезпечення діяльності музеїв і виставок</t>
  </si>
  <si>
    <t>Забезпечення діяльності палаців і будинків культури, клубів, центрів дозвілля та інших клубних закладів</t>
  </si>
  <si>
    <t xml:space="preserve">	Проведення навчально-тренувальних зборів і змагань та заходів зі спорту осіб з інвалідністю</t>
  </si>
  <si>
    <t>Розвиток здібностей у дітей та молоді з фізичної культури та спорту комунальними дитячо-юнацькими спортивними школами</t>
  </si>
  <si>
    <t>Утримання та ефективна експлуатація об'єктів житлово-комунального господарства</t>
  </si>
  <si>
    <t>Реалізація державних та місцевих житлових програм</t>
  </si>
  <si>
    <t>Придбання житла для окремих категорій населення відповідно до законодавства</t>
  </si>
  <si>
    <t>Регіональний розвиток та інші інвестиційні проекти</t>
  </si>
  <si>
    <t>Внески до статутного капіталу суб'єктів господарювання</t>
  </si>
  <si>
    <t>Інша економічна діяльність</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</si>
  <si>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</si>
  <si>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Захист населення і територій від надзвичайних ситуацій</t>
  </si>
  <si>
    <t>Медіа (Засоби масової інформації)</t>
  </si>
  <si>
    <t>Фінансова підтримка медіа (засобів масової інформації)</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</si>
  <si>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</si>
  <si>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</si>
  <si>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Виконання заходів, спрямованих на забезпечення якісної, сучасної та доступної загальної середньої освіти "Нова українська школа"</t>
  </si>
  <si>
    <t>1183</t>
  </si>
  <si>
    <t>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</si>
  <si>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</si>
  <si>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</si>
  <si>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1300</t>
  </si>
  <si>
    <t>Будівництво¹ освітніх установ та закладів</t>
  </si>
  <si>
    <t>1400</t>
  </si>
  <si>
    <t>Виконання заходів із задоволення потреб у забезпеченні безпечного освітнього середовища</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</si>
  <si>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</si>
  <si>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</si>
  <si>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</si>
  <si>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</si>
  <si>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3250</t>
  </si>
  <si>
    <t>Будівництво¹ установ та закладів соціальної сфери</t>
  </si>
  <si>
    <t>4084</t>
  </si>
  <si>
    <t>Проектування, реставрація та охорона пам'яток культурної спадщини</t>
  </si>
  <si>
    <t>Інша діяльність, пов'язана з експлуатацією об'єктів житлово-комунального господарства</t>
  </si>
  <si>
    <t>6091</t>
  </si>
  <si>
    <t>Будівництво¹ об'єктів житлово-комунального господарства</t>
  </si>
  <si>
    <t>7351</t>
  </si>
  <si>
    <t>Розроблення комплексних планів просторового розвитку територій територіальних громад</t>
  </si>
  <si>
    <t xml:space="preserve">Заступник міського голови                                                                                                                   </t>
  </si>
  <si>
    <t>Михайло КРИВАК</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</si>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</sst>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0"/>
      <name val="Arial Cyr"/>
      <charset val="204"/>
    </font>
    <font>
      <sz val="10"/>
      <name val="Arial Cyr"/>
      <charset val="204"/>
    </font>
    <font>
      <sz val="10"/>
      <name val="Times New Roman Cyr"/>
      <family val="1"/>
      <charset val="204"/>
    </font>
    <font>
      <sz val="36"/>
      <name val="Times New Roman"/>
      <family val="1"/>
      <charset val="204"/>
    </font>
    <font>
      <b/>
      <sz val="36"/>
      <name val="Times New Roman"/>
      <family val="1"/>
      <charset val="204"/>
    </font>
    <font>
      <sz val="10"/>
      <color rgb="FFFF0000"/>
      <name val="Arial Cyr"/>
      <charset val="204"/>
    </font>
    <font>
      <u/>
      <sz val="36"/>
      <color indexed="8"/>
      <name val="Times New Roman"/>
      <family val="1"/>
      <charset val="204"/>
    </font>
    <font>
      <sz val="36"/>
      <color indexed="8"/>
      <name val="Times New Roman"/>
      <family val="1"/>
      <charset val="204"/>
    </font>
    <font>
      <b/>
      <sz val="10"/>
      <name val="Arial Cyr"/>
      <charset val="204"/>
    </font>
    <font>
      <sz val="36"/>
      <color rgb="FFFF0000"/>
      <name val="Times New Roman"/>
      <family val="1"/>
      <charset val="204"/>
    </font>
    <font>
      <sz val="10"/>
      <name val="MS Sans Serif"/>
      <family val="2"/>
      <charset val="204"/>
    </font>
    <font>
      <b/>
      <i/>
      <sz val="36"/>
      <name val="Times New Roman"/>
      <family val="1"/>
      <charset val="204"/>
    </font>
    <font>
      <b/>
      <sz val="37"/>
      <name val="Times New Roman"/>
      <family val="1"/>
      <charset val="204"/>
    </font>
    <font>
      <b/>
      <i/>
      <sz val="10"/>
      <name val="Arial Cyr"/>
      <charset val="204"/>
    </font>
    <font>
      <sz val="37"/>
      <name val="Times New Roman"/>
      <family val="1"/>
      <charset val="204"/>
    </font>
    <font>
      <b/>
      <sz val="10"/>
      <color rgb="FFFF0000"/>
      <name val="Times New Roman"/>
      <family val="1"/>
      <charset val="204"/>
    </font>
    <font>
      <b/>
      <sz val="36"/>
      <color theme="1"/>
      <name val="Times New Roman"/>
      <family val="1"/>
      <charset val="204"/>
    </font>
    <font>
      <b/>
      <sz val="37"/>
      <color theme="1"/>
      <name val="Times New Roman"/>
      <family val="1"/>
      <charset val="204"/>
    </font>
    <font>
      <b/>
      <sz val="36"/>
      <color rgb="FFFF0000"/>
      <name val="Times New Roman"/>
      <family val="1"/>
      <charset val="204"/>
    </font>
    <font>
      <b/>
      <i/>
      <sz val="37"/>
      <name val="Times New Roman"/>
      <family val="1"/>
      <charset val="204"/>
    </font>
    <font>
      <i/>
      <sz val="10"/>
      <name val="Arial Cyr"/>
      <charset val="204"/>
    </font>
    <font>
      <i/>
      <sz val="37"/>
      <name val="Times New Roman"/>
      <family val="1"/>
      <charset val="204"/>
    </font>
    <font>
      <i/>
      <sz val="10"/>
      <color rgb="FFFF0000"/>
      <name val="Arial Cyr"/>
      <charset val="204"/>
    </font>
    <font>
      <sz val="36"/>
      <color rgb="FFFF0000"/>
      <name val="Arial Cyr"/>
      <charset val="204"/>
    </font>
    <font>
      <sz val="28"/>
      <name val="Arial Cyr"/>
      <charset val="204"/>
    </font>
    <font>
      <b/>
      <sz val="36"/>
      <color rgb="FFFF0000"/>
      <name val="Arial Cyr"/>
      <charset val="204"/>
    </font>
    <font>
      <b/>
      <sz val="37"/>
      <color rgb="FFFF0000"/>
      <name val="Times New Roman"/>
      <family val="1"/>
      <charset val="204"/>
    </font>
    <font>
      <sz val="37"/>
      <color rgb="FFFF0000"/>
      <name val="Times New Roman"/>
      <family val="1"/>
      <charset val="204"/>
    </font>
    <font>
      <b/>
      <i/>
      <sz val="37"/>
      <color rgb="FFFF0000"/>
      <name val="Times New Roman"/>
      <family val="1"/>
      <charset val="204"/>
    </font>
    <font>
      <vertAlign val="superscript"/>
      <sz val="20"/>
      <name val="Times New Roman"/>
      <family val="1"/>
      <charset val="204"/>
    </font>
    <font>
      <sz val="20"/>
      <name val="Arial Cyr"/>
      <charset val="204"/>
    </font>
    <font>
      <sz val="10"/>
      <name val="Times New Roman"/>
      <family val="1"/>
      <charset val="204"/>
    </font>
    <font>
      <b/>
      <sz val="10"/>
      <name val="Times New Roman Cyr"/>
      <family val="1"/>
      <charset val="204"/>
    </font>
    <font>
      <b/>
      <sz val="48"/>
      <name val="Times New Roman"/>
      <family val="1"/>
      <charset val="204"/>
    </font>
    <font>
      <i/>
      <sz val="37"/>
      <color rgb="FFFF0000"/>
      <name val="Times New Roman"/>
      <family val="1"/>
      <charset val="204"/>
    </font>
    <font>
      <b/>
      <sz val="36"/>
      <color rgb="FF99FF99"/>
      <name val="Times New Roman"/>
      <family val="1"/>
      <charset val="204"/>
    </font>
    <font>
      <sz val="48"/>
      <color rgb="FFFF0000"/>
      <name val="Arial Cyr"/>
      <charset val="204"/>
    </font>
    <font>
      <b/>
      <sz val="37"/>
      <color rgb="FF99FF99"/>
      <name val="Times New Roman"/>
      <family val="1"/>
      <charset val="204"/>
    </font>
    <font>
      <sz val="72"/>
      <name val="Arial Cyr"/>
      <charset val="204"/>
    </font>
    <font>
      <i/>
      <sz val="36"/>
      <color rgb="FFFF0000"/>
      <name val="Times New Roman"/>
      <family val="1"/>
      <charset val="204"/>
    </font>
    <font>
      <vertAlign val="superscript"/>
      <sz val="20"/>
      <color rgb="FFFF0000"/>
      <name val="Times New Roman"/>
      <family val="1"/>
      <charset val="204"/>
    </font>
    <font>
      <sz val="20"/>
      <color rgb="FFFF0000"/>
      <name val="Arial Cyr"/>
      <charset val="204"/>
    </font>
    <font>
      <sz val="20"/>
      <name val="Times New Roman"/>
      <family val="1"/>
      <charset val="204"/>
    </font>
    <font>
      <sz val="36"/>
      <color theme="1"/>
      <name val="Times New Roman"/>
      <family val="1"/>
      <charset val="204"/>
    </font>
    <font>
      <sz val="37"/>
      <color theme="1"/>
      <name val="Times New Roman"/>
      <family val="1"/>
      <charset val="204"/>
    </font>
    <font>
      <i/>
      <sz val="36"/>
      <name val="Times New Roman"/>
      <family val="1"/>
      <charset val="204"/>
    </font>
    <font>
      <sz val="28"/>
      <color rgb="FFFF0000"/>
      <name val="Arial Cyr"/>
      <charset val="204"/>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gradientFill degree="90">
        <stop position="0">
          <color theme="0"/>
        </stop>
        <stop position="1">
          <color rgb="FFCC99FF"/>
        </stop>
      </gradientFill>
    </fill>
    <fill>
      <gradientFill degree="270">
        <stop position="0">
          <color theme="0"/>
        </stop>
        <stop position="1">
          <color theme="7" tint="0.59999389629810485"/>
        </stop>
      </gradientFill>
    </fill>
    <fill>
      <patternFill patternType="solid">
        <fgColor theme="7" tint="0.59999389629810485"/>
        <bgColor indexed="64"/>
      </patternFill>
    </fill>
    <fill>
      <patternFill patternType="solid">
        <fgColor rgb="FF99FF99"/>
        <bgColor indexed="64"/>
      </patternFill>
    </fill>
  </fills>
  <borders count="11">
    <border>
      <left/>
      <right/>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top/>
      <bottom/>
      <diagonal/>
    </border>
    <border>
      <left style="double">
        <color theme="0" tint="-0.499984740745262"/>
      </left>
      <right style="double">
        <color theme="0" tint="-0.499984740745262"/>
      </right>
      <top/>
      <bottom/>
      <diagonal/>
    </border>
    <border>
      <left/>
      <right/>
      <top style="double">
        <color theme="0" tint="-0.499984740745262"/>
      </top>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s>
  <cellStyleXfs count="4">
    <xf numFmtId="0" fontId="0" fillId="0" borderId="0"/>
    <xf numFmtId="0" fontId="10" fillId="0" borderId="0" applyNumberFormat="0" applyFont="0" applyFill="0" applyBorder="0" applyAlignment="0" applyProtection="0">
      <alignment vertical="top"/>
    </xf>
    <xf numFmtId="0" fontId="31" fillId="0" borderId="0"/>
    <xf numFmtId="0" fontId="31" fillId="0" borderId="0"/>
  </cellStyleXfs>
  <cellXfs count="21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xf numFmtId="0" fontId="3" fillId="0" borderId="0" xfId="0" applyFont="1" applyAlignment="1">
      <alignment horizontal="right" vertical="center"/>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0" fontId="9" fillId="0" borderId="0" xfId="1" applyFont="1" applyFill="1" applyBorder="1" applyAlignment="1" applyProtection="1">
      <alignment horizontal="center" vertical="center" wrapText="1"/>
      <protection locked="0"/>
    </xf>
    <xf numFmtId="0" fontId="8" fillId="0" borderId="0" xfId="0" applyFont="1"/>
    <xf numFmtId="4" fontId="4" fillId="0" borderId="0" xfId="0" applyNumberFormat="1" applyFont="1" applyAlignment="1">
      <alignment horizontal="left" vertical="center"/>
    </xf>
    <xf numFmtId="4" fontId="11" fillId="0" borderId="0" xfId="0" applyNumberFormat="1" applyFont="1" applyAlignment="1">
      <alignment horizontal="left" vertical="center"/>
    </xf>
    <xf numFmtId="0" fontId="13" fillId="0" borderId="0" xfId="0" applyFont="1"/>
    <xf numFmtId="0" fontId="15" fillId="0" borderId="0" xfId="0" applyFont="1"/>
    <xf numFmtId="4" fontId="16" fillId="0" borderId="0" xfId="0" applyNumberFormat="1" applyFont="1" applyAlignment="1">
      <alignment horizontal="left" vertical="center"/>
    </xf>
    <xf numFmtId="4" fontId="18" fillId="0" borderId="0" xfId="0" applyNumberFormat="1" applyFont="1" applyAlignment="1">
      <alignment horizontal="left" vertical="center"/>
    </xf>
    <xf numFmtId="0" fontId="20" fillId="0" borderId="0" xfId="0" applyFont="1"/>
    <xf numFmtId="4" fontId="9" fillId="0" borderId="0" xfId="0" applyNumberFormat="1" applyFont="1" applyAlignment="1">
      <alignment horizontal="left" vertical="center"/>
    </xf>
    <xf numFmtId="0" fontId="22" fillId="0" borderId="0" xfId="0" applyFont="1"/>
    <xf numFmtId="4" fontId="23" fillId="0" borderId="0" xfId="0" applyNumberFormat="1" applyFont="1"/>
    <xf numFmtId="4" fontId="3" fillId="0" borderId="0" xfId="0" applyNumberFormat="1" applyFont="1" applyAlignment="1">
      <alignment horizontal="left" vertical="center"/>
    </xf>
    <xf numFmtId="4" fontId="24" fillId="0" borderId="0" xfId="0" applyNumberFormat="1" applyFont="1"/>
    <xf numFmtId="4" fontId="25" fillId="0" borderId="0" xfId="0" applyNumberFormat="1" applyFont="1" applyAlignment="1">
      <alignment horizontal="left" vertical="center"/>
    </xf>
    <xf numFmtId="4" fontId="12" fillId="0" borderId="0" xfId="0" applyNumberFormat="1" applyFont="1" applyAlignment="1">
      <alignment horizontal="center" vertical="center" wrapText="1"/>
    </xf>
    <xf numFmtId="4" fontId="12" fillId="0" borderId="0" xfId="0" applyNumberFormat="1" applyFont="1" applyAlignment="1">
      <alignment horizontal="left" vertical="center" wrapText="1"/>
    </xf>
    <xf numFmtId="4" fontId="27" fillId="0" borderId="0" xfId="0" applyNumberFormat="1" applyFont="1" applyAlignment="1">
      <alignment horizontal="center" vertical="center" wrapText="1"/>
    </xf>
    <xf numFmtId="4" fontId="14" fillId="0" borderId="0" xfId="0" applyNumberFormat="1" applyFont="1" applyAlignment="1">
      <alignment horizontal="left" vertical="center" wrapText="1"/>
    </xf>
    <xf numFmtId="4" fontId="14" fillId="0" borderId="0" xfId="0" applyNumberFormat="1" applyFont="1" applyAlignment="1">
      <alignment horizontal="center" vertical="center" wrapText="1"/>
    </xf>
    <xf numFmtId="4" fontId="26" fillId="0" borderId="0" xfId="0" applyNumberFormat="1" applyFont="1" applyAlignment="1">
      <alignment horizontal="left" vertical="center" wrapText="1"/>
    </xf>
    <xf numFmtId="4" fontId="28" fillId="0" borderId="0" xfId="0" applyNumberFormat="1" applyFont="1" applyAlignment="1">
      <alignment horizontal="left" vertical="center" wrapText="1"/>
    </xf>
    <xf numFmtId="4" fontId="21" fillId="0" borderId="0" xfId="0" applyNumberFormat="1" applyFont="1" applyAlignment="1">
      <alignment horizontal="left" vertical="center" wrapText="1"/>
    </xf>
    <xf numFmtId="0" fontId="5" fillId="2" borderId="0" xfId="0" applyFont="1" applyFill="1"/>
    <xf numFmtId="4" fontId="12" fillId="2" borderId="0" xfId="0" applyNumberFormat="1" applyFont="1" applyFill="1" applyAlignment="1">
      <alignment horizontal="left" vertical="center" wrapText="1"/>
    </xf>
    <xf numFmtId="0" fontId="0" fillId="2" borderId="0" xfId="0" applyFill="1"/>
    <xf numFmtId="4" fontId="19" fillId="0" borderId="0" xfId="0" applyNumberFormat="1" applyFont="1" applyAlignment="1">
      <alignment horizontal="left" vertical="center" wrapText="1"/>
    </xf>
    <xf numFmtId="4" fontId="17" fillId="0" borderId="0" xfId="0" applyNumberFormat="1" applyFont="1" applyAlignment="1">
      <alignment horizontal="center" vertical="center" wrapText="1"/>
    </xf>
    <xf numFmtId="0" fontId="0" fillId="3" borderId="0" xfId="0" applyFill="1"/>
    <xf numFmtId="0" fontId="5" fillId="3" borderId="0" xfId="0" applyFont="1" applyFill="1"/>
    <xf numFmtId="4" fontId="9" fillId="0" borderId="0" xfId="0" applyNumberFormat="1" applyFont="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0" fontId="3" fillId="0" borderId="0" xfId="2" applyFont="1"/>
    <xf numFmtId="0" fontId="1" fillId="0" borderId="0" xfId="0" applyFont="1"/>
    <xf numFmtId="0" fontId="3" fillId="0" borderId="0" xfId="0" applyFont="1" applyAlignment="1">
      <alignment horizontal="left" vertical="center"/>
    </xf>
    <xf numFmtId="0" fontId="23" fillId="0" borderId="0" xfId="0" applyFont="1"/>
    <xf numFmtId="0" fontId="32"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49" fontId="33" fillId="0" borderId="1" xfId="0" applyNumberFormat="1" applyFont="1" applyBorder="1" applyAlignment="1">
      <alignment horizontal="center" vertical="center" wrapText="1"/>
    </xf>
    <xf numFmtId="4" fontId="26" fillId="3" borderId="0" xfId="0" applyNumberFormat="1" applyFont="1" applyFill="1" applyAlignment="1">
      <alignment horizontal="left" vertical="center" wrapText="1"/>
    </xf>
    <xf numFmtId="49" fontId="33" fillId="0" borderId="0" xfId="0" applyNumberFormat="1" applyFont="1" applyAlignment="1">
      <alignment horizontal="center" vertical="center" wrapText="1"/>
    </xf>
    <xf numFmtId="4" fontId="35" fillId="0" borderId="0" xfId="0" applyNumberFormat="1" applyFont="1" applyAlignment="1">
      <alignment horizontal="left" vertical="center"/>
    </xf>
    <xf numFmtId="4" fontId="36" fillId="3" borderId="0" xfId="0" applyNumberFormat="1" applyFont="1" applyFill="1"/>
    <xf numFmtId="4" fontId="37" fillId="4" borderId="1" xfId="0" applyNumberFormat="1" applyFont="1" applyFill="1" applyBorder="1" applyAlignment="1">
      <alignment horizontal="center" vertical="center"/>
    </xf>
    <xf numFmtId="0" fontId="38" fillId="3" borderId="0" xfId="0" applyFont="1" applyFill="1"/>
    <xf numFmtId="49" fontId="18"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wrapText="1"/>
    </xf>
    <xf numFmtId="49" fontId="18" fillId="3" borderId="1" xfId="0" applyNumberFormat="1" applyFont="1" applyFill="1" applyBorder="1" applyAlignment="1">
      <alignment horizontal="center" vertical="center" wrapText="1"/>
    </xf>
    <xf numFmtId="0" fontId="40" fillId="0" borderId="0" xfId="0" applyFont="1" applyAlignment="1">
      <alignment horizontal="left" vertical="center"/>
    </xf>
    <xf numFmtId="0" fontId="41" fillId="0" borderId="0" xfId="0" applyFont="1" applyAlignment="1">
      <alignment horizontal="left" vertical="center"/>
    </xf>
    <xf numFmtId="0" fontId="4" fillId="4" borderId="1" xfId="0" applyFont="1" applyFill="1" applyBorder="1" applyAlignment="1">
      <alignment horizontal="center" vertical="center"/>
    </xf>
    <xf numFmtId="0" fontId="4" fillId="4" borderId="1" xfId="0" applyFont="1" applyFill="1" applyBorder="1" applyAlignment="1">
      <alignment horizontal="left" vertical="center"/>
    </xf>
    <xf numFmtId="4" fontId="12" fillId="4" borderId="1" xfId="0" applyNumberFormat="1" applyFont="1" applyFill="1" applyBorder="1" applyAlignment="1">
      <alignment horizontal="center" vertical="center"/>
    </xf>
    <xf numFmtId="164" fontId="12" fillId="4" borderId="1" xfId="0" applyNumberFormat="1" applyFont="1" applyFill="1" applyBorder="1" applyAlignment="1">
      <alignment horizontal="center" vertical="center"/>
    </xf>
    <xf numFmtId="49" fontId="39"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43" fillId="0" borderId="1" xfId="0" applyNumberFormat="1" applyFont="1" applyBorder="1" applyAlignment="1">
      <alignment horizontal="center" vertical="center" wrapText="1"/>
    </xf>
    <xf numFmtId="4" fontId="16" fillId="5" borderId="1" xfId="1" applyNumberFormat="1" applyFont="1" applyFill="1" applyBorder="1" applyAlignment="1" applyProtection="1">
      <alignment horizontal="center" vertical="center" wrapText="1"/>
      <protection locked="0"/>
    </xf>
    <xf numFmtId="164" fontId="16" fillId="5" borderId="1" xfId="1" applyNumberFormat="1" applyFont="1" applyFill="1" applyBorder="1" applyAlignment="1" applyProtection="1">
      <alignment horizontal="center" vertical="center" wrapText="1"/>
      <protection locked="0"/>
    </xf>
    <xf numFmtId="49" fontId="16" fillId="5" borderId="1" xfId="0" applyNumberFormat="1" applyFont="1" applyFill="1" applyBorder="1" applyAlignment="1">
      <alignment horizontal="center" vertical="center" wrapText="1"/>
    </xf>
    <xf numFmtId="0" fontId="16" fillId="5" borderId="1" xfId="1" applyFont="1" applyFill="1" applyBorder="1" applyAlignment="1" applyProtection="1">
      <alignment horizontal="center" vertical="center" wrapText="1"/>
      <protection locked="0"/>
    </xf>
    <xf numFmtId="4" fontId="16" fillId="5"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45" fillId="0" borderId="1" xfId="0" applyNumberFormat="1" applyFont="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1" applyFont="1" applyFill="1" applyBorder="1" applyAlignment="1" applyProtection="1">
      <alignment horizontal="center" vertical="center" wrapText="1"/>
      <protection locked="0"/>
    </xf>
    <xf numFmtId="4" fontId="4" fillId="5" borderId="1" xfId="1" applyNumberFormat="1" applyFont="1" applyFill="1" applyBorder="1" applyAlignment="1" applyProtection="1">
      <alignment horizontal="center" vertical="center" wrapText="1"/>
      <protection locked="0"/>
    </xf>
    <xf numFmtId="164" fontId="4" fillId="5" borderId="1" xfId="1" applyNumberFormat="1" applyFont="1" applyFill="1" applyBorder="1" applyAlignment="1" applyProtection="1">
      <alignment horizontal="center" vertical="center" wrapText="1"/>
      <protection locked="0"/>
    </xf>
    <xf numFmtId="4" fontId="4" fillId="5"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 fontId="46" fillId="3" borderId="0" xfId="0" applyNumberFormat="1" applyFont="1" applyFill="1"/>
    <xf numFmtId="164" fontId="14" fillId="6" borderId="1" xfId="1" applyNumberFormat="1" applyFont="1" applyFill="1" applyBorder="1" applyAlignment="1" applyProtection="1">
      <alignment horizontal="center" vertical="center" wrapText="1"/>
      <protection locked="0"/>
    </xf>
    <xf numFmtId="49" fontId="3" fillId="6" borderId="1" xfId="0" applyNumberFormat="1" applyFont="1" applyFill="1" applyBorder="1" applyAlignment="1">
      <alignment horizontal="center" vertical="center" wrapText="1"/>
    </xf>
    <xf numFmtId="4" fontId="14" fillId="6" borderId="1" xfId="0" applyNumberFormat="1" applyFont="1" applyFill="1" applyBorder="1" applyAlignment="1">
      <alignment horizontal="center" vertical="center" wrapText="1"/>
    </xf>
    <xf numFmtId="4" fontId="14" fillId="6" borderId="1" xfId="0" applyNumberFormat="1" applyFont="1" applyFill="1" applyBorder="1" applyAlignment="1">
      <alignment horizontal="center" vertical="center"/>
    </xf>
    <xf numFmtId="49" fontId="9" fillId="0" borderId="2" xfId="0" applyNumberFormat="1" applyFont="1" applyBorder="1" applyAlignment="1">
      <alignment horizontal="center" vertical="center" wrapText="1"/>
    </xf>
    <xf numFmtId="49" fontId="43" fillId="7" borderId="1" xfId="0" applyNumberFormat="1" applyFont="1" applyFill="1" applyBorder="1" applyAlignment="1">
      <alignment horizontal="center" vertical="center" wrapText="1"/>
    </xf>
    <xf numFmtId="4" fontId="44" fillId="7" borderId="1" xfId="1" applyNumberFormat="1" applyFont="1" applyFill="1" applyBorder="1" applyAlignment="1" applyProtection="1">
      <alignment horizontal="center" vertical="center" wrapText="1"/>
      <protection locked="0"/>
    </xf>
    <xf numFmtId="164" fontId="14" fillId="7" borderId="1" xfId="1" applyNumberFormat="1" applyFont="1" applyFill="1" applyBorder="1" applyAlignment="1" applyProtection="1">
      <alignment horizontal="center" vertical="center" wrapText="1"/>
      <protection locked="0"/>
    </xf>
    <xf numFmtId="49" fontId="3" fillId="7" borderId="1" xfId="0" applyNumberFormat="1" applyFont="1" applyFill="1" applyBorder="1" applyAlignment="1">
      <alignment horizontal="center" vertical="center" wrapText="1"/>
    </xf>
    <xf numFmtId="4" fontId="14" fillId="7" borderId="1" xfId="0" applyNumberFormat="1" applyFont="1" applyFill="1" applyBorder="1" applyAlignment="1">
      <alignment horizontal="center" vertical="center" wrapText="1"/>
    </xf>
    <xf numFmtId="4" fontId="14" fillId="7" borderId="1" xfId="0" applyNumberFormat="1" applyFont="1" applyFill="1" applyBorder="1" applyAlignment="1">
      <alignment horizontal="center" vertical="center"/>
    </xf>
    <xf numFmtId="49" fontId="45" fillId="7" borderId="1" xfId="0" applyNumberFormat="1" applyFont="1" applyFill="1" applyBorder="1" applyAlignment="1">
      <alignment horizontal="center" vertical="center" wrapText="1"/>
    </xf>
    <xf numFmtId="4" fontId="21" fillId="7" borderId="1" xfId="0" applyNumberFormat="1" applyFont="1" applyFill="1" applyBorder="1" applyAlignment="1">
      <alignment horizontal="center" vertical="center" wrapText="1"/>
    </xf>
    <xf numFmtId="164" fontId="21" fillId="7" borderId="1" xfId="1" applyNumberFormat="1" applyFont="1" applyFill="1" applyBorder="1" applyAlignment="1" applyProtection="1">
      <alignment horizontal="center" vertical="center" wrapText="1"/>
      <protection locked="0"/>
    </xf>
    <xf numFmtId="49" fontId="9"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164" fontId="27" fillId="7" borderId="1" xfId="1" applyNumberFormat="1" applyFont="1" applyFill="1" applyBorder="1" applyAlignment="1" applyProtection="1">
      <alignment horizontal="center" vertical="center" wrapText="1"/>
      <protection locked="0"/>
    </xf>
    <xf numFmtId="4" fontId="27" fillId="7" borderId="1" xfId="0" applyNumberFormat="1" applyFont="1" applyFill="1" applyBorder="1" applyAlignment="1">
      <alignment horizontal="center" vertical="center"/>
    </xf>
    <xf numFmtId="4" fontId="19" fillId="7" borderId="1" xfId="0" applyNumberFormat="1" applyFont="1" applyFill="1" applyBorder="1" applyAlignment="1">
      <alignment horizontal="center" vertical="center" wrapText="1"/>
    </xf>
    <xf numFmtId="4" fontId="12" fillId="7" borderId="1" xfId="0" applyNumberFormat="1" applyFont="1" applyFill="1" applyBorder="1" applyAlignment="1">
      <alignment horizontal="center" vertical="center" wrapText="1"/>
    </xf>
    <xf numFmtId="4" fontId="34" fillId="7" borderId="1" xfId="0" applyNumberFormat="1" applyFont="1" applyFill="1" applyBorder="1" applyAlignment="1">
      <alignment horizontal="center" vertical="center" wrapText="1"/>
    </xf>
    <xf numFmtId="4" fontId="14" fillId="7" borderId="1" xfId="1" applyNumberFormat="1" applyFont="1" applyFill="1" applyBorder="1" applyAlignment="1">
      <alignment horizontal="center" vertical="center" wrapText="1"/>
    </xf>
    <xf numFmtId="4" fontId="27" fillId="7" borderId="1" xfId="1" applyNumberFormat="1" applyFont="1" applyFill="1" applyBorder="1" applyAlignment="1" applyProtection="1">
      <alignment horizontal="center" vertical="center" wrapText="1"/>
      <protection locked="0"/>
    </xf>
    <xf numFmtId="4" fontId="27" fillId="7" borderId="1" xfId="1" applyNumberFormat="1" applyFont="1" applyFill="1" applyBorder="1" applyAlignment="1">
      <alignment horizontal="center" vertical="center" wrapText="1"/>
    </xf>
    <xf numFmtId="49" fontId="3" fillId="7" borderId="2" xfId="0" applyNumberFormat="1" applyFont="1" applyFill="1" applyBorder="1" applyAlignment="1">
      <alignment horizontal="center" wrapText="1"/>
    </xf>
    <xf numFmtId="49" fontId="3" fillId="7" borderId="0" xfId="0" applyNumberFormat="1" applyFont="1" applyFill="1" applyAlignment="1">
      <alignment horizontal="center" vertical="center" wrapText="1"/>
    </xf>
    <xf numFmtId="49" fontId="3" fillId="7" borderId="3" xfId="0" applyNumberFormat="1" applyFont="1" applyFill="1" applyBorder="1" applyAlignment="1">
      <alignment horizontal="center" vertical="top" wrapText="1"/>
    </xf>
    <xf numFmtId="4" fontId="26" fillId="7" borderId="1" xfId="1" applyNumberFormat="1" applyFont="1" applyFill="1" applyBorder="1" applyAlignment="1" applyProtection="1">
      <alignment horizontal="center" vertical="center" wrapText="1"/>
      <protection locked="0"/>
    </xf>
    <xf numFmtId="4" fontId="37" fillId="4" borderId="0" xfId="0" applyNumberFormat="1" applyFont="1" applyFill="1" applyAlignment="1">
      <alignment horizontal="center" vertical="center"/>
    </xf>
    <xf numFmtId="4" fontId="44" fillId="7" borderId="1" xfId="1" applyNumberFormat="1" applyFont="1" applyFill="1" applyBorder="1" applyAlignment="1">
      <alignment horizontal="center" vertical="center" wrapText="1"/>
    </xf>
    <xf numFmtId="4" fontId="17" fillId="7" borderId="1" xfId="1" applyNumberFormat="1" applyFont="1" applyFill="1" applyBorder="1" applyAlignment="1">
      <alignment horizontal="center" vertical="center" wrapText="1"/>
    </xf>
    <xf numFmtId="4" fontId="44" fillId="7" borderId="1" xfId="0" applyNumberFormat="1" applyFont="1" applyFill="1" applyBorder="1" applyAlignment="1">
      <alignment horizontal="center" vertical="center"/>
    </xf>
    <xf numFmtId="4" fontId="44" fillId="7" borderId="1" xfId="0" applyNumberFormat="1" applyFont="1" applyFill="1" applyBorder="1" applyAlignment="1">
      <alignment horizontal="center" vertical="center" wrapText="1"/>
    </xf>
    <xf numFmtId="4" fontId="21" fillId="7" borderId="1" xfId="0" applyNumberFormat="1" applyFont="1" applyFill="1" applyBorder="1" applyAlignment="1">
      <alignment horizontal="center" vertical="center"/>
    </xf>
    <xf numFmtId="49" fontId="39" fillId="0" borderId="2" xfId="0" applyNumberFormat="1" applyFont="1" applyBorder="1" applyAlignment="1">
      <alignment horizontal="center" vertical="center" wrapText="1"/>
    </xf>
    <xf numFmtId="49" fontId="33" fillId="0" borderId="10" xfId="0" applyNumberFormat="1" applyFont="1" applyBorder="1" applyAlignment="1">
      <alignment horizontal="center" vertical="center" wrapText="1"/>
    </xf>
    <xf numFmtId="164" fontId="14" fillId="7" borderId="2" xfId="1" applyNumberFormat="1" applyFont="1" applyFill="1" applyBorder="1" applyAlignment="1" applyProtection="1">
      <alignment horizontal="center" vertical="center" wrapText="1"/>
      <protection locked="0"/>
    </xf>
    <xf numFmtId="4" fontId="26" fillId="7" borderId="1" xfId="0" applyNumberFormat="1" applyFont="1" applyFill="1" applyBorder="1" applyAlignment="1">
      <alignment horizontal="center" vertical="center" wrapText="1"/>
    </xf>
    <xf numFmtId="49" fontId="39" fillId="7" borderId="1" xfId="0" applyNumberFormat="1" applyFont="1" applyFill="1" applyBorder="1" applyAlignment="1">
      <alignment horizontal="center" vertical="center" wrapText="1"/>
    </xf>
    <xf numFmtId="164" fontId="34" fillId="7" borderId="1" xfId="1" applyNumberFormat="1" applyFont="1" applyFill="1" applyBorder="1" applyAlignment="1" applyProtection="1">
      <alignment horizontal="center" vertical="center" wrapText="1"/>
      <protection locked="0"/>
    </xf>
    <xf numFmtId="4" fontId="14" fillId="7" borderId="1" xfId="1" applyNumberFormat="1" applyFont="1" applyFill="1" applyBorder="1" applyAlignment="1" applyProtection="1">
      <alignment horizontal="center" vertical="center" wrapText="1"/>
      <protection locked="0"/>
    </xf>
    <xf numFmtId="4" fontId="21" fillId="7" borderId="1" xfId="1" applyNumberFormat="1" applyFont="1" applyFill="1" applyBorder="1" applyAlignment="1" applyProtection="1">
      <alignment horizontal="center" vertical="center" wrapText="1"/>
      <protection locked="0"/>
    </xf>
    <xf numFmtId="49" fontId="45" fillId="7" borderId="3" xfId="0" applyNumberFormat="1" applyFont="1" applyFill="1" applyBorder="1" applyAlignment="1">
      <alignment horizontal="center" vertical="center" wrapText="1"/>
    </xf>
    <xf numFmtId="4" fontId="21" fillId="7" borderId="3" xfId="0" applyNumberFormat="1" applyFont="1" applyFill="1" applyBorder="1" applyAlignment="1">
      <alignment horizontal="center" vertical="center" wrapText="1"/>
    </xf>
    <xf numFmtId="164" fontId="21" fillId="7" borderId="3" xfId="1" applyNumberFormat="1" applyFont="1" applyFill="1" applyBorder="1" applyAlignment="1" applyProtection="1">
      <alignment horizontal="center" vertical="center" wrapText="1"/>
      <protection locked="0"/>
    </xf>
    <xf numFmtId="49" fontId="3" fillId="7" borderId="1" xfId="0" applyNumberFormat="1" applyFont="1" applyFill="1" applyBorder="1" applyAlignment="1">
      <alignment horizontal="center" vertical="center"/>
    </xf>
    <xf numFmtId="4" fontId="12" fillId="7" borderId="1" xfId="0" applyNumberFormat="1" applyFont="1" applyFill="1" applyBorder="1" applyAlignment="1">
      <alignment horizontal="center" vertical="center"/>
    </xf>
    <xf numFmtId="49" fontId="3" fillId="7" borderId="1" xfId="3" applyNumberFormat="1" applyFont="1" applyFill="1" applyBorder="1" applyAlignment="1">
      <alignment horizontal="center" vertical="center" wrapText="1"/>
    </xf>
    <xf numFmtId="49" fontId="45" fillId="7" borderId="2" xfId="0" applyNumberFormat="1" applyFont="1" applyFill="1" applyBorder="1" applyAlignment="1">
      <alignment horizontal="center" vertical="center" wrapText="1"/>
    </xf>
    <xf numFmtId="4" fontId="21" fillId="7" borderId="2" xfId="0" applyNumberFormat="1" applyFont="1" applyFill="1" applyBorder="1" applyAlignment="1">
      <alignment horizontal="center" vertical="center" wrapText="1"/>
    </xf>
    <xf numFmtId="164" fontId="21" fillId="7" borderId="2" xfId="1" applyNumberFormat="1" applyFont="1" applyFill="1" applyBorder="1" applyAlignment="1" applyProtection="1">
      <alignment horizontal="center" vertical="center" wrapText="1"/>
      <protection locked="0"/>
    </xf>
    <xf numFmtId="49" fontId="45" fillId="0" borderId="0" xfId="0" applyNumberFormat="1" applyFont="1" applyAlignment="1">
      <alignment horizontal="center" wrapText="1"/>
    </xf>
    <xf numFmtId="0" fontId="3" fillId="0" borderId="1" xfId="1" applyFont="1" applyFill="1" applyBorder="1" applyAlignment="1" applyProtection="1">
      <alignment horizontal="center" vertical="center" wrapText="1"/>
      <protection locked="0"/>
    </xf>
    <xf numFmtId="49" fontId="3" fillId="0" borderId="0" xfId="0" applyNumberFormat="1" applyFont="1" applyAlignment="1">
      <alignment horizontal="center" vertical="top" wrapText="1"/>
    </xf>
    <xf numFmtId="49" fontId="3" fillId="0" borderId="3" xfId="0" applyNumberFormat="1" applyFont="1" applyBorder="1" applyAlignment="1">
      <alignment horizontal="center" vertical="top" wrapText="1"/>
    </xf>
    <xf numFmtId="49" fontId="3" fillId="0" borderId="5"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top" wrapText="1"/>
    </xf>
    <xf numFmtId="0" fontId="3"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top" wrapText="1"/>
      <protection locked="0"/>
    </xf>
    <xf numFmtId="0" fontId="4"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45" fillId="0" borderId="1" xfId="1" applyFont="1" applyFill="1" applyBorder="1" applyAlignment="1" applyProtection="1">
      <alignment horizontal="center" vertical="center" wrapText="1"/>
      <protection locked="0"/>
    </xf>
    <xf numFmtId="0" fontId="3" fillId="0" borderId="1" xfId="3" applyFont="1" applyBorder="1" applyAlignment="1">
      <alignment horizontal="center" vertical="center" wrapText="1"/>
    </xf>
    <xf numFmtId="4" fontId="44" fillId="0" borderId="1" xfId="1" applyNumberFormat="1" applyFont="1" applyFill="1" applyBorder="1" applyAlignment="1" applyProtection="1">
      <alignment horizontal="center" vertical="center" wrapText="1"/>
      <protection locked="0"/>
    </xf>
    <xf numFmtId="164" fontId="14" fillId="0" borderId="1" xfId="1" applyNumberFormat="1" applyFont="1" applyFill="1" applyBorder="1" applyAlignment="1" applyProtection="1">
      <alignment horizontal="center" vertical="center" wrapText="1"/>
      <protection locked="0"/>
    </xf>
    <xf numFmtId="4" fontId="44" fillId="0" borderId="1" xfId="0" applyNumberFormat="1" applyFont="1" applyBorder="1" applyAlignment="1">
      <alignment horizontal="center" vertical="center" wrapText="1"/>
    </xf>
    <xf numFmtId="4" fontId="44" fillId="0" borderId="1" xfId="1" applyNumberFormat="1" applyFont="1" applyFill="1" applyBorder="1" applyAlignment="1">
      <alignment horizontal="center" vertical="center" wrapText="1"/>
    </xf>
    <xf numFmtId="164" fontId="44" fillId="0" borderId="1" xfId="1" applyNumberFormat="1" applyFont="1" applyFill="1" applyBorder="1" applyAlignment="1" applyProtection="1">
      <alignment horizontal="center" vertical="center" wrapText="1"/>
      <protection locked="0"/>
    </xf>
    <xf numFmtId="4" fontId="17" fillId="0" borderId="1" xfId="1" applyNumberFormat="1" applyFont="1" applyFill="1" applyBorder="1" applyAlignment="1">
      <alignment horizontal="center" vertical="center" wrapText="1"/>
    </xf>
    <xf numFmtId="4" fontId="44" fillId="0" borderId="1" xfId="0" applyNumberFormat="1" applyFont="1" applyBorder="1" applyAlignment="1">
      <alignment horizontal="center" vertical="center"/>
    </xf>
    <xf numFmtId="4" fontId="14" fillId="0" borderId="1" xfId="0" applyNumberFormat="1" applyFont="1" applyBorder="1" applyAlignment="1">
      <alignment horizontal="center" vertical="center" wrapText="1"/>
    </xf>
    <xf numFmtId="4" fontId="21" fillId="0" borderId="1" xfId="0" applyNumberFormat="1" applyFont="1" applyBorder="1" applyAlignment="1">
      <alignment horizontal="center" vertical="center" wrapText="1"/>
    </xf>
    <xf numFmtId="164" fontId="21" fillId="0" borderId="1" xfId="1" applyNumberFormat="1" applyFont="1" applyFill="1" applyBorder="1" applyAlignment="1" applyProtection="1">
      <alignment horizontal="center" vertical="center" wrapText="1"/>
      <protection locked="0"/>
    </xf>
    <xf numFmtId="49" fontId="3" fillId="0" borderId="2" xfId="0" applyNumberFormat="1" applyFont="1" applyBorder="1" applyAlignment="1">
      <alignment horizontal="center" vertical="center" wrapText="1"/>
    </xf>
    <xf numFmtId="4" fontId="14" fillId="0" borderId="2" xfId="0" applyNumberFormat="1" applyFont="1" applyBorder="1" applyAlignment="1">
      <alignment horizontal="center" vertical="center" wrapText="1"/>
    </xf>
    <xf numFmtId="4" fontId="14" fillId="0" borderId="1" xfId="0" applyNumberFormat="1" applyFont="1" applyBorder="1" applyAlignment="1">
      <alignment horizontal="center" vertical="center"/>
    </xf>
    <xf numFmtId="4" fontId="21"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9"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 fontId="14" fillId="0" borderId="1" xfId="1" applyNumberFormat="1" applyFont="1" applyFill="1" applyBorder="1" applyAlignment="1" applyProtection="1">
      <alignment horizontal="center" vertical="center" wrapText="1"/>
      <protection locked="0"/>
    </xf>
    <xf numFmtId="4" fontId="45" fillId="0" borderId="1" xfId="1" applyNumberFormat="1" applyFont="1" applyFill="1" applyBorder="1" applyAlignment="1" applyProtection="1">
      <alignment horizontal="center" vertical="center" wrapText="1"/>
      <protection locked="0"/>
    </xf>
    <xf numFmtId="4" fontId="21" fillId="0" borderId="1" xfId="1" applyNumberFormat="1" applyFont="1" applyFill="1" applyBorder="1" applyAlignment="1" applyProtection="1">
      <alignment horizontal="center" vertical="center" wrapText="1"/>
      <protection locked="0"/>
    </xf>
    <xf numFmtId="4" fontId="14" fillId="0" borderId="1" xfId="1" applyNumberFormat="1" applyFont="1" applyFill="1" applyBorder="1" applyAlignment="1">
      <alignment horizontal="center" vertical="center" wrapText="1"/>
    </xf>
    <xf numFmtId="4" fontId="14" fillId="0" borderId="3" xfId="0" applyNumberFormat="1" applyFont="1" applyBorder="1" applyAlignment="1">
      <alignment horizontal="center" vertical="center" wrapText="1"/>
    </xf>
    <xf numFmtId="4" fontId="27" fillId="0" borderId="1" xfId="1" applyNumberFormat="1" applyFont="1" applyFill="1" applyBorder="1" applyAlignment="1" applyProtection="1">
      <alignment horizontal="center" vertical="center" wrapText="1"/>
      <protection locked="0"/>
    </xf>
    <xf numFmtId="4" fontId="27" fillId="0" borderId="1" xfId="1" applyNumberFormat="1" applyFont="1" applyFill="1" applyBorder="1" applyAlignment="1">
      <alignment horizontal="center" vertical="center" wrapText="1"/>
    </xf>
    <xf numFmtId="164" fontId="27" fillId="0" borderId="1" xfId="1" applyNumberFormat="1" applyFont="1" applyFill="1" applyBorder="1" applyAlignment="1" applyProtection="1">
      <alignment horizontal="center" vertical="center" wrapText="1"/>
      <protection locked="0"/>
    </xf>
    <xf numFmtId="4" fontId="27"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4" fontId="19" fillId="0" borderId="1" xfId="1" applyNumberFormat="1" applyFont="1" applyFill="1" applyBorder="1" applyAlignment="1" applyProtection="1">
      <alignment horizontal="center" vertical="center" wrapText="1"/>
      <protection locked="0"/>
    </xf>
    <xf numFmtId="164" fontId="19" fillId="0" borderId="1" xfId="1" applyNumberFormat="1" applyFont="1" applyFill="1" applyBorder="1" applyAlignment="1" applyProtection="1">
      <alignment horizontal="center" vertical="center" wrapText="1"/>
      <protection locked="0"/>
    </xf>
    <xf numFmtId="4" fontId="12" fillId="0" borderId="1" xfId="1" applyNumberFormat="1" applyFont="1" applyFill="1" applyBorder="1" applyAlignment="1" applyProtection="1">
      <alignment horizontal="center" vertical="center" wrapText="1"/>
      <protection locked="0"/>
    </xf>
    <xf numFmtId="4"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0" fontId="11" fillId="0" borderId="1" xfId="0" applyFont="1" applyBorder="1" applyAlignment="1">
      <alignment horizontal="center" vertical="center" wrapText="1"/>
    </xf>
    <xf numFmtId="4" fontId="19" fillId="0" borderId="1" xfId="0" applyNumberFormat="1" applyFont="1" applyBorder="1" applyAlignment="1">
      <alignment horizontal="center" vertical="center"/>
    </xf>
    <xf numFmtId="164" fontId="12" fillId="0" borderId="1" xfId="1"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4" fontId="12" fillId="0" borderId="1" xfId="0" applyNumberFormat="1" applyFont="1" applyBorder="1" applyAlignment="1">
      <alignment horizontal="center" vertical="center"/>
    </xf>
    <xf numFmtId="49" fontId="3" fillId="0" borderId="1" xfId="3" applyNumberFormat="1" applyFont="1" applyBorder="1" applyAlignment="1">
      <alignment horizontal="center" vertical="center" wrapText="1"/>
    </xf>
    <xf numFmtId="49" fontId="45" fillId="0" borderId="1" xfId="3" applyNumberFormat="1" applyFont="1" applyBorder="1" applyAlignment="1">
      <alignment horizontal="center" vertical="center" wrapText="1"/>
    </xf>
    <xf numFmtId="0" fontId="45" fillId="0" borderId="1" xfId="3" applyFont="1" applyBorder="1" applyAlignment="1">
      <alignment horizontal="center" vertical="center" wrapText="1"/>
    </xf>
    <xf numFmtId="49" fontId="3" fillId="7" borderId="2" xfId="0" applyNumberFormat="1" applyFont="1" applyFill="1" applyBorder="1" applyAlignment="1">
      <alignment horizontal="center" vertical="center" wrapText="1"/>
    </xf>
    <xf numFmtId="49" fontId="3" fillId="7" borderId="5" xfId="0" applyNumberFormat="1" applyFont="1" applyFill="1" applyBorder="1" applyAlignment="1">
      <alignment horizontal="center" vertical="center" wrapText="1"/>
    </xf>
    <xf numFmtId="49" fontId="3" fillId="7" borderId="3" xfId="0" applyNumberFormat="1" applyFont="1" applyFill="1" applyBorder="1" applyAlignment="1">
      <alignment horizontal="center" vertical="center" wrapText="1"/>
    </xf>
    <xf numFmtId="4" fontId="14" fillId="7" borderId="2" xfId="0" applyNumberFormat="1" applyFont="1" applyFill="1" applyBorder="1" applyAlignment="1">
      <alignment horizontal="center" vertical="center" wrapText="1"/>
    </xf>
    <xf numFmtId="4" fontId="14" fillId="7" borderId="5" xfId="0" applyNumberFormat="1" applyFont="1" applyFill="1" applyBorder="1" applyAlignment="1">
      <alignment horizontal="center" vertical="center" wrapText="1"/>
    </xf>
    <xf numFmtId="4" fontId="14" fillId="7" borderId="3" xfId="0"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horizontal="center" vertical="top"/>
    </xf>
    <xf numFmtId="0" fontId="4" fillId="0" borderId="0" xfId="0" applyFont="1" applyAlignment="1">
      <alignment horizontal="center" vertical="center"/>
    </xf>
    <xf numFmtId="0" fontId="4" fillId="0" borderId="2" xfId="0" applyFont="1" applyBorder="1" applyAlignment="1">
      <alignment horizontal="center" vertical="top" wrapText="1"/>
    </xf>
    <xf numFmtId="0" fontId="4" fillId="0" borderId="5" xfId="0" applyFont="1" applyBorder="1" applyAlignment="1">
      <alignment horizontal="center" vertical="top" wrapText="1"/>
    </xf>
    <xf numFmtId="0" fontId="4" fillId="0" borderId="3" xfId="0" applyFont="1" applyBorder="1" applyAlignment="1">
      <alignment horizontal="center" vertical="top" wrapText="1"/>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6" fillId="0" borderId="0" xfId="0" applyFont="1" applyAlignment="1">
      <alignment horizontal="center"/>
    </xf>
    <xf numFmtId="0" fontId="3" fillId="0" borderId="0" xfId="0" applyFont="1"/>
    <xf numFmtId="0" fontId="29" fillId="0" borderId="6" xfId="0" applyFont="1" applyBorder="1" applyAlignment="1">
      <alignment horizontal="left" vertical="center"/>
    </xf>
    <xf numFmtId="0" fontId="9" fillId="0" borderId="0" xfId="0" applyFont="1"/>
    <xf numFmtId="164" fontId="14" fillId="7" borderId="2" xfId="1" applyNumberFormat="1" applyFont="1" applyFill="1" applyBorder="1" applyAlignment="1" applyProtection="1">
      <alignment horizontal="center" vertical="center" wrapText="1"/>
      <protection locked="0"/>
    </xf>
    <xf numFmtId="164" fontId="14" fillId="7" borderId="5" xfId="1" applyNumberFormat="1" applyFont="1" applyFill="1" applyBorder="1" applyAlignment="1" applyProtection="1">
      <alignment horizontal="center" vertical="center" wrapText="1"/>
      <protection locked="0"/>
    </xf>
    <xf numFmtId="164" fontId="14" fillId="7" borderId="3" xfId="1" applyNumberFormat="1" applyFont="1" applyFill="1" applyBorder="1" applyAlignment="1" applyProtection="1">
      <alignment horizontal="center" vertical="center" wrapText="1"/>
      <protection locked="0"/>
    </xf>
    <xf numFmtId="49" fontId="33" fillId="0" borderId="4" xfId="0" applyNumberFormat="1" applyFont="1" applyBorder="1" applyAlignment="1">
      <alignment horizontal="center" vertical="center" wrapText="1"/>
    </xf>
    <xf numFmtId="49" fontId="33" fillId="0" borderId="0" xfId="0" applyNumberFormat="1" applyFont="1" applyAlignment="1">
      <alignment horizontal="center" vertical="center" wrapText="1"/>
    </xf>
    <xf numFmtId="164" fontId="14" fillId="7" borderId="2" xfId="0" applyNumberFormat="1" applyFont="1" applyFill="1" applyBorder="1" applyAlignment="1">
      <alignment horizontal="center" vertical="center" wrapText="1"/>
    </xf>
    <xf numFmtId="164" fontId="14" fillId="7" borderId="5" xfId="0" applyNumberFormat="1" applyFont="1" applyFill="1" applyBorder="1" applyAlignment="1">
      <alignment horizontal="center" vertical="center" wrapText="1"/>
    </xf>
    <xf numFmtId="164" fontId="14" fillId="7" borderId="3" xfId="0" applyNumberFormat="1" applyFont="1" applyFill="1" applyBorder="1" applyAlignment="1">
      <alignment horizontal="center" vertical="center" wrapText="1"/>
    </xf>
  </cellXfs>
  <cellStyles count="4">
    <cellStyle name="Звичайний" xfId="0" builtinId="0"/>
    <cellStyle name="Обычный 3" xfId="3" xr:uid="{00000000-0005-0000-0000-000001000000}"/>
    <cellStyle name="Обычный_Додаток 2 до бюджету 2000 року" xfId="1" xr:uid="{00000000-0005-0000-0000-000002000000}"/>
    <cellStyle name="Обычный_Додаток №1" xfId="2" xr:uid="{00000000-0005-0000-0000-00000300000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281"/>
  <sheetViews>
    <sheetView tabSelected="1" view="pageBreakPreview" topLeftCell="B1" zoomScale="25" zoomScaleNormal="25" zoomScaleSheetLayoutView="25" zoomScalePageLayoutView="10" workbookViewId="0">
      <pane ySplit="13" topLeftCell="A131" activePane="bottomLeft" state="frozen"/>
      <selection activeCell="B1" sqref="B1"/>
      <selection pane="bottomLeft" activeCell="J136" sqref="J136"/>
    </sheetView>
  </sheetViews>
  <sheetFormatPr defaultColWidth="9.140625" defaultRowHeight="12.75" x14ac:dyDescent="0.2"/>
  <cols>
    <col min="1" max="1" width="25.140625" style="1" hidden="1" customWidth="1"/>
    <col min="2" max="2" width="52.5703125" style="1" customWidth="1"/>
    <col min="3" max="3" width="59.28515625" style="1" customWidth="1"/>
    <col min="4" max="4" width="167.42578125" style="1" customWidth="1"/>
    <col min="5" max="5" width="82.42578125" style="1" customWidth="1"/>
    <col min="6" max="6" width="64.85546875" style="1" customWidth="1"/>
    <col min="7" max="7" width="63.28515625" style="1" customWidth="1"/>
    <col min="8" max="8" width="41.85546875" style="1" customWidth="1"/>
    <col min="9" max="9" width="52.5703125" style="47" customWidth="1"/>
    <col min="10" max="10" width="56.140625" style="1" customWidth="1"/>
    <col min="11" max="11" width="44.140625" style="1" customWidth="1"/>
    <col min="12" max="12" width="45.28515625" style="1" hidden="1" customWidth="1"/>
    <col min="13" max="13" width="56.140625" style="1" hidden="1" customWidth="1"/>
    <col min="14" max="14" width="86.28515625" style="47" customWidth="1"/>
    <col min="15" max="15" width="59.42578125" style="5" hidden="1" customWidth="1"/>
    <col min="16" max="16" width="44.5703125" style="5" hidden="1" customWidth="1"/>
    <col min="17" max="17" width="52.5703125" hidden="1" customWidth="1"/>
    <col min="18" max="18" width="74.28515625" customWidth="1"/>
    <col min="19" max="19" width="31.42578125" customWidth="1"/>
    <col min="20" max="20" width="23.42578125" customWidth="1"/>
    <col min="21" max="21" width="34.28515625" customWidth="1"/>
    <col min="22" max="22" width="27.42578125" customWidth="1"/>
    <col min="23" max="23" width="8.5703125" customWidth="1"/>
    <col min="27" max="27" width="145.5703125" customWidth="1"/>
  </cols>
  <sheetData>
    <row r="2" spans="1:16" ht="45.75" x14ac:dyDescent="0.2">
      <c r="D2" s="2"/>
      <c r="E2" s="4"/>
      <c r="F2" s="3"/>
      <c r="G2" s="3"/>
      <c r="H2" s="3"/>
      <c r="I2" s="3"/>
      <c r="J2" s="4"/>
      <c r="K2" s="196" t="s">
        <v>387</v>
      </c>
      <c r="L2" s="196"/>
      <c r="M2" s="196"/>
      <c r="N2" s="196"/>
      <c r="O2" s="48"/>
    </row>
    <row r="3" spans="1:16" ht="45.75" x14ac:dyDescent="0.2">
      <c r="A3" s="2"/>
      <c r="B3" s="2"/>
      <c r="C3" s="2"/>
      <c r="D3" s="2"/>
      <c r="E3" s="4"/>
      <c r="F3" s="3"/>
      <c r="G3" s="3"/>
      <c r="H3" s="3"/>
      <c r="I3" s="3"/>
      <c r="J3" s="197" t="s">
        <v>521</v>
      </c>
      <c r="K3" s="197"/>
      <c r="L3" s="197"/>
      <c r="M3" s="197"/>
      <c r="N3" s="197"/>
      <c r="O3" s="49"/>
    </row>
    <row r="4" spans="1:16" ht="45" x14ac:dyDescent="0.2">
      <c r="A4" s="199" t="s">
        <v>388</v>
      </c>
      <c r="B4" s="199"/>
      <c r="C4" s="199"/>
      <c r="D4" s="199"/>
      <c r="E4" s="199"/>
      <c r="F4" s="199"/>
      <c r="G4" s="199"/>
      <c r="H4" s="199"/>
      <c r="I4" s="199"/>
      <c r="J4" s="199"/>
      <c r="K4" s="199"/>
      <c r="L4" s="199"/>
      <c r="M4" s="199"/>
      <c r="N4" s="199"/>
    </row>
    <row r="5" spans="1:16" ht="45" x14ac:dyDescent="0.2">
      <c r="A5" s="199" t="s">
        <v>522</v>
      </c>
      <c r="B5" s="199"/>
      <c r="C5" s="199"/>
      <c r="D5" s="199"/>
      <c r="E5" s="199"/>
      <c r="F5" s="199"/>
      <c r="G5" s="199"/>
      <c r="H5" s="199"/>
      <c r="I5" s="199"/>
      <c r="J5" s="199"/>
      <c r="K5" s="199"/>
      <c r="L5" s="199"/>
      <c r="M5" s="199"/>
      <c r="N5" s="199"/>
    </row>
    <row r="6" spans="1:16" ht="45" x14ac:dyDescent="0.2">
      <c r="A6" s="3"/>
      <c r="B6" s="3"/>
      <c r="C6" s="3"/>
      <c r="D6" s="3"/>
      <c r="E6" s="3"/>
      <c r="F6" s="3"/>
      <c r="G6" s="3"/>
      <c r="H6" s="3"/>
      <c r="I6" s="3"/>
      <c r="J6" s="3"/>
      <c r="K6" s="3"/>
      <c r="L6" s="3"/>
      <c r="M6" s="3"/>
      <c r="N6" s="3"/>
    </row>
    <row r="7" spans="1:16" ht="61.5" customHeight="1" x14ac:dyDescent="0.65">
      <c r="A7" s="206">
        <v>2256400000</v>
      </c>
      <c r="B7" s="206"/>
      <c r="C7" s="3"/>
      <c r="D7" s="3"/>
      <c r="E7" s="3"/>
      <c r="F7" s="3"/>
      <c r="G7" s="3"/>
      <c r="H7" s="3"/>
      <c r="I7" s="3"/>
      <c r="J7" s="3"/>
      <c r="K7" s="3"/>
      <c r="L7" s="3"/>
      <c r="M7" s="3"/>
      <c r="N7" s="3"/>
    </row>
    <row r="8" spans="1:16" ht="45.75" x14ac:dyDescent="0.2">
      <c r="A8" s="198" t="s">
        <v>0</v>
      </c>
      <c r="B8" s="198"/>
      <c r="C8" s="3"/>
      <c r="D8" s="3"/>
      <c r="E8" s="3"/>
      <c r="F8" s="3"/>
      <c r="G8" s="3"/>
      <c r="H8" s="3"/>
      <c r="I8" s="3"/>
      <c r="J8" s="3"/>
      <c r="K8" s="3"/>
      <c r="L8" s="3"/>
      <c r="M8" s="3"/>
      <c r="N8" s="3"/>
    </row>
    <row r="9" spans="1:16" ht="53.45" customHeight="1" thickBot="1" x14ac:dyDescent="0.25">
      <c r="A9" s="3"/>
      <c r="B9" s="3"/>
      <c r="C9" s="3"/>
      <c r="D9" s="3"/>
      <c r="E9" s="4"/>
      <c r="F9" s="3"/>
      <c r="G9" s="3"/>
      <c r="H9" s="3"/>
      <c r="I9" s="3"/>
      <c r="J9" s="3"/>
      <c r="K9" s="3"/>
      <c r="L9" s="3"/>
      <c r="M9" s="3"/>
      <c r="N9" s="6" t="s">
        <v>1</v>
      </c>
    </row>
    <row r="10" spans="1:16" ht="62.45" customHeight="1" thickTop="1" thickBot="1" x14ac:dyDescent="0.25">
      <c r="A10" s="200" t="s">
        <v>2</v>
      </c>
      <c r="B10" s="200" t="s">
        <v>3</v>
      </c>
      <c r="C10" s="200" t="s">
        <v>4</v>
      </c>
      <c r="D10" s="200" t="s">
        <v>389</v>
      </c>
      <c r="E10" s="203" t="s">
        <v>5</v>
      </c>
      <c r="F10" s="204"/>
      <c r="G10" s="204"/>
      <c r="H10" s="205"/>
      <c r="I10" s="203" t="s">
        <v>6</v>
      </c>
      <c r="J10" s="204"/>
      <c r="K10" s="204"/>
      <c r="L10" s="204"/>
      <c r="M10" s="205"/>
      <c r="N10" s="200" t="s">
        <v>526</v>
      </c>
    </row>
    <row r="11" spans="1:16" ht="96" customHeight="1" thickTop="1" thickBot="1" x14ac:dyDescent="0.25">
      <c r="A11" s="201"/>
      <c r="B11" s="201"/>
      <c r="C11" s="201"/>
      <c r="D11" s="201"/>
      <c r="E11" s="200" t="s">
        <v>523</v>
      </c>
      <c r="F11" s="200" t="s">
        <v>524</v>
      </c>
      <c r="G11" s="200" t="s">
        <v>525</v>
      </c>
      <c r="H11" s="200" t="s">
        <v>390</v>
      </c>
      <c r="I11" s="200" t="s">
        <v>523</v>
      </c>
      <c r="J11" s="200" t="s">
        <v>525</v>
      </c>
      <c r="K11" s="200" t="s">
        <v>390</v>
      </c>
      <c r="L11" s="7"/>
      <c r="M11" s="200"/>
      <c r="N11" s="201"/>
    </row>
    <row r="12" spans="1:16" ht="208.5" customHeight="1" thickTop="1" thickBot="1" x14ac:dyDescent="0.25">
      <c r="A12" s="202"/>
      <c r="B12" s="202"/>
      <c r="C12" s="202"/>
      <c r="D12" s="202"/>
      <c r="E12" s="202"/>
      <c r="F12" s="202"/>
      <c r="G12" s="202"/>
      <c r="H12" s="202"/>
      <c r="I12" s="202"/>
      <c r="J12" s="202"/>
      <c r="K12" s="202"/>
      <c r="L12" s="7"/>
      <c r="M12" s="202"/>
      <c r="N12" s="202"/>
    </row>
    <row r="13" spans="1:16" s="11" customFormat="1" ht="47.25" thickTop="1" thickBot="1" x14ac:dyDescent="0.25">
      <c r="A13" s="8" t="s">
        <v>7</v>
      </c>
      <c r="B13" s="8" t="s">
        <v>7</v>
      </c>
      <c r="C13" s="8" t="s">
        <v>8</v>
      </c>
      <c r="D13" s="8" t="s">
        <v>9</v>
      </c>
      <c r="E13" s="8" t="s">
        <v>10</v>
      </c>
      <c r="F13" s="8" t="s">
        <v>11</v>
      </c>
      <c r="G13" s="8" t="s">
        <v>12</v>
      </c>
      <c r="H13" s="8" t="s">
        <v>452</v>
      </c>
      <c r="I13" s="8" t="s">
        <v>453</v>
      </c>
      <c r="J13" s="8" t="s">
        <v>454</v>
      </c>
      <c r="K13" s="8" t="s">
        <v>455</v>
      </c>
      <c r="L13" s="8"/>
      <c r="M13" s="8"/>
      <c r="N13" s="8" t="s">
        <v>601</v>
      </c>
      <c r="O13" s="9"/>
      <c r="P13" s="10"/>
    </row>
    <row r="14" spans="1:16" s="14" customFormat="1" ht="88.5" customHeight="1" thickTop="1" thickBot="1" x14ac:dyDescent="0.25">
      <c r="A14" s="57" t="s">
        <v>13</v>
      </c>
      <c r="B14" s="72" t="s">
        <v>14</v>
      </c>
      <c r="C14" s="72"/>
      <c r="D14" s="73" t="s">
        <v>15</v>
      </c>
      <c r="E14" s="70">
        <f>SUM(E15:E18)</f>
        <v>309879140</v>
      </c>
      <c r="F14" s="70">
        <f>SUM(F15:F18)</f>
        <v>85712438</v>
      </c>
      <c r="G14" s="70">
        <f>SUM(G15:G18)</f>
        <v>67986961.340000004</v>
      </c>
      <c r="H14" s="80">
        <f>G14/F14</f>
        <v>0.79319831434499632</v>
      </c>
      <c r="I14" s="70">
        <f>SUM(I15:I18)</f>
        <v>1783773.6</v>
      </c>
      <c r="J14" s="70">
        <f>SUM(J15:J18)</f>
        <v>136039.6</v>
      </c>
      <c r="K14" s="71">
        <f>J14/I14</f>
        <v>7.626505964658295E-2</v>
      </c>
      <c r="L14" s="70"/>
      <c r="M14" s="70"/>
      <c r="N14" s="74">
        <f t="shared" ref="N14:N27" si="0">G14+J14</f>
        <v>68123000.939999998</v>
      </c>
      <c r="O14" s="53" t="b">
        <f>N14=N15+N16+N18</f>
        <v>1</v>
      </c>
      <c r="P14" s="13"/>
    </row>
    <row r="15" spans="1:16" ht="230.25" thickTop="1" thickBot="1" x14ac:dyDescent="0.25">
      <c r="A15" s="58" t="s">
        <v>16</v>
      </c>
      <c r="B15" s="69" t="s">
        <v>17</v>
      </c>
      <c r="C15" s="69" t="s">
        <v>18</v>
      </c>
      <c r="D15" s="69" t="s">
        <v>19</v>
      </c>
      <c r="E15" s="148">
        <v>143894830</v>
      </c>
      <c r="F15" s="148">
        <v>42779800</v>
      </c>
      <c r="G15" s="148">
        <v>35148073.640000001</v>
      </c>
      <c r="H15" s="149">
        <f>G15/F15</f>
        <v>0.82160444041346614</v>
      </c>
      <c r="I15" s="148">
        <v>1557000</v>
      </c>
      <c r="J15" s="151">
        <v>26870</v>
      </c>
      <c r="K15" s="152">
        <f>J15/I15</f>
        <v>1.7257546563904946E-2</v>
      </c>
      <c r="L15" s="153"/>
      <c r="M15" s="154"/>
      <c r="N15" s="150">
        <f t="shared" si="0"/>
        <v>35174943.640000001</v>
      </c>
      <c r="O15" s="15"/>
      <c r="P15" s="16"/>
    </row>
    <row r="16" spans="1:16" ht="138.75" thickTop="1" thickBot="1" x14ac:dyDescent="0.25">
      <c r="A16" s="58" t="s">
        <v>20</v>
      </c>
      <c r="B16" s="69" t="s">
        <v>21</v>
      </c>
      <c r="C16" s="69" t="s">
        <v>18</v>
      </c>
      <c r="D16" s="69" t="s">
        <v>527</v>
      </c>
      <c r="E16" s="148">
        <v>136151252</v>
      </c>
      <c r="F16" s="148">
        <v>41349058</v>
      </c>
      <c r="G16" s="148">
        <v>32356915.32</v>
      </c>
      <c r="H16" s="149">
        <f t="shared" ref="H16:H18" si="1">G16/F16</f>
        <v>0.78253089393233577</v>
      </c>
      <c r="I16" s="148">
        <v>144954</v>
      </c>
      <c r="J16" s="151">
        <v>41000</v>
      </c>
      <c r="K16" s="152">
        <f t="shared" ref="K16:K18" si="2">J16/I16</f>
        <v>0.2828483518909447</v>
      </c>
      <c r="L16" s="153"/>
      <c r="M16" s="154"/>
      <c r="N16" s="150">
        <f t="shared" si="0"/>
        <v>32397915.32</v>
      </c>
      <c r="O16" s="15"/>
      <c r="P16" s="16"/>
    </row>
    <row r="17" spans="1:18" ht="93" hidden="1" thickTop="1" thickBot="1" x14ac:dyDescent="0.25">
      <c r="A17" s="69" t="s">
        <v>22</v>
      </c>
      <c r="B17" s="89" t="s">
        <v>23</v>
      </c>
      <c r="C17" s="89" t="s">
        <v>24</v>
      </c>
      <c r="D17" s="69" t="s">
        <v>25</v>
      </c>
      <c r="E17" s="90">
        <v>0</v>
      </c>
      <c r="F17" s="90">
        <v>0</v>
      </c>
      <c r="G17" s="90">
        <v>0</v>
      </c>
      <c r="H17" s="91" t="e">
        <f t="shared" si="1"/>
        <v>#DIV/0!</v>
      </c>
      <c r="I17" s="90"/>
      <c r="J17" s="113"/>
      <c r="K17" s="114"/>
      <c r="L17" s="114"/>
      <c r="M17" s="115"/>
      <c r="N17" s="116">
        <f t="shared" si="0"/>
        <v>0</v>
      </c>
      <c r="O17" s="15"/>
      <c r="P17" s="17"/>
    </row>
    <row r="18" spans="1:18" ht="111" customHeight="1" thickTop="1" thickBot="1" x14ac:dyDescent="0.25">
      <c r="A18" s="58" t="s">
        <v>26</v>
      </c>
      <c r="B18" s="69" t="s">
        <v>27</v>
      </c>
      <c r="C18" s="69" t="s">
        <v>28</v>
      </c>
      <c r="D18" s="69" t="s">
        <v>29</v>
      </c>
      <c r="E18" s="150">
        <v>29833058</v>
      </c>
      <c r="F18" s="150">
        <v>1583580</v>
      </c>
      <c r="G18" s="150">
        <v>481972.38</v>
      </c>
      <c r="H18" s="149">
        <f t="shared" si="1"/>
        <v>0.30435619292994354</v>
      </c>
      <c r="I18" s="148">
        <f>54147.6+27672</f>
        <v>81819.600000000006</v>
      </c>
      <c r="J18" s="151">
        <f>54147.6+14022</f>
        <v>68169.600000000006</v>
      </c>
      <c r="K18" s="152">
        <f t="shared" si="2"/>
        <v>0.83316955839432116</v>
      </c>
      <c r="L18" s="150"/>
      <c r="M18" s="154"/>
      <c r="N18" s="150">
        <f t="shared" si="0"/>
        <v>550141.98</v>
      </c>
      <c r="O18" s="15"/>
      <c r="P18" s="17"/>
    </row>
    <row r="19" spans="1:18" ht="83.25" customHeight="1" thickTop="1" thickBot="1" x14ac:dyDescent="0.25">
      <c r="A19" s="57" t="s">
        <v>59</v>
      </c>
      <c r="B19" s="77" t="s">
        <v>60</v>
      </c>
      <c r="C19" s="77"/>
      <c r="D19" s="78" t="s">
        <v>61</v>
      </c>
      <c r="E19" s="79">
        <f>SUM(E20:E61)-E21-E25-E32-E35-E38-E42-E49-E28-E52-E55-E59</f>
        <v>2038143515.7200003</v>
      </c>
      <c r="F19" s="79">
        <f>SUM(F20:F61)-F21-F25-F32-F35-F38-F42-F49-F28-F52-F55-F59</f>
        <v>596267106.08000004</v>
      </c>
      <c r="G19" s="79">
        <f>SUM(G20:G61)-G21-G25-G32-G35-G38-G42-G49-G28-G52-G55-G59</f>
        <v>529405502.59799957</v>
      </c>
      <c r="H19" s="80">
        <f>G19/F19</f>
        <v>0.88786635586597362</v>
      </c>
      <c r="I19" s="79">
        <f>SUM(I20:I61)-I21-I25-I32-I35-I38-I42-I49-I28-I52-I55-I59</f>
        <v>353248851.03000003</v>
      </c>
      <c r="J19" s="79">
        <f>SUM(J20:J61)-J21-J25-J32-J35-J38-J42-J49-J28-J52-J55-J59</f>
        <v>79355533.300000012</v>
      </c>
      <c r="K19" s="80">
        <f>J19/I19</f>
        <v>0.22464484475636881</v>
      </c>
      <c r="L19" s="79"/>
      <c r="M19" s="79"/>
      <c r="N19" s="81">
        <f>G19+J19</f>
        <v>608761035.89799953</v>
      </c>
      <c r="O19" s="53" t="b">
        <f>N19=N20+N22+N23+N24+N26+N27+N30+N31+N33+N34+N36+N37+N39+N40+N41+N45+N46+N47+N53+N58+N60+N61</f>
        <v>1</v>
      </c>
      <c r="P19" s="12"/>
    </row>
    <row r="20" spans="1:18" ht="99" customHeight="1" thickTop="1" thickBot="1" x14ac:dyDescent="0.6">
      <c r="A20" s="58" t="s">
        <v>62</v>
      </c>
      <c r="B20" s="75" t="s">
        <v>63</v>
      </c>
      <c r="C20" s="75" t="s">
        <v>64</v>
      </c>
      <c r="D20" s="75" t="s">
        <v>65</v>
      </c>
      <c r="E20" s="155">
        <v>601825737</v>
      </c>
      <c r="F20" s="155">
        <v>152462922</v>
      </c>
      <c r="G20" s="155">
        <v>136779281.28999999</v>
      </c>
      <c r="H20" s="149">
        <f>G20/F20</f>
        <v>0.89713144347318752</v>
      </c>
      <c r="I20" s="155">
        <v>108146309.43000001</v>
      </c>
      <c r="J20" s="155">
        <v>19784642.09</v>
      </c>
      <c r="K20" s="149">
        <f t="shared" ref="K20:K24" si="3">J20/I20</f>
        <v>0.18294329408259677</v>
      </c>
      <c r="L20" s="155"/>
      <c r="M20" s="160"/>
      <c r="N20" s="155">
        <f t="shared" si="0"/>
        <v>156563923.38</v>
      </c>
      <c r="O20" s="21"/>
      <c r="P20" s="12"/>
    </row>
    <row r="21" spans="1:18" ht="93" thickTop="1" thickBot="1" x14ac:dyDescent="0.6">
      <c r="A21" s="76" t="s">
        <v>66</v>
      </c>
      <c r="B21" s="76" t="s">
        <v>67</v>
      </c>
      <c r="C21" s="76"/>
      <c r="D21" s="76" t="s">
        <v>68</v>
      </c>
      <c r="E21" s="156">
        <f t="shared" ref="E21:G21" si="4">E22+E23+E24</f>
        <v>539171745.72000003</v>
      </c>
      <c r="F21" s="156">
        <f t="shared" si="4"/>
        <v>155384295.72</v>
      </c>
      <c r="G21" s="156">
        <f t="shared" si="4"/>
        <v>115607346.348</v>
      </c>
      <c r="H21" s="157">
        <f t="shared" ref="H21:H48" si="5">G21/F21</f>
        <v>0.74400920512792734</v>
      </c>
      <c r="I21" s="156">
        <f>I22+I23+I24</f>
        <v>105322237.65000001</v>
      </c>
      <c r="J21" s="156">
        <f>J22+J23+J24</f>
        <v>26490644.23</v>
      </c>
      <c r="K21" s="157">
        <f t="shared" si="3"/>
        <v>0.25151995268114208</v>
      </c>
      <c r="L21" s="156"/>
      <c r="M21" s="161"/>
      <c r="N21" s="156">
        <f>G21+J21</f>
        <v>142097990.57800001</v>
      </c>
      <c r="O21" s="21"/>
      <c r="P21" s="22"/>
    </row>
    <row r="22" spans="1:18" ht="138.75" thickTop="1" thickBot="1" x14ac:dyDescent="0.6">
      <c r="A22" s="75" t="s">
        <v>69</v>
      </c>
      <c r="B22" s="75" t="s">
        <v>70</v>
      </c>
      <c r="C22" s="75" t="s">
        <v>71</v>
      </c>
      <c r="D22" s="75" t="s">
        <v>528</v>
      </c>
      <c r="E22" s="155">
        <v>488872967.72000003</v>
      </c>
      <c r="F22" s="155">
        <v>141363290.72</v>
      </c>
      <c r="G22" s="155">
        <v>105109965.56</v>
      </c>
      <c r="H22" s="149">
        <f t="shared" si="5"/>
        <v>0.74354498275080905</v>
      </c>
      <c r="I22" s="155">
        <v>105105137.65000001</v>
      </c>
      <c r="J22" s="155">
        <v>26435015.280000001</v>
      </c>
      <c r="K22" s="149">
        <f t="shared" si="3"/>
        <v>0.25151021035744775</v>
      </c>
      <c r="L22" s="155"/>
      <c r="M22" s="160"/>
      <c r="N22" s="155">
        <f t="shared" si="0"/>
        <v>131544980.84</v>
      </c>
      <c r="O22" s="21"/>
      <c r="P22" s="13"/>
      <c r="R22" s="23"/>
    </row>
    <row r="23" spans="1:18" ht="276" thickTop="1" thickBot="1" x14ac:dyDescent="0.25">
      <c r="A23" s="58" t="s">
        <v>72</v>
      </c>
      <c r="B23" s="75" t="s">
        <v>73</v>
      </c>
      <c r="C23" s="75" t="s">
        <v>74</v>
      </c>
      <c r="D23" s="75" t="s">
        <v>529</v>
      </c>
      <c r="E23" s="155">
        <v>30239872</v>
      </c>
      <c r="F23" s="155">
        <v>7853245</v>
      </c>
      <c r="G23" s="155">
        <v>6701098.7779999999</v>
      </c>
      <c r="H23" s="149">
        <f t="shared" si="5"/>
        <v>0.85329042682356149</v>
      </c>
      <c r="I23" s="155">
        <v>202100</v>
      </c>
      <c r="J23" s="155">
        <v>40630.949999999997</v>
      </c>
      <c r="K23" s="149">
        <f t="shared" si="3"/>
        <v>0.20104379020286986</v>
      </c>
      <c r="L23" s="155"/>
      <c r="M23" s="160"/>
      <c r="N23" s="155">
        <f t="shared" si="0"/>
        <v>6741729.7280000001</v>
      </c>
      <c r="P23" s="13"/>
    </row>
    <row r="24" spans="1:18" ht="138.75" thickTop="1" thickBot="1" x14ac:dyDescent="0.25">
      <c r="A24" s="75"/>
      <c r="B24" s="75" t="s">
        <v>410</v>
      </c>
      <c r="C24" s="75" t="s">
        <v>74</v>
      </c>
      <c r="D24" s="75" t="s">
        <v>530</v>
      </c>
      <c r="E24" s="155">
        <v>20058906</v>
      </c>
      <c r="F24" s="155">
        <v>6167760</v>
      </c>
      <c r="G24" s="155">
        <v>3796282.01</v>
      </c>
      <c r="H24" s="149">
        <f t="shared" si="5"/>
        <v>0.61550417169280258</v>
      </c>
      <c r="I24" s="155">
        <v>15000</v>
      </c>
      <c r="J24" s="155">
        <v>14998</v>
      </c>
      <c r="K24" s="149">
        <f t="shared" si="3"/>
        <v>0.99986666666666668</v>
      </c>
      <c r="L24" s="155"/>
      <c r="M24" s="160"/>
      <c r="N24" s="155">
        <f>G24+J24</f>
        <v>3811280.01</v>
      </c>
      <c r="P24" s="13"/>
    </row>
    <row r="25" spans="1:18" ht="123" thickTop="1" thickBot="1" x14ac:dyDescent="0.25">
      <c r="A25" s="59" t="s">
        <v>75</v>
      </c>
      <c r="B25" s="76" t="s">
        <v>76</v>
      </c>
      <c r="C25" s="76"/>
      <c r="D25" s="76" t="s">
        <v>77</v>
      </c>
      <c r="E25" s="156">
        <f>E26+E27</f>
        <v>510766684</v>
      </c>
      <c r="F25" s="156">
        <f t="shared" ref="F25:G25" si="6">F26+F27</f>
        <v>175154175.36000001</v>
      </c>
      <c r="G25" s="156">
        <f t="shared" si="6"/>
        <v>174632126.53</v>
      </c>
      <c r="H25" s="157">
        <f t="shared" si="5"/>
        <v>0.99701948966430842</v>
      </c>
      <c r="I25" s="156">
        <f>I26+I27</f>
        <v>0</v>
      </c>
      <c r="J25" s="156">
        <f>J26+J27</f>
        <v>0</v>
      </c>
      <c r="K25" s="157">
        <v>0</v>
      </c>
      <c r="L25" s="156"/>
      <c r="M25" s="156"/>
      <c r="N25" s="156">
        <f>G25+J25</f>
        <v>174632126.53</v>
      </c>
      <c r="O25" s="50" t="s">
        <v>391</v>
      </c>
      <c r="P25" s="19"/>
    </row>
    <row r="26" spans="1:18" ht="138.75" thickTop="1" thickBot="1" x14ac:dyDescent="0.25">
      <c r="A26" s="58" t="s">
        <v>78</v>
      </c>
      <c r="B26" s="75" t="s">
        <v>79</v>
      </c>
      <c r="C26" s="75" t="s">
        <v>71</v>
      </c>
      <c r="D26" s="75" t="s">
        <v>531</v>
      </c>
      <c r="E26" s="155">
        <v>504027774</v>
      </c>
      <c r="F26" s="155">
        <v>172767855.36000001</v>
      </c>
      <c r="G26" s="155">
        <v>172432520.22999999</v>
      </c>
      <c r="H26" s="149">
        <f t="shared" si="5"/>
        <v>0.99805904212157248</v>
      </c>
      <c r="I26" s="155"/>
      <c r="J26" s="155"/>
      <c r="K26" s="155"/>
      <c r="L26" s="155"/>
      <c r="M26" s="160"/>
      <c r="N26" s="155">
        <f t="shared" si="0"/>
        <v>172432520.22999999</v>
      </c>
      <c r="P26" s="17"/>
    </row>
    <row r="27" spans="1:18" ht="138.75" thickTop="1" thickBot="1" x14ac:dyDescent="0.25">
      <c r="A27" s="88"/>
      <c r="B27" s="158" t="s">
        <v>451</v>
      </c>
      <c r="C27" s="75" t="s">
        <v>74</v>
      </c>
      <c r="D27" s="75" t="s">
        <v>532</v>
      </c>
      <c r="E27" s="159">
        <v>6738910</v>
      </c>
      <c r="F27" s="159">
        <v>2386320</v>
      </c>
      <c r="G27" s="159">
        <v>2199606.2999999998</v>
      </c>
      <c r="H27" s="149">
        <f t="shared" si="5"/>
        <v>0.9217566378356632</v>
      </c>
      <c r="I27" s="159"/>
      <c r="J27" s="159"/>
      <c r="K27" s="159"/>
      <c r="L27" s="159"/>
      <c r="M27" s="162"/>
      <c r="N27" s="155">
        <f t="shared" si="0"/>
        <v>2199606.2999999998</v>
      </c>
      <c r="P27" s="17"/>
    </row>
    <row r="28" spans="1:18" ht="290.25" hidden="1" customHeight="1" thickTop="1" thickBot="1" x14ac:dyDescent="0.7">
      <c r="A28" s="118" t="s">
        <v>80</v>
      </c>
      <c r="B28" s="132" t="s">
        <v>81</v>
      </c>
      <c r="C28" s="132"/>
      <c r="D28" s="135" t="s">
        <v>533</v>
      </c>
      <c r="E28" s="133">
        <f t="shared" ref="E28:J28" si="7">E29</f>
        <v>0</v>
      </c>
      <c r="F28" s="133">
        <f t="shared" si="7"/>
        <v>0</v>
      </c>
      <c r="G28" s="133">
        <f t="shared" si="7"/>
        <v>0</v>
      </c>
      <c r="H28" s="120" t="e">
        <f>G28/F28</f>
        <v>#DIV/0!</v>
      </c>
      <c r="I28" s="133">
        <f t="shared" si="7"/>
        <v>0</v>
      </c>
      <c r="J28" s="133">
        <f t="shared" si="7"/>
        <v>0</v>
      </c>
      <c r="K28" s="134">
        <v>0</v>
      </c>
      <c r="L28" s="133"/>
      <c r="M28" s="133"/>
      <c r="N28" s="133">
        <f>J28+G28</f>
        <v>0</v>
      </c>
      <c r="O28" s="119" t="s">
        <v>391</v>
      </c>
      <c r="P28" s="17"/>
    </row>
    <row r="29" spans="1:18" ht="321.75" hidden="1" thickTop="1" thickBot="1" x14ac:dyDescent="0.25">
      <c r="A29" s="58" t="s">
        <v>82</v>
      </c>
      <c r="B29" s="92" t="s">
        <v>83</v>
      </c>
      <c r="C29" s="92" t="s">
        <v>71</v>
      </c>
      <c r="D29" s="75" t="s">
        <v>534</v>
      </c>
      <c r="E29" s="93"/>
      <c r="F29" s="93"/>
      <c r="G29" s="93"/>
      <c r="H29" s="91" t="e">
        <f t="shared" si="5"/>
        <v>#DIV/0!</v>
      </c>
      <c r="I29" s="93"/>
      <c r="J29" s="93"/>
      <c r="K29" s="91"/>
      <c r="L29" s="93"/>
      <c r="M29" s="94"/>
      <c r="N29" s="93">
        <f t="shared" ref="N29:N35" si="8">G29+J29</f>
        <v>0</v>
      </c>
      <c r="P29" s="12"/>
    </row>
    <row r="30" spans="1:18" ht="138.75" thickTop="1" thickBot="1" x14ac:dyDescent="0.25">
      <c r="A30" s="75" t="s">
        <v>84</v>
      </c>
      <c r="B30" s="75" t="s">
        <v>85</v>
      </c>
      <c r="C30" s="75" t="s">
        <v>86</v>
      </c>
      <c r="D30" s="75" t="s">
        <v>87</v>
      </c>
      <c r="E30" s="155">
        <v>36783932</v>
      </c>
      <c r="F30" s="155">
        <v>9370444</v>
      </c>
      <c r="G30" s="155">
        <v>7830504.1799999997</v>
      </c>
      <c r="H30" s="149">
        <f t="shared" si="5"/>
        <v>0.8356598876211202</v>
      </c>
      <c r="I30" s="155">
        <v>1711047.01</v>
      </c>
      <c r="J30" s="155">
        <v>698397.07</v>
      </c>
      <c r="K30" s="149">
        <f t="shared" ref="K30:K37" si="9">J30/I30</f>
        <v>0.40816942253386712</v>
      </c>
      <c r="L30" s="155"/>
      <c r="M30" s="160"/>
      <c r="N30" s="155">
        <f t="shared" si="8"/>
        <v>8528901.25</v>
      </c>
      <c r="P30" s="12"/>
    </row>
    <row r="31" spans="1:18" ht="93" thickTop="1" thickBot="1" x14ac:dyDescent="0.25">
      <c r="A31" s="58"/>
      <c r="B31" s="75" t="s">
        <v>242</v>
      </c>
      <c r="C31" s="75" t="s">
        <v>86</v>
      </c>
      <c r="D31" s="75" t="s">
        <v>456</v>
      </c>
      <c r="E31" s="155">
        <v>93548990</v>
      </c>
      <c r="F31" s="155">
        <v>22711997</v>
      </c>
      <c r="G31" s="155">
        <v>20704270.460000001</v>
      </c>
      <c r="H31" s="149">
        <f t="shared" si="5"/>
        <v>0.91160061618535793</v>
      </c>
      <c r="I31" s="155">
        <v>11134554</v>
      </c>
      <c r="J31" s="155">
        <v>2701795.92</v>
      </c>
      <c r="K31" s="149">
        <f t="shared" si="9"/>
        <v>0.24264967595469022</v>
      </c>
      <c r="L31" s="155"/>
      <c r="M31" s="160"/>
      <c r="N31" s="155">
        <f t="shared" si="8"/>
        <v>23406066.380000003</v>
      </c>
      <c r="P31" s="12"/>
    </row>
    <row r="32" spans="1:18" ht="138.75" thickTop="1" thickBot="1" x14ac:dyDescent="0.25">
      <c r="A32" s="59" t="s">
        <v>88</v>
      </c>
      <c r="B32" s="76" t="s">
        <v>89</v>
      </c>
      <c r="C32" s="76"/>
      <c r="D32" s="76" t="s">
        <v>90</v>
      </c>
      <c r="E32" s="156">
        <f t="shared" ref="E32:G32" si="10">E33+E34</f>
        <v>177659532</v>
      </c>
      <c r="F32" s="156">
        <f t="shared" si="10"/>
        <v>50826800</v>
      </c>
      <c r="G32" s="156">
        <f t="shared" si="10"/>
        <v>46806993.68</v>
      </c>
      <c r="H32" s="157">
        <f t="shared" si="5"/>
        <v>0.92091167809108576</v>
      </c>
      <c r="I32" s="156">
        <f t="shared" ref="I32:J32" si="11">I33+I34</f>
        <v>36520526.439999998</v>
      </c>
      <c r="J32" s="156">
        <f t="shared" si="11"/>
        <v>10048679.68</v>
      </c>
      <c r="K32" s="157">
        <f t="shared" si="9"/>
        <v>0.27515155611212488</v>
      </c>
      <c r="L32" s="156"/>
      <c r="M32" s="156"/>
      <c r="N32" s="156">
        <f t="shared" si="8"/>
        <v>56855673.359999999</v>
      </c>
      <c r="P32" s="19"/>
    </row>
    <row r="33" spans="1:16" ht="184.5" thickTop="1" thickBot="1" x14ac:dyDescent="0.25">
      <c r="A33" s="75" t="s">
        <v>91</v>
      </c>
      <c r="B33" s="75" t="s">
        <v>92</v>
      </c>
      <c r="C33" s="75" t="s">
        <v>93</v>
      </c>
      <c r="D33" s="75" t="s">
        <v>94</v>
      </c>
      <c r="E33" s="155">
        <v>161147012</v>
      </c>
      <c r="F33" s="155">
        <v>45018800</v>
      </c>
      <c r="G33" s="155">
        <v>40998993.68</v>
      </c>
      <c r="H33" s="149">
        <f t="shared" si="5"/>
        <v>0.91070827476520921</v>
      </c>
      <c r="I33" s="155">
        <v>36520526.439999998</v>
      </c>
      <c r="J33" s="155">
        <v>10048679.68</v>
      </c>
      <c r="K33" s="149">
        <f t="shared" si="9"/>
        <v>0.27515155611212488</v>
      </c>
      <c r="L33" s="155"/>
      <c r="M33" s="160"/>
      <c r="N33" s="155">
        <f t="shared" si="8"/>
        <v>51047673.359999999</v>
      </c>
      <c r="P33" s="12"/>
    </row>
    <row r="34" spans="1:16" ht="138.75" thickTop="1" thickBot="1" x14ac:dyDescent="0.25">
      <c r="A34" s="58" t="s">
        <v>95</v>
      </c>
      <c r="B34" s="75" t="s">
        <v>96</v>
      </c>
      <c r="C34" s="75" t="s">
        <v>93</v>
      </c>
      <c r="D34" s="75" t="s">
        <v>97</v>
      </c>
      <c r="E34" s="155">
        <v>16512520</v>
      </c>
      <c r="F34" s="155">
        <v>5808000</v>
      </c>
      <c r="G34" s="155">
        <v>5808000</v>
      </c>
      <c r="H34" s="149">
        <f t="shared" si="5"/>
        <v>1</v>
      </c>
      <c r="I34" s="155"/>
      <c r="J34" s="155"/>
      <c r="K34" s="155"/>
      <c r="L34" s="155"/>
      <c r="M34" s="160"/>
      <c r="N34" s="155">
        <f t="shared" si="8"/>
        <v>5808000</v>
      </c>
      <c r="P34" s="17"/>
    </row>
    <row r="35" spans="1:16" ht="93" thickTop="1" thickBot="1" x14ac:dyDescent="0.25">
      <c r="A35" s="59" t="s">
        <v>98</v>
      </c>
      <c r="B35" s="76" t="s">
        <v>99</v>
      </c>
      <c r="C35" s="76"/>
      <c r="D35" s="76" t="s">
        <v>100</v>
      </c>
      <c r="E35" s="156">
        <f t="shared" ref="E35:J35" si="12">E36+E37</f>
        <v>26649630</v>
      </c>
      <c r="F35" s="156">
        <f t="shared" si="12"/>
        <v>6850462</v>
      </c>
      <c r="G35" s="156">
        <f t="shared" si="12"/>
        <v>5917250.2999999998</v>
      </c>
      <c r="H35" s="157">
        <f t="shared" si="5"/>
        <v>0.86377390313237268</v>
      </c>
      <c r="I35" s="156">
        <f t="shared" si="12"/>
        <v>767840.5</v>
      </c>
      <c r="J35" s="156">
        <f t="shared" si="12"/>
        <v>129991.02</v>
      </c>
      <c r="K35" s="157">
        <f t="shared" si="9"/>
        <v>0.16929430005320115</v>
      </c>
      <c r="L35" s="156"/>
      <c r="M35" s="156"/>
      <c r="N35" s="156">
        <f t="shared" si="8"/>
        <v>6047241.3199999994</v>
      </c>
      <c r="P35" s="19"/>
    </row>
    <row r="36" spans="1:16" ht="93" thickTop="1" thickBot="1" x14ac:dyDescent="0.25">
      <c r="A36" s="58" t="s">
        <v>101</v>
      </c>
      <c r="B36" s="75" t="s">
        <v>102</v>
      </c>
      <c r="C36" s="75" t="s">
        <v>103</v>
      </c>
      <c r="D36" s="75" t="s">
        <v>104</v>
      </c>
      <c r="E36" s="155">
        <v>25845410</v>
      </c>
      <c r="F36" s="155">
        <v>6514425</v>
      </c>
      <c r="G36" s="155">
        <v>5590355.2999999998</v>
      </c>
      <c r="H36" s="149">
        <f t="shared" si="5"/>
        <v>0.85815022814753406</v>
      </c>
      <c r="I36" s="155">
        <v>392520.5</v>
      </c>
      <c r="J36" s="155">
        <v>129991.02</v>
      </c>
      <c r="K36" s="149">
        <f t="shared" si="9"/>
        <v>0.33117001532404039</v>
      </c>
      <c r="L36" s="155"/>
      <c r="M36" s="160"/>
      <c r="N36" s="155">
        <f t="shared" ref="N36:N47" si="13">G36+J36</f>
        <v>5720346.3199999994</v>
      </c>
      <c r="P36" s="17"/>
    </row>
    <row r="37" spans="1:16" ht="93" thickTop="1" thickBot="1" x14ac:dyDescent="0.25">
      <c r="A37" s="58" t="s">
        <v>105</v>
      </c>
      <c r="B37" s="75" t="s">
        <v>106</v>
      </c>
      <c r="C37" s="75" t="s">
        <v>103</v>
      </c>
      <c r="D37" s="75" t="s">
        <v>107</v>
      </c>
      <c r="E37" s="155">
        <v>804220</v>
      </c>
      <c r="F37" s="155">
        <v>336037</v>
      </c>
      <c r="G37" s="155">
        <v>326895</v>
      </c>
      <c r="H37" s="149">
        <f t="shared" si="5"/>
        <v>0.97279466249252311</v>
      </c>
      <c r="I37" s="155">
        <v>375320</v>
      </c>
      <c r="J37" s="155">
        <v>0</v>
      </c>
      <c r="K37" s="149">
        <f t="shared" si="9"/>
        <v>0</v>
      </c>
      <c r="L37" s="155"/>
      <c r="M37" s="160"/>
      <c r="N37" s="155">
        <f t="shared" si="13"/>
        <v>326895</v>
      </c>
      <c r="P37" s="17"/>
    </row>
    <row r="38" spans="1:16" ht="123" thickTop="1" thickBot="1" x14ac:dyDescent="0.25">
      <c r="A38" s="59" t="s">
        <v>108</v>
      </c>
      <c r="B38" s="76" t="s">
        <v>109</v>
      </c>
      <c r="C38" s="76"/>
      <c r="D38" s="76" t="s">
        <v>110</v>
      </c>
      <c r="E38" s="156">
        <f t="shared" ref="E38:J38" si="14">E39+E40</f>
        <v>5243178</v>
      </c>
      <c r="F38" s="156">
        <f t="shared" si="14"/>
        <v>2028512</v>
      </c>
      <c r="G38" s="156">
        <f t="shared" si="14"/>
        <v>1357036.35</v>
      </c>
      <c r="H38" s="157">
        <f t="shared" si="5"/>
        <v>0.66898117930778822</v>
      </c>
      <c r="I38" s="156">
        <f t="shared" si="14"/>
        <v>0</v>
      </c>
      <c r="J38" s="156">
        <f t="shared" si="14"/>
        <v>0</v>
      </c>
      <c r="K38" s="157">
        <v>0</v>
      </c>
      <c r="L38" s="156"/>
      <c r="M38" s="156"/>
      <c r="N38" s="156">
        <f t="shared" si="13"/>
        <v>1357036.35</v>
      </c>
      <c r="O38" s="50" t="s">
        <v>391</v>
      </c>
      <c r="P38" s="19"/>
    </row>
    <row r="39" spans="1:16" ht="111" customHeight="1" thickTop="1" thickBot="1" x14ac:dyDescent="0.25">
      <c r="A39" s="58" t="s">
        <v>111</v>
      </c>
      <c r="B39" s="75" t="s">
        <v>112</v>
      </c>
      <c r="C39" s="75" t="s">
        <v>103</v>
      </c>
      <c r="D39" s="75" t="s">
        <v>113</v>
      </c>
      <c r="E39" s="155">
        <v>1579578</v>
      </c>
      <c r="F39" s="155">
        <v>626412</v>
      </c>
      <c r="G39" s="155">
        <v>362223.67</v>
      </c>
      <c r="H39" s="149">
        <f t="shared" si="5"/>
        <v>0.5782514862422814</v>
      </c>
      <c r="I39" s="155"/>
      <c r="J39" s="155"/>
      <c r="K39" s="149"/>
      <c r="L39" s="155"/>
      <c r="M39" s="160"/>
      <c r="N39" s="155">
        <f>G39+J39</f>
        <v>362223.67</v>
      </c>
      <c r="P39" s="12"/>
    </row>
    <row r="40" spans="1:16" ht="111" customHeight="1" thickTop="1" thickBot="1" x14ac:dyDescent="0.25">
      <c r="A40" s="58" t="s">
        <v>114</v>
      </c>
      <c r="B40" s="75" t="s">
        <v>115</v>
      </c>
      <c r="C40" s="75" t="s">
        <v>103</v>
      </c>
      <c r="D40" s="75" t="s">
        <v>116</v>
      </c>
      <c r="E40" s="155">
        <v>3663600</v>
      </c>
      <c r="F40" s="155">
        <v>1402100</v>
      </c>
      <c r="G40" s="155">
        <v>994812.68</v>
      </c>
      <c r="H40" s="149">
        <f t="shared" si="5"/>
        <v>0.70951621139719001</v>
      </c>
      <c r="I40" s="155"/>
      <c r="J40" s="155"/>
      <c r="K40" s="155"/>
      <c r="L40" s="155"/>
      <c r="M40" s="160"/>
      <c r="N40" s="155">
        <f t="shared" si="13"/>
        <v>994812.68</v>
      </c>
      <c r="P40" s="17"/>
    </row>
    <row r="41" spans="1:16" ht="108" customHeight="1" thickTop="1" thickBot="1" x14ac:dyDescent="0.25">
      <c r="A41" s="58" t="s">
        <v>117</v>
      </c>
      <c r="B41" s="75" t="s">
        <v>118</v>
      </c>
      <c r="C41" s="75" t="s">
        <v>103</v>
      </c>
      <c r="D41" s="75" t="s">
        <v>535</v>
      </c>
      <c r="E41" s="155">
        <v>3040387</v>
      </c>
      <c r="F41" s="155">
        <v>800298</v>
      </c>
      <c r="G41" s="155">
        <v>676705.18</v>
      </c>
      <c r="H41" s="149">
        <f t="shared" si="5"/>
        <v>0.84556650147819945</v>
      </c>
      <c r="I41" s="155"/>
      <c r="J41" s="155"/>
      <c r="K41" s="149"/>
      <c r="L41" s="155"/>
      <c r="M41" s="160"/>
      <c r="N41" s="155">
        <f>G41+J41</f>
        <v>676705.18</v>
      </c>
      <c r="O41" s="50"/>
      <c r="P41" s="12"/>
    </row>
    <row r="42" spans="1:16" s="18" customFormat="1" ht="138.75" thickTop="1" thickBot="1" x14ac:dyDescent="0.25">
      <c r="A42" s="59" t="s">
        <v>119</v>
      </c>
      <c r="B42" s="76" t="s">
        <v>120</v>
      </c>
      <c r="C42" s="76"/>
      <c r="D42" s="76" t="s">
        <v>577</v>
      </c>
      <c r="E42" s="156">
        <f>SUM(E43:E46)</f>
        <v>0</v>
      </c>
      <c r="F42" s="156">
        <f>SUM(F43:F46)</f>
        <v>0</v>
      </c>
      <c r="G42" s="156">
        <f>SUM(G43:G46)</f>
        <v>0</v>
      </c>
      <c r="H42" s="149">
        <v>0</v>
      </c>
      <c r="I42" s="156">
        <f>SUM(I43:I46)</f>
        <v>19051327</v>
      </c>
      <c r="J42" s="156">
        <f>SUM(J43:J46)</f>
        <v>0</v>
      </c>
      <c r="K42" s="157">
        <f t="shared" ref="K42:K46" si="15">J42/I42</f>
        <v>0</v>
      </c>
      <c r="L42" s="156"/>
      <c r="M42" s="156"/>
      <c r="N42" s="156">
        <f t="shared" si="13"/>
        <v>0</v>
      </c>
      <c r="O42" s="50" t="s">
        <v>391</v>
      </c>
      <c r="P42" s="22"/>
    </row>
    <row r="43" spans="1:16" s="18" customFormat="1" ht="230.25" hidden="1" thickTop="1" thickBot="1" x14ac:dyDescent="0.25">
      <c r="A43" s="58" t="s">
        <v>121</v>
      </c>
      <c r="B43" s="92" t="s">
        <v>122</v>
      </c>
      <c r="C43" s="92" t="s">
        <v>103</v>
      </c>
      <c r="D43" s="75" t="s">
        <v>123</v>
      </c>
      <c r="E43" s="93"/>
      <c r="F43" s="93"/>
      <c r="G43" s="93"/>
      <c r="H43" s="91" t="e">
        <f t="shared" si="5"/>
        <v>#DIV/0!</v>
      </c>
      <c r="I43" s="93"/>
      <c r="J43" s="93"/>
      <c r="K43" s="91" t="e">
        <f t="shared" si="15"/>
        <v>#DIV/0!</v>
      </c>
      <c r="L43" s="93"/>
      <c r="M43" s="94"/>
      <c r="N43" s="93">
        <f t="shared" si="13"/>
        <v>0</v>
      </c>
      <c r="O43" s="50"/>
      <c r="P43" s="12"/>
    </row>
    <row r="44" spans="1:16" s="18" customFormat="1" ht="230.25" hidden="1" thickTop="1" thickBot="1" x14ac:dyDescent="0.25">
      <c r="A44" s="58"/>
      <c r="B44" s="92" t="s">
        <v>408</v>
      </c>
      <c r="C44" s="92" t="s">
        <v>103</v>
      </c>
      <c r="D44" s="75" t="s">
        <v>409</v>
      </c>
      <c r="E44" s="93"/>
      <c r="F44" s="93"/>
      <c r="G44" s="93"/>
      <c r="H44" s="91" t="e">
        <f t="shared" si="5"/>
        <v>#DIV/0!</v>
      </c>
      <c r="I44" s="93"/>
      <c r="J44" s="93"/>
      <c r="K44" s="91" t="e">
        <f t="shared" si="15"/>
        <v>#DIV/0!</v>
      </c>
      <c r="L44" s="93"/>
      <c r="M44" s="94"/>
      <c r="N44" s="93">
        <f t="shared" si="13"/>
        <v>0</v>
      </c>
      <c r="O44" s="52"/>
      <c r="P44" s="12"/>
    </row>
    <row r="45" spans="1:16" s="18" customFormat="1" ht="276" thickTop="1" thickBot="1" x14ac:dyDescent="0.25">
      <c r="A45" s="58"/>
      <c r="B45" s="75" t="s">
        <v>578</v>
      </c>
      <c r="C45" s="75" t="s">
        <v>103</v>
      </c>
      <c r="D45" s="75" t="s">
        <v>580</v>
      </c>
      <c r="E45" s="155"/>
      <c r="F45" s="155"/>
      <c r="G45" s="155"/>
      <c r="H45" s="149"/>
      <c r="I45" s="155">
        <v>5715427</v>
      </c>
      <c r="J45" s="155">
        <v>0</v>
      </c>
      <c r="K45" s="149">
        <f t="shared" si="15"/>
        <v>0</v>
      </c>
      <c r="L45" s="155"/>
      <c r="M45" s="160"/>
      <c r="N45" s="155">
        <f t="shared" si="13"/>
        <v>0</v>
      </c>
      <c r="O45" s="50"/>
      <c r="P45" s="12"/>
    </row>
    <row r="46" spans="1:16" s="18" customFormat="1" ht="276" thickTop="1" thickBot="1" x14ac:dyDescent="0.25">
      <c r="A46" s="58"/>
      <c r="B46" s="75" t="s">
        <v>579</v>
      </c>
      <c r="C46" s="75" t="s">
        <v>103</v>
      </c>
      <c r="D46" s="75" t="s">
        <v>581</v>
      </c>
      <c r="E46" s="155"/>
      <c r="F46" s="155"/>
      <c r="G46" s="155"/>
      <c r="H46" s="149"/>
      <c r="I46" s="155">
        <v>13335900</v>
      </c>
      <c r="J46" s="155">
        <v>0</v>
      </c>
      <c r="K46" s="149">
        <f t="shared" si="15"/>
        <v>0</v>
      </c>
      <c r="L46" s="155"/>
      <c r="M46" s="160"/>
      <c r="N46" s="155">
        <f t="shared" si="13"/>
        <v>0</v>
      </c>
      <c r="O46" s="50"/>
      <c r="P46" s="12"/>
    </row>
    <row r="47" spans="1:16" s="18" customFormat="1" ht="276" thickTop="1" thickBot="1" x14ac:dyDescent="0.25">
      <c r="A47" s="58" t="s">
        <v>124</v>
      </c>
      <c r="B47" s="75" t="s">
        <v>125</v>
      </c>
      <c r="C47" s="75" t="s">
        <v>103</v>
      </c>
      <c r="D47" s="75" t="s">
        <v>536</v>
      </c>
      <c r="E47" s="155">
        <v>5255400</v>
      </c>
      <c r="F47" s="155">
        <v>1578000</v>
      </c>
      <c r="G47" s="155">
        <v>1527632.17</v>
      </c>
      <c r="H47" s="149">
        <f t="shared" si="5"/>
        <v>0.96808122306717359</v>
      </c>
      <c r="I47" s="155"/>
      <c r="J47" s="155"/>
      <c r="K47" s="149"/>
      <c r="L47" s="155"/>
      <c r="M47" s="160"/>
      <c r="N47" s="155">
        <f t="shared" si="13"/>
        <v>1527632.17</v>
      </c>
      <c r="O47" s="20"/>
      <c r="P47" s="12"/>
    </row>
    <row r="48" spans="1:16" s="18" customFormat="1" ht="276" hidden="1" thickTop="1" thickBot="1" x14ac:dyDescent="0.25">
      <c r="A48" s="57"/>
      <c r="B48" s="92" t="s">
        <v>126</v>
      </c>
      <c r="C48" s="92" t="s">
        <v>103</v>
      </c>
      <c r="D48" s="75" t="s">
        <v>537</v>
      </c>
      <c r="E48" s="93"/>
      <c r="F48" s="93"/>
      <c r="G48" s="93"/>
      <c r="H48" s="91" t="e">
        <f t="shared" si="5"/>
        <v>#DIV/0!</v>
      </c>
      <c r="I48" s="99"/>
      <c r="J48" s="99"/>
      <c r="K48" s="100"/>
      <c r="L48" s="121"/>
      <c r="M48" s="121"/>
      <c r="N48" s="93">
        <f t="shared" ref="N48:N51" si="16">G48+J48</f>
        <v>0</v>
      </c>
      <c r="O48" s="20"/>
      <c r="P48" s="12"/>
    </row>
    <row r="49" spans="1:16" s="18" customFormat="1" ht="230.25" hidden="1" thickTop="1" thickBot="1" x14ac:dyDescent="0.25">
      <c r="A49" s="8"/>
      <c r="B49" s="95" t="s">
        <v>411</v>
      </c>
      <c r="C49" s="95"/>
      <c r="D49" s="76" t="s">
        <v>538</v>
      </c>
      <c r="E49" s="96">
        <f>E51+E50</f>
        <v>0</v>
      </c>
      <c r="F49" s="96">
        <f>F51+F50</f>
        <v>0</v>
      </c>
      <c r="G49" s="96">
        <f>G51+G50</f>
        <v>0</v>
      </c>
      <c r="H49" s="97">
        <v>0</v>
      </c>
      <c r="I49" s="96">
        <f>I51+I50</f>
        <v>0</v>
      </c>
      <c r="J49" s="96">
        <f>J51+J50</f>
        <v>0</v>
      </c>
      <c r="K49" s="97" t="e">
        <f>J49/I49</f>
        <v>#DIV/0!</v>
      </c>
      <c r="L49" s="102"/>
      <c r="M49" s="102"/>
      <c r="N49" s="96">
        <f>G49+J49</f>
        <v>0</v>
      </c>
      <c r="O49" s="50" t="s">
        <v>391</v>
      </c>
      <c r="P49" s="12"/>
    </row>
    <row r="50" spans="1:16" s="18" customFormat="1" ht="367.5" hidden="1" thickTop="1" thickBot="1" x14ac:dyDescent="0.25">
      <c r="A50" s="8"/>
      <c r="B50" s="92" t="s">
        <v>424</v>
      </c>
      <c r="C50" s="92" t="s">
        <v>103</v>
      </c>
      <c r="D50" s="75" t="s">
        <v>539</v>
      </c>
      <c r="E50" s="93"/>
      <c r="F50" s="93"/>
      <c r="G50" s="93"/>
      <c r="H50" s="91">
        <v>0</v>
      </c>
      <c r="I50" s="93"/>
      <c r="J50" s="93"/>
      <c r="K50" s="91" t="e">
        <f>J50/I50</f>
        <v>#DIV/0!</v>
      </c>
      <c r="L50" s="103"/>
      <c r="M50" s="103"/>
      <c r="N50" s="93">
        <f>G50+J50</f>
        <v>0</v>
      </c>
      <c r="O50" s="50" t="s">
        <v>391</v>
      </c>
      <c r="P50" s="12"/>
    </row>
    <row r="51" spans="1:16" s="18" customFormat="1" ht="354.75" hidden="1" customHeight="1" thickTop="1" thickBot="1" x14ac:dyDescent="0.25">
      <c r="A51" s="8"/>
      <c r="B51" s="92" t="s">
        <v>412</v>
      </c>
      <c r="C51" s="92" t="s">
        <v>103</v>
      </c>
      <c r="D51" s="75" t="s">
        <v>540</v>
      </c>
      <c r="E51" s="93"/>
      <c r="F51" s="93"/>
      <c r="G51" s="93"/>
      <c r="H51" s="91">
        <v>0</v>
      </c>
      <c r="I51" s="93"/>
      <c r="J51" s="93"/>
      <c r="K51" s="91" t="e">
        <f>J51/I51</f>
        <v>#DIV/0!</v>
      </c>
      <c r="L51" s="103"/>
      <c r="M51" s="103"/>
      <c r="N51" s="93">
        <f t="shared" si="16"/>
        <v>0</v>
      </c>
      <c r="O51" s="50" t="s">
        <v>391</v>
      </c>
      <c r="P51" s="12"/>
    </row>
    <row r="52" spans="1:16" s="18" customFormat="1" ht="276" thickTop="1" thickBot="1" x14ac:dyDescent="0.25">
      <c r="A52" s="57"/>
      <c r="B52" s="76" t="s">
        <v>491</v>
      </c>
      <c r="C52" s="76"/>
      <c r="D52" s="76" t="s">
        <v>541</v>
      </c>
      <c r="E52" s="156">
        <f>SUM(E53:E54)</f>
        <v>0</v>
      </c>
      <c r="F52" s="156">
        <f>SUM(F53:F54)</f>
        <v>0</v>
      </c>
      <c r="G52" s="156">
        <f>SUM(G53:G54)</f>
        <v>0</v>
      </c>
      <c r="H52" s="157">
        <v>0</v>
      </c>
      <c r="I52" s="156">
        <f>SUM(I53:I54)</f>
        <v>5000000</v>
      </c>
      <c r="J52" s="156">
        <f>SUM(J53:J54)</f>
        <v>4649614.3</v>
      </c>
      <c r="K52" s="157">
        <f>J52/I52</f>
        <v>0.92992286000000002</v>
      </c>
      <c r="L52" s="163"/>
      <c r="M52" s="163"/>
      <c r="N52" s="156">
        <f t="shared" ref="N52:N61" si="17">G52+J52</f>
        <v>4649614.3</v>
      </c>
      <c r="O52" s="50" t="s">
        <v>391</v>
      </c>
      <c r="P52" s="12"/>
    </row>
    <row r="53" spans="1:16" s="18" customFormat="1" ht="409.6" thickTop="1" thickBot="1" x14ac:dyDescent="0.25">
      <c r="A53" s="57"/>
      <c r="B53" s="75" t="s">
        <v>502</v>
      </c>
      <c r="C53" s="75" t="s">
        <v>103</v>
      </c>
      <c r="D53" s="75" t="s">
        <v>542</v>
      </c>
      <c r="E53" s="155"/>
      <c r="F53" s="155"/>
      <c r="G53" s="155"/>
      <c r="H53" s="149"/>
      <c r="I53" s="155">
        <v>5000000</v>
      </c>
      <c r="J53" s="155">
        <v>4649614.3</v>
      </c>
      <c r="K53" s="149">
        <f t="shared" ref="K53" si="18">J53/I53</f>
        <v>0.92992286000000002</v>
      </c>
      <c r="L53" s="164"/>
      <c r="M53" s="164"/>
      <c r="N53" s="155">
        <f t="shared" si="17"/>
        <v>4649614.3</v>
      </c>
      <c r="O53" s="52"/>
      <c r="P53" s="12"/>
    </row>
    <row r="54" spans="1:16" s="18" customFormat="1" ht="184.5" hidden="1" thickTop="1" thickBot="1" x14ac:dyDescent="0.25">
      <c r="A54" s="57"/>
      <c r="B54" s="92" t="s">
        <v>490</v>
      </c>
      <c r="C54" s="92" t="s">
        <v>103</v>
      </c>
      <c r="D54" s="92" t="s">
        <v>489</v>
      </c>
      <c r="E54" s="93"/>
      <c r="F54" s="93"/>
      <c r="G54" s="93"/>
      <c r="H54" s="91"/>
      <c r="I54" s="93"/>
      <c r="J54" s="93"/>
      <c r="K54" s="91" t="e">
        <f t="shared" ref="K54" si="19">J54/I54</f>
        <v>#DIV/0!</v>
      </c>
      <c r="L54" s="103"/>
      <c r="M54" s="103"/>
      <c r="N54" s="93">
        <f t="shared" si="17"/>
        <v>0</v>
      </c>
      <c r="O54" s="52"/>
      <c r="P54" s="12"/>
    </row>
    <row r="55" spans="1:16" s="18" customFormat="1" ht="321.75" hidden="1" thickTop="1" thickBot="1" x14ac:dyDescent="0.25">
      <c r="A55" s="57"/>
      <c r="B55" s="95" t="s">
        <v>506</v>
      </c>
      <c r="C55" s="95"/>
      <c r="D55" s="76" t="s">
        <v>505</v>
      </c>
      <c r="E55" s="96">
        <f>SUM(E56:E57)</f>
        <v>0</v>
      </c>
      <c r="F55" s="96">
        <f>SUM(F56:F57)</f>
        <v>0</v>
      </c>
      <c r="G55" s="96">
        <f>SUM(G56:G57)</f>
        <v>0</v>
      </c>
      <c r="H55" s="97" t="e">
        <f>G55/F55</f>
        <v>#DIV/0!</v>
      </c>
      <c r="I55" s="96">
        <f>SUM(I56:I57)</f>
        <v>0</v>
      </c>
      <c r="J55" s="96">
        <f>SUM(J56:J57)</f>
        <v>0</v>
      </c>
      <c r="K55" s="97" t="e">
        <f>J55/I55</f>
        <v>#DIV/0!</v>
      </c>
      <c r="L55" s="96"/>
      <c r="M55" s="96"/>
      <c r="N55" s="96">
        <f t="shared" si="17"/>
        <v>0</v>
      </c>
      <c r="O55" s="50"/>
      <c r="P55" s="12"/>
    </row>
    <row r="56" spans="1:16" s="18" customFormat="1" ht="321.75" hidden="1" thickTop="1" thickBot="1" x14ac:dyDescent="0.25">
      <c r="A56" s="57"/>
      <c r="B56" s="92" t="s">
        <v>507</v>
      </c>
      <c r="C56" s="92" t="s">
        <v>103</v>
      </c>
      <c r="D56" s="75" t="s">
        <v>509</v>
      </c>
      <c r="E56" s="93"/>
      <c r="F56" s="93"/>
      <c r="G56" s="93"/>
      <c r="H56" s="91" t="e">
        <f>G56/F56</f>
        <v>#DIV/0!</v>
      </c>
      <c r="I56" s="93"/>
      <c r="J56" s="93"/>
      <c r="K56" s="91" t="e">
        <f>J56/I56</f>
        <v>#DIV/0!</v>
      </c>
      <c r="L56" s="103"/>
      <c r="M56" s="103"/>
      <c r="N56" s="93">
        <f t="shared" si="17"/>
        <v>0</v>
      </c>
      <c r="O56" s="50"/>
      <c r="P56" s="12"/>
    </row>
    <row r="57" spans="1:16" s="18" customFormat="1" ht="321.75" hidden="1" thickTop="1" thickBot="1" x14ac:dyDescent="0.25">
      <c r="A57" s="57"/>
      <c r="B57" s="92" t="s">
        <v>508</v>
      </c>
      <c r="C57" s="92" t="s">
        <v>103</v>
      </c>
      <c r="D57" s="75" t="s">
        <v>510</v>
      </c>
      <c r="E57" s="93"/>
      <c r="F57" s="93"/>
      <c r="G57" s="93"/>
      <c r="H57" s="97"/>
      <c r="I57" s="93"/>
      <c r="J57" s="93"/>
      <c r="K57" s="91" t="e">
        <f t="shared" ref="K57" si="20">J57/I57</f>
        <v>#DIV/0!</v>
      </c>
      <c r="L57" s="103"/>
      <c r="M57" s="103"/>
      <c r="N57" s="93">
        <f t="shared" si="17"/>
        <v>0</v>
      </c>
      <c r="O57" s="50"/>
      <c r="P57" s="12"/>
    </row>
    <row r="58" spans="1:16" s="18" customFormat="1" ht="62.25" thickTop="1" thickBot="1" x14ac:dyDescent="0.25">
      <c r="A58" s="57"/>
      <c r="B58" s="75" t="s">
        <v>582</v>
      </c>
      <c r="C58" s="75" t="s">
        <v>103</v>
      </c>
      <c r="D58" s="75" t="s">
        <v>583</v>
      </c>
      <c r="E58" s="155"/>
      <c r="F58" s="155"/>
      <c r="G58" s="155"/>
      <c r="H58" s="157"/>
      <c r="I58" s="155">
        <f>5000000+18532009</f>
        <v>23532009</v>
      </c>
      <c r="J58" s="155">
        <f>2439910.55+4081784.07</f>
        <v>6521694.6199999992</v>
      </c>
      <c r="K58" s="149">
        <f t="shared" ref="K58:K59" si="21">J58/I58</f>
        <v>0.2771414297861266</v>
      </c>
      <c r="L58" s="164"/>
      <c r="M58" s="164"/>
      <c r="N58" s="155">
        <f t="shared" ref="N58:N59" si="22">G58+J58</f>
        <v>6521694.6199999992</v>
      </c>
      <c r="O58" s="52"/>
      <c r="P58" s="12"/>
    </row>
    <row r="59" spans="1:16" s="18" customFormat="1" ht="123" thickTop="1" thickBot="1" x14ac:dyDescent="0.25">
      <c r="A59" s="57"/>
      <c r="B59" s="76" t="s">
        <v>584</v>
      </c>
      <c r="C59" s="76"/>
      <c r="D59" s="76" t="s">
        <v>585</v>
      </c>
      <c r="E59" s="156">
        <f>E60</f>
        <v>0</v>
      </c>
      <c r="F59" s="156">
        <f>F60</f>
        <v>0</v>
      </c>
      <c r="G59" s="156">
        <f>G60</f>
        <v>0</v>
      </c>
      <c r="H59" s="149">
        <v>0</v>
      </c>
      <c r="I59" s="156">
        <f t="shared" ref="I59:J59" si="23">I60</f>
        <v>42063000</v>
      </c>
      <c r="J59" s="156">
        <f t="shared" si="23"/>
        <v>8330074.3700000001</v>
      </c>
      <c r="K59" s="157">
        <f t="shared" si="21"/>
        <v>0.19803804697715333</v>
      </c>
      <c r="L59" s="163"/>
      <c r="M59" s="163"/>
      <c r="N59" s="156">
        <f t="shared" si="22"/>
        <v>8330074.3700000001</v>
      </c>
      <c r="O59" s="50" t="s">
        <v>391</v>
      </c>
      <c r="P59" s="12"/>
    </row>
    <row r="60" spans="1:16" s="18" customFormat="1" ht="184.5" thickTop="1" thickBot="1" x14ac:dyDescent="0.25">
      <c r="A60" s="57"/>
      <c r="B60" s="75" t="s">
        <v>587</v>
      </c>
      <c r="C60" s="75" t="s">
        <v>103</v>
      </c>
      <c r="D60" s="75" t="s">
        <v>586</v>
      </c>
      <c r="E60" s="155"/>
      <c r="F60" s="155"/>
      <c r="G60" s="155"/>
      <c r="H60" s="157"/>
      <c r="I60" s="155">
        <v>42063000</v>
      </c>
      <c r="J60" s="155">
        <v>8330074.3700000001</v>
      </c>
      <c r="K60" s="149">
        <f>J60/I60</f>
        <v>0.19803804697715333</v>
      </c>
      <c r="L60" s="164"/>
      <c r="M60" s="164"/>
      <c r="N60" s="155">
        <f t="shared" si="17"/>
        <v>8330074.3700000001</v>
      </c>
      <c r="O60" s="52"/>
      <c r="P60" s="12"/>
    </row>
    <row r="61" spans="1:16" s="18" customFormat="1" ht="184.5" thickTop="1" thickBot="1" x14ac:dyDescent="0.25">
      <c r="A61" s="57"/>
      <c r="B61" s="75" t="s">
        <v>576</v>
      </c>
      <c r="C61" s="75" t="s">
        <v>103</v>
      </c>
      <c r="D61" s="75" t="s">
        <v>575</v>
      </c>
      <c r="E61" s="155">
        <v>38198300</v>
      </c>
      <c r="F61" s="155">
        <v>19099200</v>
      </c>
      <c r="G61" s="155">
        <v>17566356.109999999</v>
      </c>
      <c r="H61" s="149">
        <f>G61/F61</f>
        <v>0.91974303164530447</v>
      </c>
      <c r="I61" s="155"/>
      <c r="J61" s="155"/>
      <c r="K61" s="149"/>
      <c r="L61" s="164"/>
      <c r="M61" s="164"/>
      <c r="N61" s="155">
        <f t="shared" si="17"/>
        <v>17566356.109999999</v>
      </c>
      <c r="O61" s="52"/>
      <c r="P61" s="12"/>
    </row>
    <row r="62" spans="1:16" ht="91.5" thickTop="1" thickBot="1" x14ac:dyDescent="0.25">
      <c r="A62" s="57" t="s">
        <v>130</v>
      </c>
      <c r="B62" s="77" t="s">
        <v>131</v>
      </c>
      <c r="C62" s="77"/>
      <c r="D62" s="78" t="s">
        <v>132</v>
      </c>
      <c r="E62" s="79">
        <f>SUM(E63:E76)-E68-E70-E72-E75</f>
        <v>99813319</v>
      </c>
      <c r="F62" s="79">
        <f t="shared" ref="F62:G62" si="24">SUM(F63:F76)-F68-F70-F72-F75</f>
        <v>35718882</v>
      </c>
      <c r="G62" s="79">
        <f t="shared" si="24"/>
        <v>24251155.760000002</v>
      </c>
      <c r="H62" s="80">
        <f>G62/F62</f>
        <v>0.67894498377636792</v>
      </c>
      <c r="I62" s="79">
        <f>SUM(I63:I76)-I68-I70-I72-I75</f>
        <v>14540852</v>
      </c>
      <c r="J62" s="79">
        <f t="shared" ref="J62" si="25">SUM(J63:J76)-J68-J70-J72-J75</f>
        <v>3471177.5</v>
      </c>
      <c r="K62" s="80">
        <f>J62/I62</f>
        <v>0.23871898978134157</v>
      </c>
      <c r="L62" s="79"/>
      <c r="M62" s="79"/>
      <c r="N62" s="81">
        <f>J62+G62</f>
        <v>27722333.260000002</v>
      </c>
      <c r="O62" s="53" t="b">
        <f>N62=N63+N64+N65+N66+N69+N73+N74</f>
        <v>1</v>
      </c>
      <c r="P62" s="24"/>
    </row>
    <row r="63" spans="1:16" ht="93" thickTop="1" thickBot="1" x14ac:dyDescent="0.25">
      <c r="A63" s="58" t="s">
        <v>133</v>
      </c>
      <c r="B63" s="75" t="s">
        <v>134</v>
      </c>
      <c r="C63" s="75" t="s">
        <v>135</v>
      </c>
      <c r="D63" s="75" t="s">
        <v>136</v>
      </c>
      <c r="E63" s="155">
        <v>28342986</v>
      </c>
      <c r="F63" s="155">
        <v>11144675</v>
      </c>
      <c r="G63" s="155">
        <v>7102828.8099999996</v>
      </c>
      <c r="H63" s="149">
        <f>G63/F63</f>
        <v>0.63732938017483687</v>
      </c>
      <c r="I63" s="155">
        <v>8413552</v>
      </c>
      <c r="J63" s="155">
        <v>798487.74</v>
      </c>
      <c r="K63" s="149">
        <f>J63/I63</f>
        <v>9.4904950964824361E-2</v>
      </c>
      <c r="L63" s="155"/>
      <c r="M63" s="160"/>
      <c r="N63" s="155">
        <f>G63+J63</f>
        <v>7901316.5499999998</v>
      </c>
      <c r="P63" s="17"/>
    </row>
    <row r="64" spans="1:16" ht="93" thickTop="1" thickBot="1" x14ac:dyDescent="0.25">
      <c r="A64" s="58" t="s">
        <v>137</v>
      </c>
      <c r="B64" s="75" t="s">
        <v>138</v>
      </c>
      <c r="C64" s="75" t="s">
        <v>139</v>
      </c>
      <c r="D64" s="75" t="s">
        <v>140</v>
      </c>
      <c r="E64" s="155">
        <v>8260600</v>
      </c>
      <c r="F64" s="155">
        <v>3812220</v>
      </c>
      <c r="G64" s="155">
        <v>2309149.2799999998</v>
      </c>
      <c r="H64" s="149">
        <f t="shared" ref="H64:H66" si="26">G64/F64</f>
        <v>0.60572298555697202</v>
      </c>
      <c r="I64" s="155"/>
      <c r="J64" s="155"/>
      <c r="K64" s="149"/>
      <c r="L64" s="155"/>
      <c r="M64" s="160"/>
      <c r="N64" s="155">
        <f t="shared" ref="N64:N133" si="27">G64+J64</f>
        <v>2309149.2799999998</v>
      </c>
      <c r="P64" s="24"/>
    </row>
    <row r="65" spans="1:18" ht="93" thickTop="1" thickBot="1" x14ac:dyDescent="0.25">
      <c r="A65" s="75" t="s">
        <v>141</v>
      </c>
      <c r="B65" s="75" t="s">
        <v>142</v>
      </c>
      <c r="C65" s="75" t="s">
        <v>143</v>
      </c>
      <c r="D65" s="75" t="s">
        <v>144</v>
      </c>
      <c r="E65" s="155">
        <v>8489900</v>
      </c>
      <c r="F65" s="155">
        <v>3811300</v>
      </c>
      <c r="G65" s="155">
        <v>3046914.52</v>
      </c>
      <c r="H65" s="149">
        <f t="shared" si="26"/>
        <v>0.79944232151759242</v>
      </c>
      <c r="I65" s="155">
        <v>6127300</v>
      </c>
      <c r="J65" s="155">
        <v>2672689.7599999998</v>
      </c>
      <c r="K65" s="149">
        <f>J65/I65</f>
        <v>0.43619371664517809</v>
      </c>
      <c r="L65" s="155"/>
      <c r="M65" s="160"/>
      <c r="N65" s="155">
        <f t="shared" si="27"/>
        <v>5719604.2799999993</v>
      </c>
      <c r="P65" s="24"/>
    </row>
    <row r="66" spans="1:18" ht="93" thickTop="1" thickBot="1" x14ac:dyDescent="0.25">
      <c r="A66" s="58" t="s">
        <v>145</v>
      </c>
      <c r="B66" s="75" t="s">
        <v>146</v>
      </c>
      <c r="C66" s="75" t="s">
        <v>147</v>
      </c>
      <c r="D66" s="75" t="s">
        <v>148</v>
      </c>
      <c r="E66" s="155">
        <v>24013785</v>
      </c>
      <c r="F66" s="155">
        <v>7714770</v>
      </c>
      <c r="G66" s="155">
        <v>4808529.49</v>
      </c>
      <c r="H66" s="149">
        <f t="shared" si="26"/>
        <v>0.62328876816807244</v>
      </c>
      <c r="I66" s="155"/>
      <c r="J66" s="155"/>
      <c r="K66" s="149"/>
      <c r="L66" s="155"/>
      <c r="M66" s="160"/>
      <c r="N66" s="155">
        <f t="shared" si="27"/>
        <v>4808529.49</v>
      </c>
      <c r="O66" s="50"/>
      <c r="P66" s="24"/>
    </row>
    <row r="67" spans="1:18" ht="93" hidden="1" thickTop="1" thickBot="1" x14ac:dyDescent="0.25">
      <c r="A67" s="58" t="s">
        <v>149</v>
      </c>
      <c r="B67" s="98" t="s">
        <v>150</v>
      </c>
      <c r="C67" s="98" t="s">
        <v>151</v>
      </c>
      <c r="D67" s="98" t="s">
        <v>152</v>
      </c>
      <c r="E67" s="99"/>
      <c r="F67" s="99"/>
      <c r="G67" s="99"/>
      <c r="H67" s="100"/>
      <c r="I67" s="99"/>
      <c r="J67" s="99"/>
      <c r="K67" s="100" t="e">
        <f>J67/I67</f>
        <v>#DIV/0!</v>
      </c>
      <c r="L67" s="99"/>
      <c r="M67" s="101"/>
      <c r="N67" s="99">
        <f t="shared" si="27"/>
        <v>0</v>
      </c>
      <c r="P67" s="24"/>
    </row>
    <row r="68" spans="1:18" ht="123" thickTop="1" thickBot="1" x14ac:dyDescent="0.25">
      <c r="A68" s="58" t="s">
        <v>153</v>
      </c>
      <c r="B68" s="76" t="s">
        <v>154</v>
      </c>
      <c r="C68" s="76"/>
      <c r="D68" s="76" t="s">
        <v>155</v>
      </c>
      <c r="E68" s="156">
        <f t="shared" ref="E68:G68" si="28">E69</f>
        <v>20992313</v>
      </c>
      <c r="F68" s="156">
        <f t="shared" si="28"/>
        <v>6307200</v>
      </c>
      <c r="G68" s="156">
        <f t="shared" si="28"/>
        <v>4819996.34</v>
      </c>
      <c r="H68" s="157">
        <f t="shared" ref="H68:H69" si="29">G68/F68</f>
        <v>0.76420540651953317</v>
      </c>
      <c r="I68" s="156">
        <f>I69</f>
        <v>0</v>
      </c>
      <c r="J68" s="156">
        <f t="shared" ref="J68" si="30">J69</f>
        <v>0</v>
      </c>
      <c r="K68" s="157">
        <v>0</v>
      </c>
      <c r="L68" s="156"/>
      <c r="M68" s="156"/>
      <c r="N68" s="156">
        <f t="shared" si="27"/>
        <v>4819996.34</v>
      </c>
      <c r="O68" s="50" t="s">
        <v>391</v>
      </c>
      <c r="P68" s="24"/>
    </row>
    <row r="69" spans="1:18" ht="138.75" thickTop="1" thickBot="1" x14ac:dyDescent="0.25">
      <c r="A69" s="58" t="s">
        <v>156</v>
      </c>
      <c r="B69" s="75" t="s">
        <v>157</v>
      </c>
      <c r="C69" s="75" t="s">
        <v>158</v>
      </c>
      <c r="D69" s="75" t="s">
        <v>159</v>
      </c>
      <c r="E69" s="155">
        <v>20992313</v>
      </c>
      <c r="F69" s="155">
        <v>6307200</v>
      </c>
      <c r="G69" s="155">
        <v>4819996.34</v>
      </c>
      <c r="H69" s="149">
        <f t="shared" si="29"/>
        <v>0.76420540651953317</v>
      </c>
      <c r="I69" s="155"/>
      <c r="J69" s="155"/>
      <c r="K69" s="149"/>
      <c r="L69" s="155"/>
      <c r="M69" s="160"/>
      <c r="N69" s="155">
        <f t="shared" si="27"/>
        <v>4819996.34</v>
      </c>
      <c r="P69" s="24"/>
    </row>
    <row r="70" spans="1:18" ht="138.75" hidden="1" customHeight="1" thickTop="1" thickBot="1" x14ac:dyDescent="0.25">
      <c r="A70" s="59" t="s">
        <v>160</v>
      </c>
      <c r="B70" s="122" t="s">
        <v>161</v>
      </c>
      <c r="C70" s="122"/>
      <c r="D70" s="122" t="s">
        <v>162</v>
      </c>
      <c r="E70" s="104">
        <f t="shared" ref="E70:G70" si="31">E71</f>
        <v>0</v>
      </c>
      <c r="F70" s="104">
        <f t="shared" si="31"/>
        <v>0</v>
      </c>
      <c r="G70" s="104">
        <f t="shared" si="31"/>
        <v>0</v>
      </c>
      <c r="H70" s="123"/>
      <c r="I70" s="104"/>
      <c r="J70" s="104"/>
      <c r="K70" s="123"/>
      <c r="L70" s="104"/>
      <c r="M70" s="104"/>
      <c r="N70" s="104">
        <f t="shared" si="27"/>
        <v>0</v>
      </c>
      <c r="O70" s="50"/>
      <c r="P70" s="24"/>
    </row>
    <row r="71" spans="1:18" ht="138.75" hidden="1" customHeight="1" thickTop="1" thickBot="1" x14ac:dyDescent="0.25">
      <c r="A71" s="58" t="s">
        <v>163</v>
      </c>
      <c r="B71" s="98" t="s">
        <v>164</v>
      </c>
      <c r="C71" s="98" t="s">
        <v>165</v>
      </c>
      <c r="D71" s="98" t="s">
        <v>166</v>
      </c>
      <c r="E71" s="99"/>
      <c r="F71" s="99"/>
      <c r="G71" s="99"/>
      <c r="H71" s="100"/>
      <c r="I71" s="99"/>
      <c r="J71" s="99"/>
      <c r="K71" s="99"/>
      <c r="L71" s="99"/>
      <c r="M71" s="101"/>
      <c r="N71" s="99">
        <f t="shared" si="27"/>
        <v>0</v>
      </c>
      <c r="P71" s="24"/>
    </row>
    <row r="72" spans="1:18" ht="123" thickTop="1" thickBot="1" x14ac:dyDescent="0.25">
      <c r="A72" s="58" t="s">
        <v>167</v>
      </c>
      <c r="B72" s="76" t="s">
        <v>168</v>
      </c>
      <c r="C72" s="76"/>
      <c r="D72" s="76" t="s">
        <v>543</v>
      </c>
      <c r="E72" s="156">
        <f t="shared" ref="E72:J72" si="32">SUM(E73:E74)</f>
        <v>9713735</v>
      </c>
      <c r="F72" s="156">
        <f t="shared" si="32"/>
        <v>2928717</v>
      </c>
      <c r="G72" s="156">
        <f t="shared" si="32"/>
        <v>2163737.3199999998</v>
      </c>
      <c r="H72" s="157">
        <f t="shared" ref="H72:H74" si="33">G72/F72</f>
        <v>0.73880040987230922</v>
      </c>
      <c r="I72" s="156">
        <f t="shared" si="32"/>
        <v>0</v>
      </c>
      <c r="J72" s="156">
        <f t="shared" si="32"/>
        <v>0</v>
      </c>
      <c r="K72" s="157">
        <v>0</v>
      </c>
      <c r="L72" s="156"/>
      <c r="M72" s="156"/>
      <c r="N72" s="156">
        <f t="shared" si="27"/>
        <v>2163737.3199999998</v>
      </c>
      <c r="O72" s="50" t="s">
        <v>391</v>
      </c>
      <c r="P72" s="24"/>
    </row>
    <row r="73" spans="1:18" s="18" customFormat="1" ht="93" thickTop="1" thickBot="1" x14ac:dyDescent="0.25">
      <c r="A73" s="58" t="s">
        <v>169</v>
      </c>
      <c r="B73" s="75" t="s">
        <v>170</v>
      </c>
      <c r="C73" s="75" t="s">
        <v>165</v>
      </c>
      <c r="D73" s="136" t="s">
        <v>544</v>
      </c>
      <c r="E73" s="155">
        <v>4424235</v>
      </c>
      <c r="F73" s="155">
        <v>1177970</v>
      </c>
      <c r="G73" s="155">
        <v>835409.32</v>
      </c>
      <c r="H73" s="149">
        <f t="shared" si="33"/>
        <v>0.70919405417795012</v>
      </c>
      <c r="I73" s="155"/>
      <c r="J73" s="155"/>
      <c r="K73" s="149"/>
      <c r="L73" s="155"/>
      <c r="M73" s="160"/>
      <c r="N73" s="155">
        <f t="shared" si="27"/>
        <v>835409.32</v>
      </c>
      <c r="O73" s="20"/>
      <c r="P73" s="24"/>
    </row>
    <row r="74" spans="1:18" s="18" customFormat="1" ht="93" thickTop="1" thickBot="1" x14ac:dyDescent="0.25">
      <c r="A74" s="58" t="s">
        <v>171</v>
      </c>
      <c r="B74" s="75" t="s">
        <v>172</v>
      </c>
      <c r="C74" s="75" t="s">
        <v>165</v>
      </c>
      <c r="D74" s="136" t="s">
        <v>545</v>
      </c>
      <c r="E74" s="155">
        <v>5289500</v>
      </c>
      <c r="F74" s="155">
        <v>1750747</v>
      </c>
      <c r="G74" s="155">
        <v>1328328</v>
      </c>
      <c r="H74" s="149">
        <f t="shared" si="33"/>
        <v>0.75872070607574937</v>
      </c>
      <c r="I74" s="155"/>
      <c r="J74" s="155"/>
      <c r="K74" s="155"/>
      <c r="L74" s="155"/>
      <c r="M74" s="160"/>
      <c r="N74" s="155">
        <f t="shared" si="27"/>
        <v>1328328</v>
      </c>
      <c r="O74" s="20"/>
      <c r="P74" s="24"/>
    </row>
    <row r="75" spans="1:18" s="18" customFormat="1" ht="123" hidden="1" thickTop="1" thickBot="1" x14ac:dyDescent="0.25">
      <c r="A75" s="58"/>
      <c r="B75" s="95" t="s">
        <v>514</v>
      </c>
      <c r="C75" s="95"/>
      <c r="D75" s="76" t="s">
        <v>513</v>
      </c>
      <c r="E75" s="96">
        <f>E76</f>
        <v>0</v>
      </c>
      <c r="F75" s="96">
        <f>F76</f>
        <v>0</v>
      </c>
      <c r="G75" s="96">
        <f>G76</f>
        <v>0</v>
      </c>
      <c r="H75" s="97">
        <v>0</v>
      </c>
      <c r="I75" s="96">
        <v>0</v>
      </c>
      <c r="J75" s="96">
        <v>0</v>
      </c>
      <c r="K75" s="97">
        <v>0</v>
      </c>
      <c r="L75" s="96"/>
      <c r="M75" s="96"/>
      <c r="N75" s="96">
        <f t="shared" ref="N75:N76" si="34">G75+J75</f>
        <v>0</v>
      </c>
      <c r="O75" s="50" t="s">
        <v>391</v>
      </c>
      <c r="P75" s="24"/>
    </row>
    <row r="76" spans="1:18" s="18" customFormat="1" ht="184.5" hidden="1" thickTop="1" thickBot="1" x14ac:dyDescent="0.25">
      <c r="A76" s="58"/>
      <c r="B76" s="92" t="s">
        <v>515</v>
      </c>
      <c r="C76" s="92" t="s">
        <v>165</v>
      </c>
      <c r="D76" s="136" t="s">
        <v>516</v>
      </c>
      <c r="E76" s="93"/>
      <c r="F76" s="93"/>
      <c r="G76" s="93"/>
      <c r="H76" s="91">
        <v>0</v>
      </c>
      <c r="I76" s="93">
        <v>0</v>
      </c>
      <c r="J76" s="93">
        <v>0</v>
      </c>
      <c r="K76" s="91">
        <v>0</v>
      </c>
      <c r="L76" s="93"/>
      <c r="M76" s="94"/>
      <c r="N76" s="93">
        <f t="shared" si="34"/>
        <v>0</v>
      </c>
      <c r="O76" s="50" t="s">
        <v>391</v>
      </c>
      <c r="P76" s="24"/>
    </row>
    <row r="77" spans="1:18" ht="99" customHeight="1" thickTop="1" thickBot="1" x14ac:dyDescent="0.25">
      <c r="A77" s="57" t="s">
        <v>174</v>
      </c>
      <c r="B77" s="77" t="s">
        <v>127</v>
      </c>
      <c r="C77" s="77"/>
      <c r="D77" s="78" t="s">
        <v>128</v>
      </c>
      <c r="E77" s="79">
        <f>SUM(E78:E133)-E78-E87-E102-E130-E99-E90-E94-E106-E120</f>
        <v>312914019</v>
      </c>
      <c r="F77" s="79">
        <f t="shared" ref="F77:G77" si="35">SUM(F78:F133)-F78-F87-F102-F130-F99-F90-F94-F106-F120</f>
        <v>102071233</v>
      </c>
      <c r="G77" s="79">
        <f t="shared" si="35"/>
        <v>84720368.11999999</v>
      </c>
      <c r="H77" s="80">
        <f>G77/F77</f>
        <v>0.8300121947189566</v>
      </c>
      <c r="I77" s="79">
        <f t="shared" ref="I77:J77" si="36">SUM(I78:I133)-I78-I87-I102-I130-I99-I90-I94-I106-I120</f>
        <v>66528256.149999991</v>
      </c>
      <c r="J77" s="79">
        <f t="shared" si="36"/>
        <v>7994380.160000002</v>
      </c>
      <c r="K77" s="80">
        <f>J77/I77</f>
        <v>0.12016518427862029</v>
      </c>
      <c r="L77" s="79"/>
      <c r="M77" s="79"/>
      <c r="N77" s="81">
        <f>J77+G77</f>
        <v>92714748.279999986</v>
      </c>
      <c r="O77" s="53" t="b">
        <f>N77=N79+N80+N81+N82+N83+N84+N85+N86+N88+N89+N91+N95+N96++N97+N98+N100+N101+N103+N104+N105+N129+N131+N132+N133+N93</f>
        <v>1</v>
      </c>
      <c r="P77" s="26"/>
      <c r="R77" s="25"/>
    </row>
    <row r="78" spans="1:18" ht="276" customHeight="1" thickTop="1" thickBot="1" x14ac:dyDescent="0.25">
      <c r="A78" s="59" t="s">
        <v>175</v>
      </c>
      <c r="B78" s="76" t="s">
        <v>176</v>
      </c>
      <c r="C78" s="76"/>
      <c r="D78" s="76" t="s">
        <v>546</v>
      </c>
      <c r="E78" s="156">
        <f t="shared" ref="E78:J78" si="37">SUM(E79:E83)</f>
        <v>92308000</v>
      </c>
      <c r="F78" s="156">
        <f t="shared" si="37"/>
        <v>18051802</v>
      </c>
      <c r="G78" s="156">
        <f t="shared" si="37"/>
        <v>16838863.93</v>
      </c>
      <c r="H78" s="157">
        <f>G78/F78</f>
        <v>0.93280792299849069</v>
      </c>
      <c r="I78" s="156">
        <f t="shared" si="37"/>
        <v>50000</v>
      </c>
      <c r="J78" s="156">
        <f t="shared" si="37"/>
        <v>0</v>
      </c>
      <c r="K78" s="157">
        <f t="shared" ref="K78:K79" si="38">J78/I78</f>
        <v>0</v>
      </c>
      <c r="L78" s="156"/>
      <c r="M78" s="156"/>
      <c r="N78" s="156">
        <f t="shared" si="27"/>
        <v>16838863.93</v>
      </c>
      <c r="O78" s="27"/>
      <c r="P78" s="28"/>
      <c r="R78" s="29"/>
    </row>
    <row r="79" spans="1:18" s="18" customFormat="1" ht="93" thickTop="1" thickBot="1" x14ac:dyDescent="0.25">
      <c r="A79" s="58" t="s">
        <v>177</v>
      </c>
      <c r="B79" s="75" t="s">
        <v>178</v>
      </c>
      <c r="C79" s="75" t="s">
        <v>76</v>
      </c>
      <c r="D79" s="165" t="s">
        <v>179</v>
      </c>
      <c r="E79" s="155">
        <v>858000</v>
      </c>
      <c r="F79" s="155">
        <v>85000</v>
      </c>
      <c r="G79" s="155">
        <v>0</v>
      </c>
      <c r="H79" s="149">
        <f>G79/F79</f>
        <v>0</v>
      </c>
      <c r="I79" s="155">
        <v>50000</v>
      </c>
      <c r="J79" s="155">
        <v>0</v>
      </c>
      <c r="K79" s="149">
        <f t="shared" si="38"/>
        <v>0</v>
      </c>
      <c r="L79" s="155"/>
      <c r="M79" s="160"/>
      <c r="N79" s="155">
        <f t="shared" si="27"/>
        <v>0</v>
      </c>
      <c r="O79" s="20"/>
      <c r="P79" s="26"/>
    </row>
    <row r="80" spans="1:18" s="18" customFormat="1" ht="93" thickTop="1" thickBot="1" x14ac:dyDescent="0.25">
      <c r="A80" s="58" t="s">
        <v>180</v>
      </c>
      <c r="B80" s="75" t="s">
        <v>181</v>
      </c>
      <c r="C80" s="75" t="s">
        <v>85</v>
      </c>
      <c r="D80" s="75" t="s">
        <v>182</v>
      </c>
      <c r="E80" s="155">
        <v>650000</v>
      </c>
      <c r="F80" s="155">
        <v>150000</v>
      </c>
      <c r="G80" s="155">
        <v>61510.51</v>
      </c>
      <c r="H80" s="149">
        <f t="shared" ref="H80:H132" si="39">G80/F80</f>
        <v>0.41007006666666668</v>
      </c>
      <c r="I80" s="155"/>
      <c r="J80" s="155"/>
      <c r="K80" s="155"/>
      <c r="L80" s="155"/>
      <c r="M80" s="160"/>
      <c r="N80" s="155">
        <f t="shared" si="27"/>
        <v>61510.51</v>
      </c>
      <c r="O80" s="20"/>
      <c r="P80" s="30"/>
    </row>
    <row r="81" spans="1:16" s="18" customFormat="1" ht="138.75" thickTop="1" thickBot="1" x14ac:dyDescent="0.25">
      <c r="A81" s="58" t="s">
        <v>183</v>
      </c>
      <c r="B81" s="75" t="s">
        <v>184</v>
      </c>
      <c r="C81" s="75" t="s">
        <v>85</v>
      </c>
      <c r="D81" s="75" t="s">
        <v>547</v>
      </c>
      <c r="E81" s="155">
        <v>40000000</v>
      </c>
      <c r="F81" s="155">
        <v>6900000</v>
      </c>
      <c r="G81" s="155">
        <v>5967048.9900000002</v>
      </c>
      <c r="H81" s="149">
        <f t="shared" si="39"/>
        <v>0.86478970869565219</v>
      </c>
      <c r="I81" s="155"/>
      <c r="J81" s="155"/>
      <c r="K81" s="155"/>
      <c r="L81" s="155"/>
      <c r="M81" s="160"/>
      <c r="N81" s="155">
        <f t="shared" si="27"/>
        <v>5967048.9900000002</v>
      </c>
      <c r="O81" s="20"/>
      <c r="P81" s="30"/>
    </row>
    <row r="82" spans="1:16" s="18" customFormat="1" ht="138.75" thickTop="1" thickBot="1" x14ac:dyDescent="0.25">
      <c r="A82" s="58" t="s">
        <v>185</v>
      </c>
      <c r="B82" s="75" t="s">
        <v>186</v>
      </c>
      <c r="C82" s="75" t="s">
        <v>85</v>
      </c>
      <c r="D82" s="75" t="s">
        <v>187</v>
      </c>
      <c r="E82" s="155">
        <v>800000</v>
      </c>
      <c r="F82" s="155">
        <v>204000</v>
      </c>
      <c r="G82" s="155">
        <v>97502.43</v>
      </c>
      <c r="H82" s="149">
        <f t="shared" si="39"/>
        <v>0.47795308823529409</v>
      </c>
      <c r="I82" s="155"/>
      <c r="J82" s="155"/>
      <c r="K82" s="155"/>
      <c r="L82" s="155"/>
      <c r="M82" s="160"/>
      <c r="N82" s="155">
        <f t="shared" si="27"/>
        <v>97502.43</v>
      </c>
      <c r="O82" s="50"/>
      <c r="P82" s="30"/>
    </row>
    <row r="83" spans="1:16" s="18" customFormat="1" ht="138.75" thickTop="1" thickBot="1" x14ac:dyDescent="0.25">
      <c r="A83" s="58" t="s">
        <v>188</v>
      </c>
      <c r="B83" s="75" t="s">
        <v>189</v>
      </c>
      <c r="C83" s="75" t="s">
        <v>85</v>
      </c>
      <c r="D83" s="75" t="s">
        <v>190</v>
      </c>
      <c r="E83" s="155">
        <v>50000000</v>
      </c>
      <c r="F83" s="155">
        <v>10712802</v>
      </c>
      <c r="G83" s="155">
        <v>10712802</v>
      </c>
      <c r="H83" s="149">
        <f t="shared" si="39"/>
        <v>1</v>
      </c>
      <c r="I83" s="155"/>
      <c r="J83" s="155"/>
      <c r="K83" s="155"/>
      <c r="L83" s="155"/>
      <c r="M83" s="160"/>
      <c r="N83" s="155">
        <f t="shared" si="27"/>
        <v>10712802</v>
      </c>
      <c r="O83" s="20"/>
      <c r="P83" s="30"/>
    </row>
    <row r="84" spans="1:16" s="18" customFormat="1" ht="138.75" thickTop="1" thickBot="1" x14ac:dyDescent="0.25">
      <c r="A84" s="58" t="s">
        <v>191</v>
      </c>
      <c r="B84" s="75" t="s">
        <v>192</v>
      </c>
      <c r="C84" s="75" t="s">
        <v>85</v>
      </c>
      <c r="D84" s="75" t="s">
        <v>193</v>
      </c>
      <c r="E84" s="155">
        <v>381295</v>
      </c>
      <c r="F84" s="155">
        <v>95323</v>
      </c>
      <c r="G84" s="155">
        <v>63098</v>
      </c>
      <c r="H84" s="149">
        <f t="shared" si="39"/>
        <v>0.66193888148715418</v>
      </c>
      <c r="I84" s="155"/>
      <c r="J84" s="155"/>
      <c r="K84" s="155"/>
      <c r="L84" s="155"/>
      <c r="M84" s="160"/>
      <c r="N84" s="155">
        <f t="shared" si="27"/>
        <v>63098</v>
      </c>
      <c r="O84" s="20"/>
      <c r="P84" s="30"/>
    </row>
    <row r="85" spans="1:16" s="18" customFormat="1" ht="165" customHeight="1" thickTop="1" thickBot="1" x14ac:dyDescent="0.25">
      <c r="A85" s="58"/>
      <c r="B85" s="75" t="s">
        <v>194</v>
      </c>
      <c r="C85" s="75" t="s">
        <v>85</v>
      </c>
      <c r="D85" s="75" t="s">
        <v>195</v>
      </c>
      <c r="E85" s="155">
        <v>2000000</v>
      </c>
      <c r="F85" s="155">
        <v>50000</v>
      </c>
      <c r="G85" s="155">
        <v>0</v>
      </c>
      <c r="H85" s="149">
        <f t="shared" si="39"/>
        <v>0</v>
      </c>
      <c r="I85" s="155"/>
      <c r="J85" s="155"/>
      <c r="K85" s="155"/>
      <c r="L85" s="155"/>
      <c r="M85" s="160"/>
      <c r="N85" s="155">
        <f>G85+J85</f>
        <v>0</v>
      </c>
      <c r="O85" s="50"/>
      <c r="P85" s="30"/>
    </row>
    <row r="86" spans="1:16" ht="93" thickTop="1" thickBot="1" x14ac:dyDescent="0.25">
      <c r="A86" s="58" t="s">
        <v>196</v>
      </c>
      <c r="B86" s="75" t="s">
        <v>197</v>
      </c>
      <c r="C86" s="75" t="s">
        <v>76</v>
      </c>
      <c r="D86" s="75" t="s">
        <v>198</v>
      </c>
      <c r="E86" s="155">
        <v>629581</v>
      </c>
      <c r="F86" s="155">
        <v>157396</v>
      </c>
      <c r="G86" s="155">
        <v>62262</v>
      </c>
      <c r="H86" s="149">
        <f t="shared" si="39"/>
        <v>0.39557549111794454</v>
      </c>
      <c r="I86" s="155"/>
      <c r="J86" s="155"/>
      <c r="K86" s="155"/>
      <c r="L86" s="155"/>
      <c r="M86" s="160"/>
      <c r="N86" s="155">
        <f t="shared" si="27"/>
        <v>62262</v>
      </c>
      <c r="P86" s="30"/>
    </row>
    <row r="87" spans="1:16" s="18" customFormat="1" ht="184.5" thickTop="1" thickBot="1" x14ac:dyDescent="0.25">
      <c r="A87" s="76" t="s">
        <v>199</v>
      </c>
      <c r="B87" s="76" t="s">
        <v>200</v>
      </c>
      <c r="C87" s="76"/>
      <c r="D87" s="76" t="s">
        <v>201</v>
      </c>
      <c r="E87" s="156">
        <f t="shared" ref="E87:J87" si="40">SUM(E88:E89)</f>
        <v>61723437</v>
      </c>
      <c r="F87" s="156">
        <f t="shared" si="40"/>
        <v>14565593</v>
      </c>
      <c r="G87" s="156">
        <f t="shared" si="40"/>
        <v>11761982.200000001</v>
      </c>
      <c r="H87" s="157">
        <f t="shared" si="39"/>
        <v>0.80751825208901562</v>
      </c>
      <c r="I87" s="156">
        <f t="shared" si="40"/>
        <v>2111756.9</v>
      </c>
      <c r="J87" s="156">
        <f t="shared" si="40"/>
        <v>822612.95000000007</v>
      </c>
      <c r="K87" s="157">
        <f t="shared" ref="K87:K92" si="41">J87/I87</f>
        <v>0.38953960562411333</v>
      </c>
      <c r="L87" s="156"/>
      <c r="M87" s="156"/>
      <c r="N87" s="156">
        <f t="shared" si="27"/>
        <v>12584595.15</v>
      </c>
      <c r="O87" s="20"/>
      <c r="P87" s="31"/>
    </row>
    <row r="88" spans="1:16" ht="184.5" thickTop="1" thickBot="1" x14ac:dyDescent="0.25">
      <c r="A88" s="75" t="s">
        <v>202</v>
      </c>
      <c r="B88" s="75" t="s">
        <v>203</v>
      </c>
      <c r="C88" s="75" t="s">
        <v>67</v>
      </c>
      <c r="D88" s="75" t="s">
        <v>204</v>
      </c>
      <c r="E88" s="155">
        <v>47853535</v>
      </c>
      <c r="F88" s="155">
        <v>10943026</v>
      </c>
      <c r="G88" s="155">
        <v>9014648.4600000009</v>
      </c>
      <c r="H88" s="149">
        <f t="shared" si="39"/>
        <v>0.82378022861318256</v>
      </c>
      <c r="I88" s="155">
        <v>1976649.39</v>
      </c>
      <c r="J88" s="155">
        <v>692830.05</v>
      </c>
      <c r="K88" s="149">
        <f t="shared" si="41"/>
        <v>0.35050730468694807</v>
      </c>
      <c r="L88" s="155"/>
      <c r="M88" s="160"/>
      <c r="N88" s="155">
        <f t="shared" si="27"/>
        <v>9707478.5100000016</v>
      </c>
      <c r="P88" s="26"/>
    </row>
    <row r="89" spans="1:16" ht="93" thickTop="1" thickBot="1" x14ac:dyDescent="0.25">
      <c r="A89" s="58" t="s">
        <v>205</v>
      </c>
      <c r="B89" s="75" t="s">
        <v>206</v>
      </c>
      <c r="C89" s="75" t="s">
        <v>63</v>
      </c>
      <c r="D89" s="75" t="s">
        <v>207</v>
      </c>
      <c r="E89" s="155">
        <v>13869902</v>
      </c>
      <c r="F89" s="155">
        <v>3622567</v>
      </c>
      <c r="G89" s="155">
        <v>2747333.74</v>
      </c>
      <c r="H89" s="149">
        <f t="shared" si="39"/>
        <v>0.75839418290952254</v>
      </c>
      <c r="I89" s="155">
        <v>135107.51</v>
      </c>
      <c r="J89" s="155">
        <v>129782.9</v>
      </c>
      <c r="K89" s="149">
        <f t="shared" si="41"/>
        <v>0.96058982953649275</v>
      </c>
      <c r="L89" s="155"/>
      <c r="M89" s="160"/>
      <c r="N89" s="155">
        <f t="shared" si="27"/>
        <v>2877116.64</v>
      </c>
      <c r="P89" s="26"/>
    </row>
    <row r="90" spans="1:16" ht="93" thickTop="1" thickBot="1" x14ac:dyDescent="0.25">
      <c r="A90" s="58"/>
      <c r="B90" s="76" t="s">
        <v>269</v>
      </c>
      <c r="C90" s="76"/>
      <c r="D90" s="76" t="s">
        <v>270</v>
      </c>
      <c r="E90" s="167">
        <f>E91+E92+E93</f>
        <v>12844965</v>
      </c>
      <c r="F90" s="167">
        <f t="shared" ref="F90:G90" si="42">F91+F92+F93</f>
        <v>3379767</v>
      </c>
      <c r="G90" s="167">
        <f t="shared" si="42"/>
        <v>2992492.98</v>
      </c>
      <c r="H90" s="157">
        <f t="shared" si="39"/>
        <v>0.88541398859743881</v>
      </c>
      <c r="I90" s="167">
        <f>I91+I92+I93</f>
        <v>99599</v>
      </c>
      <c r="J90" s="167">
        <f>J91+J92+J93</f>
        <v>47999</v>
      </c>
      <c r="K90" s="157">
        <f t="shared" si="41"/>
        <v>0.4819225092621412</v>
      </c>
      <c r="L90" s="167"/>
      <c r="M90" s="167"/>
      <c r="N90" s="156">
        <f>G90+J90</f>
        <v>3040491.98</v>
      </c>
      <c r="O90" s="50"/>
      <c r="P90" s="26"/>
    </row>
    <row r="91" spans="1:16" ht="276" thickTop="1" thickBot="1" x14ac:dyDescent="0.25">
      <c r="A91" s="58"/>
      <c r="B91" s="75" t="s">
        <v>271</v>
      </c>
      <c r="C91" s="75" t="s">
        <v>129</v>
      </c>
      <c r="D91" s="75" t="s">
        <v>548</v>
      </c>
      <c r="E91" s="166">
        <v>8619292</v>
      </c>
      <c r="F91" s="166">
        <v>2258700</v>
      </c>
      <c r="G91" s="166">
        <v>2082616.23</v>
      </c>
      <c r="H91" s="149">
        <f t="shared" si="39"/>
        <v>0.92204198432726792</v>
      </c>
      <c r="I91" s="166">
        <v>99599</v>
      </c>
      <c r="J91" s="169">
        <v>47999</v>
      </c>
      <c r="K91" s="149">
        <f t="shared" si="41"/>
        <v>0.4819225092621412</v>
      </c>
      <c r="L91" s="169"/>
      <c r="M91" s="160"/>
      <c r="N91" s="155">
        <f t="shared" si="27"/>
        <v>2130615.23</v>
      </c>
      <c r="P91" s="26"/>
    </row>
    <row r="92" spans="1:16" ht="276" hidden="1" customHeight="1" thickTop="1" thickBot="1" x14ac:dyDescent="0.25">
      <c r="A92" s="58"/>
      <c r="B92" s="98" t="s">
        <v>413</v>
      </c>
      <c r="C92" s="98" t="s">
        <v>129</v>
      </c>
      <c r="D92" s="58" t="s">
        <v>414</v>
      </c>
      <c r="E92" s="106"/>
      <c r="F92" s="106"/>
      <c r="G92" s="106"/>
      <c r="H92" s="91" t="e">
        <f t="shared" si="39"/>
        <v>#DIV/0!</v>
      </c>
      <c r="I92" s="106"/>
      <c r="J92" s="107"/>
      <c r="K92" s="100" t="e">
        <f t="shared" si="41"/>
        <v>#DIV/0!</v>
      </c>
      <c r="L92" s="107"/>
      <c r="M92" s="101"/>
      <c r="N92" s="99">
        <f t="shared" si="27"/>
        <v>0</v>
      </c>
      <c r="P92" s="26"/>
    </row>
    <row r="93" spans="1:16" ht="174" customHeight="1" thickTop="1" thickBot="1" x14ac:dyDescent="0.25">
      <c r="A93" s="58"/>
      <c r="B93" s="75" t="s">
        <v>413</v>
      </c>
      <c r="C93" s="75" t="s">
        <v>129</v>
      </c>
      <c r="D93" s="75" t="s">
        <v>549</v>
      </c>
      <c r="E93" s="166">
        <v>4225673</v>
      </c>
      <c r="F93" s="166">
        <v>1121067</v>
      </c>
      <c r="G93" s="166">
        <v>909876.75</v>
      </c>
      <c r="H93" s="149">
        <f t="shared" si="39"/>
        <v>0.81161674547551577</v>
      </c>
      <c r="I93" s="171"/>
      <c r="J93" s="172"/>
      <c r="K93" s="173"/>
      <c r="L93" s="172"/>
      <c r="M93" s="174"/>
      <c r="N93" s="155">
        <f t="shared" si="27"/>
        <v>909876.75</v>
      </c>
      <c r="P93" s="26"/>
    </row>
    <row r="94" spans="1:16" ht="138.75" thickTop="1" thickBot="1" x14ac:dyDescent="0.25">
      <c r="A94" s="75"/>
      <c r="B94" s="76" t="s">
        <v>272</v>
      </c>
      <c r="C94" s="76"/>
      <c r="D94" s="76" t="s">
        <v>550</v>
      </c>
      <c r="E94" s="168">
        <f t="shared" ref="E94:G94" si="43">SUM(E95:E96)</f>
        <v>13124167</v>
      </c>
      <c r="F94" s="168">
        <f t="shared" si="43"/>
        <v>3599326</v>
      </c>
      <c r="G94" s="168">
        <f t="shared" si="43"/>
        <v>2879433.94</v>
      </c>
      <c r="H94" s="157">
        <f t="shared" si="39"/>
        <v>0.79999253749174148</v>
      </c>
      <c r="I94" s="168">
        <f t="shared" ref="I94:J94" si="44">SUM(I95:I96)</f>
        <v>673500</v>
      </c>
      <c r="J94" s="168">
        <f t="shared" si="44"/>
        <v>195882.83</v>
      </c>
      <c r="K94" s="157">
        <f t="shared" ref="K94:K96" si="45">J94/I94</f>
        <v>0.29084310319227913</v>
      </c>
      <c r="L94" s="168"/>
      <c r="M94" s="168"/>
      <c r="N94" s="156">
        <f t="shared" si="27"/>
        <v>3075316.77</v>
      </c>
      <c r="P94" s="26"/>
    </row>
    <row r="95" spans="1:16" ht="138.75" thickTop="1" thickBot="1" x14ac:dyDescent="0.25">
      <c r="A95" s="75"/>
      <c r="B95" s="75" t="s">
        <v>273</v>
      </c>
      <c r="C95" s="75" t="s">
        <v>129</v>
      </c>
      <c r="D95" s="75" t="s">
        <v>551</v>
      </c>
      <c r="E95" s="166">
        <v>6076270</v>
      </c>
      <c r="F95" s="166">
        <v>1684046</v>
      </c>
      <c r="G95" s="166">
        <v>1441362.46</v>
      </c>
      <c r="H95" s="149">
        <f t="shared" si="39"/>
        <v>0.8558925706304934</v>
      </c>
      <c r="I95" s="166">
        <v>666500</v>
      </c>
      <c r="J95" s="169">
        <v>195882.83</v>
      </c>
      <c r="K95" s="149">
        <f t="shared" si="45"/>
        <v>0.29389771942985743</v>
      </c>
      <c r="L95" s="169"/>
      <c r="M95" s="160"/>
      <c r="N95" s="155">
        <f t="shared" si="27"/>
        <v>1637245.29</v>
      </c>
      <c r="P95" s="26"/>
    </row>
    <row r="96" spans="1:16" ht="138.75" thickTop="1" thickBot="1" x14ac:dyDescent="0.25">
      <c r="A96" s="75"/>
      <c r="B96" s="75" t="s">
        <v>274</v>
      </c>
      <c r="C96" s="75" t="s">
        <v>129</v>
      </c>
      <c r="D96" s="75" t="s">
        <v>552</v>
      </c>
      <c r="E96" s="166">
        <v>7047897</v>
      </c>
      <c r="F96" s="166">
        <v>1915280</v>
      </c>
      <c r="G96" s="166">
        <v>1438071.48</v>
      </c>
      <c r="H96" s="149">
        <f t="shared" si="39"/>
        <v>0.75084138089469943</v>
      </c>
      <c r="I96" s="166">
        <v>7000</v>
      </c>
      <c r="J96" s="169">
        <v>0</v>
      </c>
      <c r="K96" s="149">
        <f t="shared" si="45"/>
        <v>0</v>
      </c>
      <c r="L96" s="169"/>
      <c r="M96" s="160"/>
      <c r="N96" s="155">
        <f t="shared" si="27"/>
        <v>1438071.48</v>
      </c>
      <c r="P96" s="26"/>
    </row>
    <row r="97" spans="1:16" ht="230.25" thickTop="1" thickBot="1" x14ac:dyDescent="0.25">
      <c r="A97" s="75"/>
      <c r="B97" s="75" t="s">
        <v>482</v>
      </c>
      <c r="C97" s="75" t="s">
        <v>129</v>
      </c>
      <c r="D97" s="75" t="s">
        <v>483</v>
      </c>
      <c r="E97" s="166">
        <v>715000</v>
      </c>
      <c r="F97" s="166">
        <v>0</v>
      </c>
      <c r="G97" s="166">
        <v>0</v>
      </c>
      <c r="H97" s="149">
        <v>0</v>
      </c>
      <c r="I97" s="164"/>
      <c r="J97" s="155"/>
      <c r="K97" s="155"/>
      <c r="L97" s="169"/>
      <c r="M97" s="160"/>
      <c r="N97" s="155">
        <f t="shared" ref="N97" si="46">G97+J97</f>
        <v>0</v>
      </c>
      <c r="O97" s="50" t="s">
        <v>391</v>
      </c>
      <c r="P97" s="26"/>
    </row>
    <row r="98" spans="1:16" ht="276" thickTop="1" thickBot="1" x14ac:dyDescent="0.25">
      <c r="A98" s="58" t="s">
        <v>208</v>
      </c>
      <c r="B98" s="75" t="s">
        <v>209</v>
      </c>
      <c r="C98" s="75" t="s">
        <v>63</v>
      </c>
      <c r="D98" s="75" t="s">
        <v>553</v>
      </c>
      <c r="E98" s="155">
        <v>9547200</v>
      </c>
      <c r="F98" s="155">
        <v>2386800</v>
      </c>
      <c r="G98" s="155">
        <v>1753946.38</v>
      </c>
      <c r="H98" s="149">
        <f t="shared" si="39"/>
        <v>0.73485268141444604</v>
      </c>
      <c r="I98" s="164"/>
      <c r="J98" s="155"/>
      <c r="K98" s="155"/>
      <c r="L98" s="155"/>
      <c r="M98" s="160"/>
      <c r="N98" s="155">
        <f t="shared" si="27"/>
        <v>1753946.38</v>
      </c>
      <c r="P98" s="30"/>
    </row>
    <row r="99" spans="1:16" ht="93" thickTop="1" thickBot="1" x14ac:dyDescent="0.25">
      <c r="A99" s="76" t="s">
        <v>210</v>
      </c>
      <c r="B99" s="76" t="s">
        <v>211</v>
      </c>
      <c r="C99" s="76"/>
      <c r="D99" s="76" t="s">
        <v>212</v>
      </c>
      <c r="E99" s="156">
        <f>E100</f>
        <v>160170</v>
      </c>
      <c r="F99" s="156">
        <f t="shared" ref="F99:G99" si="47">F100</f>
        <v>80085</v>
      </c>
      <c r="G99" s="156">
        <f t="shared" si="47"/>
        <v>0</v>
      </c>
      <c r="H99" s="157">
        <f t="shared" si="39"/>
        <v>0</v>
      </c>
      <c r="I99" s="156"/>
      <c r="J99" s="156"/>
      <c r="K99" s="157"/>
      <c r="L99" s="156"/>
      <c r="M99" s="156"/>
      <c r="N99" s="156">
        <f t="shared" si="27"/>
        <v>0</v>
      </c>
      <c r="O99" s="50"/>
      <c r="P99" s="30"/>
    </row>
    <row r="100" spans="1:16" ht="184.5" thickTop="1" thickBot="1" x14ac:dyDescent="0.25">
      <c r="A100" s="75" t="s">
        <v>213</v>
      </c>
      <c r="B100" s="75" t="s">
        <v>214</v>
      </c>
      <c r="C100" s="75" t="s">
        <v>63</v>
      </c>
      <c r="D100" s="75" t="s">
        <v>215</v>
      </c>
      <c r="E100" s="155">
        <v>160170</v>
      </c>
      <c r="F100" s="155">
        <v>80085</v>
      </c>
      <c r="G100" s="155">
        <v>0</v>
      </c>
      <c r="H100" s="149">
        <f t="shared" si="39"/>
        <v>0</v>
      </c>
      <c r="I100" s="164"/>
      <c r="J100" s="155"/>
      <c r="K100" s="155"/>
      <c r="L100" s="155"/>
      <c r="M100" s="160"/>
      <c r="N100" s="155">
        <f t="shared" si="27"/>
        <v>0</v>
      </c>
      <c r="P100" s="30"/>
    </row>
    <row r="101" spans="1:16" ht="230.25" thickTop="1" thickBot="1" x14ac:dyDescent="0.25">
      <c r="A101" s="58" t="s">
        <v>216</v>
      </c>
      <c r="B101" s="75" t="s">
        <v>217</v>
      </c>
      <c r="C101" s="75" t="s">
        <v>81</v>
      </c>
      <c r="D101" s="75" t="s">
        <v>218</v>
      </c>
      <c r="E101" s="155">
        <v>5175144</v>
      </c>
      <c r="F101" s="155">
        <v>1460000</v>
      </c>
      <c r="G101" s="155">
        <v>1420469.34</v>
      </c>
      <c r="H101" s="149">
        <f t="shared" si="39"/>
        <v>0.97292420547945213</v>
      </c>
      <c r="I101" s="164"/>
      <c r="J101" s="155"/>
      <c r="K101" s="155"/>
      <c r="L101" s="155"/>
      <c r="M101" s="160"/>
      <c r="N101" s="155">
        <f t="shared" si="27"/>
        <v>1420469.34</v>
      </c>
      <c r="P101" s="30"/>
    </row>
    <row r="102" spans="1:16" s="18" customFormat="1" ht="123" thickTop="1" thickBot="1" x14ac:dyDescent="0.25">
      <c r="A102" s="76" t="s">
        <v>219</v>
      </c>
      <c r="B102" s="76" t="s">
        <v>220</v>
      </c>
      <c r="C102" s="76"/>
      <c r="D102" s="76" t="s">
        <v>554</v>
      </c>
      <c r="E102" s="156">
        <f>SUM(E103:E104)</f>
        <v>2711460</v>
      </c>
      <c r="F102" s="156">
        <f>SUM(F103:F104)</f>
        <v>1129296</v>
      </c>
      <c r="G102" s="156">
        <f>SUM(G103:G104)</f>
        <v>195974.59</v>
      </c>
      <c r="H102" s="157">
        <f t="shared" si="39"/>
        <v>0.17353695576713279</v>
      </c>
      <c r="I102" s="156">
        <f t="shared" ref="I102:J102" si="48">SUM(I103:I104)</f>
        <v>0</v>
      </c>
      <c r="J102" s="156">
        <f t="shared" si="48"/>
        <v>0</v>
      </c>
      <c r="K102" s="157">
        <v>0</v>
      </c>
      <c r="L102" s="156"/>
      <c r="M102" s="156"/>
      <c r="N102" s="156">
        <f>G102+J102</f>
        <v>195974.59</v>
      </c>
      <c r="O102" s="50" t="s">
        <v>391</v>
      </c>
      <c r="P102" s="31"/>
    </row>
    <row r="103" spans="1:16" ht="138.75" thickTop="1" thickBot="1" x14ac:dyDescent="0.25">
      <c r="A103" s="75" t="s">
        <v>221</v>
      </c>
      <c r="B103" s="75" t="s">
        <v>222</v>
      </c>
      <c r="C103" s="75" t="s">
        <v>76</v>
      </c>
      <c r="D103" s="75" t="s">
        <v>223</v>
      </c>
      <c r="E103" s="155">
        <v>500000</v>
      </c>
      <c r="F103" s="155">
        <v>300000</v>
      </c>
      <c r="G103" s="155">
        <v>0</v>
      </c>
      <c r="H103" s="149">
        <f t="shared" si="39"/>
        <v>0</v>
      </c>
      <c r="I103" s="155"/>
      <c r="J103" s="155"/>
      <c r="K103" s="155"/>
      <c r="L103" s="155"/>
      <c r="M103" s="160"/>
      <c r="N103" s="155">
        <f t="shared" si="27"/>
        <v>0</v>
      </c>
      <c r="P103" s="30"/>
    </row>
    <row r="104" spans="1:16" ht="230.25" thickTop="1" thickBot="1" x14ac:dyDescent="0.25">
      <c r="A104" s="75"/>
      <c r="B104" s="75" t="s">
        <v>588</v>
      </c>
      <c r="C104" s="75" t="s">
        <v>76</v>
      </c>
      <c r="D104" s="75" t="s">
        <v>589</v>
      </c>
      <c r="E104" s="155">
        <v>2211460</v>
      </c>
      <c r="F104" s="155">
        <v>829296</v>
      </c>
      <c r="G104" s="155">
        <v>195974.59</v>
      </c>
      <c r="H104" s="149">
        <f t="shared" si="39"/>
        <v>0.23631440402461848</v>
      </c>
      <c r="I104" s="155"/>
      <c r="J104" s="155"/>
      <c r="K104" s="155"/>
      <c r="L104" s="155"/>
      <c r="M104" s="160"/>
      <c r="N104" s="155">
        <f t="shared" si="27"/>
        <v>195974.59</v>
      </c>
      <c r="P104" s="30"/>
    </row>
    <row r="105" spans="1:16" ht="93" thickTop="1" thickBot="1" x14ac:dyDescent="0.25">
      <c r="A105" s="75" t="s">
        <v>224</v>
      </c>
      <c r="B105" s="75" t="s">
        <v>225</v>
      </c>
      <c r="C105" s="75" t="s">
        <v>226</v>
      </c>
      <c r="D105" s="75" t="s">
        <v>227</v>
      </c>
      <c r="E105" s="155">
        <v>117000</v>
      </c>
      <c r="F105" s="155">
        <v>29250</v>
      </c>
      <c r="G105" s="155">
        <v>0</v>
      </c>
      <c r="H105" s="149">
        <f t="shared" si="39"/>
        <v>0</v>
      </c>
      <c r="I105" s="155"/>
      <c r="J105" s="155"/>
      <c r="K105" s="149"/>
      <c r="L105" s="155"/>
      <c r="M105" s="160"/>
      <c r="N105" s="155">
        <f>G105+J105</f>
        <v>0</v>
      </c>
      <c r="P105" s="30"/>
    </row>
    <row r="106" spans="1:16" ht="138.75" hidden="1" thickTop="1" thickBot="1" x14ac:dyDescent="0.25">
      <c r="A106" s="75"/>
      <c r="B106" s="95" t="s">
        <v>425</v>
      </c>
      <c r="C106" s="95"/>
      <c r="D106" s="95" t="s">
        <v>426</v>
      </c>
      <c r="E106" s="96">
        <f>E107+E110+E114+E117</f>
        <v>0</v>
      </c>
      <c r="F106" s="96">
        <f>F107+F110+F114+F117</f>
        <v>0</v>
      </c>
      <c r="G106" s="96">
        <f t="shared" ref="G106" si="49">G107+G110+G114+G117</f>
        <v>0</v>
      </c>
      <c r="H106" s="91">
        <v>0</v>
      </c>
      <c r="I106" s="96">
        <f>I107+I110+I114+I117</f>
        <v>0</v>
      </c>
      <c r="J106" s="96">
        <f>J107+J110+J114+J117</f>
        <v>0</v>
      </c>
      <c r="K106" s="97" t="e">
        <f>J106/I106</f>
        <v>#DIV/0!</v>
      </c>
      <c r="L106" s="93"/>
      <c r="M106" s="94"/>
      <c r="N106" s="96">
        <f>G106+J106</f>
        <v>0</v>
      </c>
      <c r="O106" s="50" t="s">
        <v>391</v>
      </c>
      <c r="P106" s="30"/>
    </row>
    <row r="107" spans="1:16" ht="276" hidden="1" thickTop="1" thickBot="1" x14ac:dyDescent="0.7">
      <c r="A107" s="75"/>
      <c r="B107" s="190" t="s">
        <v>427</v>
      </c>
      <c r="C107" s="190" t="s">
        <v>81</v>
      </c>
      <c r="D107" s="108" t="s">
        <v>428</v>
      </c>
      <c r="E107" s="193"/>
      <c r="F107" s="193"/>
      <c r="G107" s="193"/>
      <c r="H107" s="193"/>
      <c r="I107" s="193"/>
      <c r="J107" s="193"/>
      <c r="K107" s="210" t="e">
        <f>J107/I107</f>
        <v>#DIV/0!</v>
      </c>
      <c r="L107" s="93"/>
      <c r="M107" s="94"/>
      <c r="N107" s="193">
        <f>G107+J107</f>
        <v>0</v>
      </c>
      <c r="P107" s="30"/>
    </row>
    <row r="108" spans="1:16" ht="228.75" hidden="1" customHeight="1" thickTop="1" thickBot="1" x14ac:dyDescent="0.25">
      <c r="A108" s="75"/>
      <c r="B108" s="191"/>
      <c r="C108" s="191"/>
      <c r="D108" s="109" t="s">
        <v>429</v>
      </c>
      <c r="E108" s="194"/>
      <c r="F108" s="194"/>
      <c r="G108" s="194"/>
      <c r="H108" s="194"/>
      <c r="I108" s="194"/>
      <c r="J108" s="194"/>
      <c r="K108" s="211"/>
      <c r="L108" s="93"/>
      <c r="M108" s="94"/>
      <c r="N108" s="194"/>
      <c r="P108" s="30"/>
    </row>
    <row r="109" spans="1:16" ht="230.25" hidden="1" thickTop="1" thickBot="1" x14ac:dyDescent="0.25">
      <c r="A109" s="75"/>
      <c r="B109" s="192"/>
      <c r="C109" s="192"/>
      <c r="D109" s="110" t="s">
        <v>430</v>
      </c>
      <c r="E109" s="195"/>
      <c r="F109" s="195"/>
      <c r="G109" s="195"/>
      <c r="H109" s="195"/>
      <c r="I109" s="195"/>
      <c r="J109" s="195"/>
      <c r="K109" s="212"/>
      <c r="L109" s="93"/>
      <c r="M109" s="94"/>
      <c r="N109" s="195"/>
      <c r="P109" s="30"/>
    </row>
    <row r="110" spans="1:16" ht="255" hidden="1" customHeight="1" thickTop="1" thickBot="1" x14ac:dyDescent="0.7">
      <c r="A110" s="75"/>
      <c r="B110" s="190" t="s">
        <v>431</v>
      </c>
      <c r="C110" s="190" t="s">
        <v>81</v>
      </c>
      <c r="D110" s="108" t="s">
        <v>432</v>
      </c>
      <c r="E110" s="193"/>
      <c r="F110" s="193"/>
      <c r="G110" s="193"/>
      <c r="H110" s="193"/>
      <c r="I110" s="193"/>
      <c r="J110" s="193">
        <v>0</v>
      </c>
      <c r="K110" s="210" t="e">
        <f>J110/I110</f>
        <v>#DIV/0!</v>
      </c>
      <c r="L110" s="93"/>
      <c r="M110" s="94"/>
      <c r="N110" s="193">
        <f>G110+J110</f>
        <v>0</v>
      </c>
      <c r="P110" s="30"/>
    </row>
    <row r="111" spans="1:16" ht="270.75" hidden="1" customHeight="1" thickTop="1" thickBot="1" x14ac:dyDescent="0.25">
      <c r="A111" s="75"/>
      <c r="B111" s="191"/>
      <c r="C111" s="191"/>
      <c r="D111" s="109" t="s">
        <v>433</v>
      </c>
      <c r="E111" s="194"/>
      <c r="F111" s="194"/>
      <c r="G111" s="194"/>
      <c r="H111" s="194"/>
      <c r="I111" s="194"/>
      <c r="J111" s="194"/>
      <c r="K111" s="211"/>
      <c r="L111" s="93"/>
      <c r="M111" s="94"/>
      <c r="N111" s="194"/>
      <c r="P111" s="30"/>
    </row>
    <row r="112" spans="1:16" ht="276" hidden="1" thickTop="1" thickBot="1" x14ac:dyDescent="0.25">
      <c r="A112" s="75"/>
      <c r="B112" s="191"/>
      <c r="C112" s="191"/>
      <c r="D112" s="109" t="s">
        <v>434</v>
      </c>
      <c r="E112" s="194"/>
      <c r="F112" s="194"/>
      <c r="G112" s="194"/>
      <c r="H112" s="194"/>
      <c r="I112" s="194"/>
      <c r="J112" s="194"/>
      <c r="K112" s="211"/>
      <c r="L112" s="93"/>
      <c r="M112" s="94"/>
      <c r="N112" s="194"/>
      <c r="P112" s="30"/>
    </row>
    <row r="113" spans="1:16" ht="138.75" hidden="1" thickTop="1" thickBot="1" x14ac:dyDescent="0.25">
      <c r="A113" s="75"/>
      <c r="B113" s="192"/>
      <c r="C113" s="192"/>
      <c r="D113" s="110" t="s">
        <v>435</v>
      </c>
      <c r="E113" s="195"/>
      <c r="F113" s="195"/>
      <c r="G113" s="195"/>
      <c r="H113" s="195"/>
      <c r="I113" s="195"/>
      <c r="J113" s="195"/>
      <c r="K113" s="212"/>
      <c r="L113" s="93"/>
      <c r="M113" s="94"/>
      <c r="N113" s="195"/>
      <c r="P113" s="30"/>
    </row>
    <row r="114" spans="1:16" ht="276" hidden="1" thickTop="1" thickBot="1" x14ac:dyDescent="0.7">
      <c r="A114" s="75"/>
      <c r="B114" s="190" t="s">
        <v>436</v>
      </c>
      <c r="C114" s="190" t="s">
        <v>81</v>
      </c>
      <c r="D114" s="108" t="s">
        <v>437</v>
      </c>
      <c r="E114" s="193"/>
      <c r="F114" s="193"/>
      <c r="G114" s="193"/>
      <c r="H114" s="193"/>
      <c r="I114" s="193">
        <v>0</v>
      </c>
      <c r="J114" s="193">
        <v>0</v>
      </c>
      <c r="K114" s="210" t="e">
        <f>J114/I114</f>
        <v>#DIV/0!</v>
      </c>
      <c r="L114" s="93"/>
      <c r="M114" s="94"/>
      <c r="N114" s="193">
        <f>G114+J114</f>
        <v>0</v>
      </c>
      <c r="P114" s="30"/>
    </row>
    <row r="115" spans="1:16" ht="276" hidden="1" thickTop="1" thickBot="1" x14ac:dyDescent="0.25">
      <c r="A115" s="75"/>
      <c r="B115" s="191"/>
      <c r="C115" s="191"/>
      <c r="D115" s="109" t="s">
        <v>438</v>
      </c>
      <c r="E115" s="194"/>
      <c r="F115" s="194"/>
      <c r="G115" s="194"/>
      <c r="H115" s="194"/>
      <c r="I115" s="194"/>
      <c r="J115" s="194"/>
      <c r="K115" s="211"/>
      <c r="L115" s="93"/>
      <c r="M115" s="94"/>
      <c r="N115" s="194"/>
      <c r="P115" s="30"/>
    </row>
    <row r="116" spans="1:16" ht="93" hidden="1" thickTop="1" thickBot="1" x14ac:dyDescent="0.25">
      <c r="A116" s="75"/>
      <c r="B116" s="192"/>
      <c r="C116" s="192"/>
      <c r="D116" s="110" t="s">
        <v>439</v>
      </c>
      <c r="E116" s="195"/>
      <c r="F116" s="195"/>
      <c r="G116" s="195"/>
      <c r="H116" s="195"/>
      <c r="I116" s="195"/>
      <c r="J116" s="195"/>
      <c r="K116" s="212"/>
      <c r="L116" s="93"/>
      <c r="M116" s="94"/>
      <c r="N116" s="195"/>
      <c r="P116" s="30"/>
    </row>
    <row r="117" spans="1:16" ht="276" hidden="1" thickTop="1" thickBot="1" x14ac:dyDescent="0.7">
      <c r="A117" s="75"/>
      <c r="B117" s="190" t="s">
        <v>440</v>
      </c>
      <c r="C117" s="190" t="s">
        <v>81</v>
      </c>
      <c r="D117" s="108" t="s">
        <v>441</v>
      </c>
      <c r="E117" s="193"/>
      <c r="F117" s="193"/>
      <c r="G117" s="193"/>
      <c r="H117" s="193"/>
      <c r="I117" s="193"/>
      <c r="J117" s="193"/>
      <c r="K117" s="210" t="e">
        <f>J117/I117</f>
        <v>#DIV/0!</v>
      </c>
      <c r="L117" s="93"/>
      <c r="M117" s="94"/>
      <c r="N117" s="193">
        <f t="shared" si="27"/>
        <v>0</v>
      </c>
      <c r="P117" s="30"/>
    </row>
    <row r="118" spans="1:16" ht="230.25" hidden="1" thickTop="1" thickBot="1" x14ac:dyDescent="0.25">
      <c r="A118" s="75"/>
      <c r="B118" s="191"/>
      <c r="C118" s="191"/>
      <c r="D118" s="109" t="s">
        <v>442</v>
      </c>
      <c r="E118" s="194"/>
      <c r="F118" s="194"/>
      <c r="G118" s="194"/>
      <c r="H118" s="194"/>
      <c r="I118" s="194"/>
      <c r="J118" s="194"/>
      <c r="K118" s="211"/>
      <c r="L118" s="93"/>
      <c r="M118" s="94"/>
      <c r="N118" s="194"/>
      <c r="P118" s="30"/>
    </row>
    <row r="119" spans="1:16" ht="48" hidden="1" thickTop="1" thickBot="1" x14ac:dyDescent="0.25">
      <c r="A119" s="75"/>
      <c r="B119" s="192"/>
      <c r="C119" s="192"/>
      <c r="D119" s="110" t="s">
        <v>443</v>
      </c>
      <c r="E119" s="195"/>
      <c r="F119" s="195"/>
      <c r="G119" s="195"/>
      <c r="H119" s="195"/>
      <c r="I119" s="195"/>
      <c r="J119" s="195"/>
      <c r="K119" s="212"/>
      <c r="L119" s="93"/>
      <c r="M119" s="94"/>
      <c r="N119" s="195"/>
      <c r="P119" s="30"/>
    </row>
    <row r="120" spans="1:16" ht="141" hidden="1" customHeight="1" thickTop="1" thickBot="1" x14ac:dyDescent="0.25">
      <c r="A120" s="75"/>
      <c r="B120" s="126" t="s">
        <v>425</v>
      </c>
      <c r="C120" s="126"/>
      <c r="D120" s="76" t="s">
        <v>426</v>
      </c>
      <c r="E120" s="127">
        <f>E121+E124+E127</f>
        <v>0</v>
      </c>
      <c r="F120" s="127">
        <f>F121+F124+F127</f>
        <v>0</v>
      </c>
      <c r="G120" s="127">
        <f>G121+G124+G127</f>
        <v>0</v>
      </c>
      <c r="H120" s="128">
        <v>0</v>
      </c>
      <c r="I120" s="127">
        <f>I121+I124+I127</f>
        <v>0</v>
      </c>
      <c r="J120" s="127">
        <f>J121+J124+J127</f>
        <v>0</v>
      </c>
      <c r="K120" s="128" t="e">
        <f t="shared" ref="K120:K127" si="50">J120/I120</f>
        <v>#DIV/0!</v>
      </c>
      <c r="L120" s="96"/>
      <c r="M120" s="117"/>
      <c r="N120" s="127">
        <f>N121+N124+N127</f>
        <v>0</v>
      </c>
      <c r="P120" s="30"/>
    </row>
    <row r="121" spans="1:16" ht="409.6" hidden="1" customHeight="1" thickTop="1" thickBot="1" x14ac:dyDescent="0.25">
      <c r="A121" s="75"/>
      <c r="B121" s="190" t="s">
        <v>427</v>
      </c>
      <c r="C121" s="190" t="s">
        <v>81</v>
      </c>
      <c r="D121" s="137" t="s">
        <v>517</v>
      </c>
      <c r="E121" s="193"/>
      <c r="F121" s="193"/>
      <c r="G121" s="193"/>
      <c r="H121" s="193"/>
      <c r="I121" s="193"/>
      <c r="J121" s="193"/>
      <c r="K121" s="215" t="e">
        <f t="shared" si="50"/>
        <v>#DIV/0!</v>
      </c>
      <c r="L121" s="193"/>
      <c r="M121" s="193"/>
      <c r="N121" s="193">
        <f t="shared" ref="N121:N127" si="51">G121+J121</f>
        <v>0</v>
      </c>
      <c r="P121" s="30"/>
    </row>
    <row r="122" spans="1:16" ht="409.6" hidden="1" customHeight="1" thickTop="1" thickBot="1" x14ac:dyDescent="0.25">
      <c r="A122" s="75"/>
      <c r="B122" s="191"/>
      <c r="C122" s="191"/>
      <c r="D122" s="137" t="s">
        <v>555</v>
      </c>
      <c r="E122" s="194"/>
      <c r="F122" s="194"/>
      <c r="G122" s="194"/>
      <c r="H122" s="194"/>
      <c r="I122" s="194"/>
      <c r="J122" s="194"/>
      <c r="K122" s="216"/>
      <c r="L122" s="194"/>
      <c r="M122" s="194"/>
      <c r="N122" s="194"/>
      <c r="P122" s="30"/>
    </row>
    <row r="123" spans="1:16" ht="47.25" hidden="1" thickTop="1" thickBot="1" x14ac:dyDescent="0.25">
      <c r="A123" s="75"/>
      <c r="B123" s="192"/>
      <c r="C123" s="192"/>
      <c r="D123" s="138" t="s">
        <v>556</v>
      </c>
      <c r="E123" s="195"/>
      <c r="F123" s="195"/>
      <c r="G123" s="195"/>
      <c r="H123" s="195"/>
      <c r="I123" s="195"/>
      <c r="J123" s="195"/>
      <c r="K123" s="217"/>
      <c r="L123" s="195"/>
      <c r="M123" s="195"/>
      <c r="N123" s="195"/>
      <c r="P123" s="30"/>
    </row>
    <row r="124" spans="1:16" ht="409.6" hidden="1" customHeight="1" thickTop="1" thickBot="1" x14ac:dyDescent="0.25">
      <c r="A124" s="75"/>
      <c r="B124" s="190" t="s">
        <v>431</v>
      </c>
      <c r="C124" s="190" t="s">
        <v>81</v>
      </c>
      <c r="D124" s="139" t="s">
        <v>518</v>
      </c>
      <c r="E124" s="193"/>
      <c r="F124" s="193"/>
      <c r="G124" s="193"/>
      <c r="H124" s="193"/>
      <c r="I124" s="193"/>
      <c r="J124" s="193"/>
      <c r="K124" s="215" t="e">
        <f t="shared" si="50"/>
        <v>#DIV/0!</v>
      </c>
      <c r="L124" s="193"/>
      <c r="M124" s="193"/>
      <c r="N124" s="193">
        <f t="shared" si="51"/>
        <v>0</v>
      </c>
      <c r="P124" s="30"/>
    </row>
    <row r="125" spans="1:16" ht="409.6" hidden="1" customHeight="1" thickTop="1" thickBot="1" x14ac:dyDescent="0.25">
      <c r="A125" s="75"/>
      <c r="B125" s="191"/>
      <c r="C125" s="191"/>
      <c r="D125" s="139" t="s">
        <v>557</v>
      </c>
      <c r="E125" s="194"/>
      <c r="F125" s="194"/>
      <c r="G125" s="194"/>
      <c r="H125" s="194"/>
      <c r="I125" s="194"/>
      <c r="J125" s="194"/>
      <c r="K125" s="216"/>
      <c r="L125" s="194"/>
      <c r="M125" s="194"/>
      <c r="N125" s="194"/>
      <c r="P125" s="30"/>
    </row>
    <row r="126" spans="1:16" ht="47.25" hidden="1" thickTop="1" thickBot="1" x14ac:dyDescent="0.25">
      <c r="A126" s="75"/>
      <c r="B126" s="192"/>
      <c r="C126" s="192"/>
      <c r="D126" s="140" t="s">
        <v>519</v>
      </c>
      <c r="E126" s="195"/>
      <c r="F126" s="195"/>
      <c r="G126" s="195"/>
      <c r="H126" s="195"/>
      <c r="I126" s="195"/>
      <c r="J126" s="195"/>
      <c r="K126" s="217"/>
      <c r="L126" s="195"/>
      <c r="M126" s="195"/>
      <c r="N126" s="195"/>
      <c r="P126" s="30"/>
    </row>
    <row r="127" spans="1:16" ht="409.6" hidden="1" customHeight="1" thickTop="1" thickBot="1" x14ac:dyDescent="0.25">
      <c r="A127" s="75"/>
      <c r="B127" s="190" t="s">
        <v>436</v>
      </c>
      <c r="C127" s="190" t="s">
        <v>81</v>
      </c>
      <c r="D127" s="141" t="s">
        <v>558</v>
      </c>
      <c r="E127" s="193"/>
      <c r="F127" s="193"/>
      <c r="G127" s="193"/>
      <c r="H127" s="193"/>
      <c r="I127" s="193"/>
      <c r="J127" s="193"/>
      <c r="K127" s="215" t="e">
        <f t="shared" si="50"/>
        <v>#DIV/0!</v>
      </c>
      <c r="L127" s="193"/>
      <c r="M127" s="193"/>
      <c r="N127" s="193">
        <f t="shared" si="51"/>
        <v>0</v>
      </c>
      <c r="P127" s="30"/>
    </row>
    <row r="128" spans="1:16" ht="184.5" hidden="1" customHeight="1" thickTop="1" thickBot="1" x14ac:dyDescent="0.25">
      <c r="A128" s="75"/>
      <c r="B128" s="192"/>
      <c r="C128" s="192"/>
      <c r="D128" s="138" t="s">
        <v>520</v>
      </c>
      <c r="E128" s="195"/>
      <c r="F128" s="195"/>
      <c r="G128" s="195"/>
      <c r="H128" s="195"/>
      <c r="I128" s="195"/>
      <c r="J128" s="195"/>
      <c r="K128" s="217"/>
      <c r="L128" s="195"/>
      <c r="M128" s="195"/>
      <c r="N128" s="195"/>
      <c r="P128" s="30"/>
    </row>
    <row r="129" spans="1:16" ht="138.75" thickTop="1" thickBot="1" x14ac:dyDescent="0.25">
      <c r="A129" s="75"/>
      <c r="B129" s="75" t="s">
        <v>473</v>
      </c>
      <c r="C129" s="140" t="s">
        <v>85</v>
      </c>
      <c r="D129" s="140" t="s">
        <v>484</v>
      </c>
      <c r="E129" s="170">
        <v>5451195</v>
      </c>
      <c r="F129" s="170">
        <v>2079800</v>
      </c>
      <c r="G129" s="170">
        <v>9900</v>
      </c>
      <c r="H129" s="149">
        <f t="shared" si="39"/>
        <v>4.7600730839503797E-3</v>
      </c>
      <c r="I129" s="170">
        <f>4560281+100000</f>
        <v>4660281</v>
      </c>
      <c r="J129" s="170">
        <f>2152775.72+0</f>
        <v>2152775.7200000002</v>
      </c>
      <c r="K129" s="149">
        <f t="shared" ref="K129" si="52">J129/I129</f>
        <v>0.46194118337499396</v>
      </c>
      <c r="L129" s="155"/>
      <c r="M129" s="160"/>
      <c r="N129" s="155">
        <f t="shared" si="27"/>
        <v>2162675.7200000002</v>
      </c>
      <c r="P129" s="30"/>
    </row>
    <row r="130" spans="1:16" s="18" customFormat="1" ht="93" thickTop="1" thickBot="1" x14ac:dyDescent="0.25">
      <c r="A130" s="76" t="s">
        <v>228</v>
      </c>
      <c r="B130" s="76" t="s">
        <v>229</v>
      </c>
      <c r="C130" s="76"/>
      <c r="D130" s="76" t="s">
        <v>559</v>
      </c>
      <c r="E130" s="156">
        <f t="shared" ref="E130:J130" si="53">SUM(E131:E132)</f>
        <v>106025405</v>
      </c>
      <c r="F130" s="156">
        <f t="shared" si="53"/>
        <v>55006795</v>
      </c>
      <c r="G130" s="156">
        <f t="shared" si="53"/>
        <v>46741944.759999998</v>
      </c>
      <c r="H130" s="157">
        <f t="shared" si="39"/>
        <v>0.84974855851899744</v>
      </c>
      <c r="I130" s="156">
        <f t="shared" si="53"/>
        <v>47433119.25</v>
      </c>
      <c r="J130" s="156">
        <f t="shared" si="53"/>
        <v>4775109.66</v>
      </c>
      <c r="K130" s="157">
        <f t="shared" ref="K130:K133" si="54">J130/I130</f>
        <v>0.10067036989139187</v>
      </c>
      <c r="L130" s="156"/>
      <c r="M130" s="156"/>
      <c r="N130" s="156">
        <f t="shared" si="27"/>
        <v>51517054.420000002</v>
      </c>
      <c r="O130" s="20"/>
      <c r="P130" s="31"/>
    </row>
    <row r="131" spans="1:16" ht="138.75" thickTop="1" thickBot="1" x14ac:dyDescent="0.25">
      <c r="A131" s="75" t="s">
        <v>230</v>
      </c>
      <c r="B131" s="75" t="s">
        <v>231</v>
      </c>
      <c r="C131" s="75" t="s">
        <v>89</v>
      </c>
      <c r="D131" s="136" t="s">
        <v>560</v>
      </c>
      <c r="E131" s="155">
        <v>36594324</v>
      </c>
      <c r="F131" s="155">
        <v>9318824</v>
      </c>
      <c r="G131" s="166">
        <v>8001840.6900000004</v>
      </c>
      <c r="H131" s="149">
        <f t="shared" si="39"/>
        <v>0.85867494546522183</v>
      </c>
      <c r="I131" s="155">
        <f>425000+8879790.05</f>
        <v>9304790.0500000007</v>
      </c>
      <c r="J131" s="155">
        <f>0+921780.46</f>
        <v>921780.46</v>
      </c>
      <c r="K131" s="149">
        <f t="shared" si="54"/>
        <v>9.9065154081579718E-2</v>
      </c>
      <c r="L131" s="155"/>
      <c r="M131" s="160"/>
      <c r="N131" s="155">
        <f t="shared" si="27"/>
        <v>8923621.1500000004</v>
      </c>
      <c r="P131" s="26"/>
    </row>
    <row r="132" spans="1:16" ht="93" thickTop="1" thickBot="1" x14ac:dyDescent="0.25">
      <c r="A132" s="58" t="s">
        <v>232</v>
      </c>
      <c r="B132" s="75" t="s">
        <v>233</v>
      </c>
      <c r="C132" s="75" t="s">
        <v>89</v>
      </c>
      <c r="D132" s="136" t="s">
        <v>234</v>
      </c>
      <c r="E132" s="155">
        <v>69431081</v>
      </c>
      <c r="F132" s="155">
        <v>45687971</v>
      </c>
      <c r="G132" s="155">
        <v>38740104.07</v>
      </c>
      <c r="H132" s="149">
        <f t="shared" si="39"/>
        <v>0.84792787296244787</v>
      </c>
      <c r="I132" s="155">
        <f>38003329.2+125000</f>
        <v>38128329.200000003</v>
      </c>
      <c r="J132" s="155">
        <f>3853329.2+0</f>
        <v>3853329.2</v>
      </c>
      <c r="K132" s="149">
        <f t="shared" si="54"/>
        <v>0.10106210476172661</v>
      </c>
      <c r="L132" s="155"/>
      <c r="M132" s="160"/>
      <c r="N132" s="155">
        <f t="shared" si="27"/>
        <v>42593433.270000003</v>
      </c>
      <c r="P132" s="26"/>
    </row>
    <row r="133" spans="1:16" ht="48" thickTop="1" thickBot="1" x14ac:dyDescent="0.25">
      <c r="A133" s="58"/>
      <c r="B133" s="75" t="s">
        <v>590</v>
      </c>
      <c r="C133" s="75" t="s">
        <v>89</v>
      </c>
      <c r="D133" s="75" t="s">
        <v>591</v>
      </c>
      <c r="E133" s="155"/>
      <c r="F133" s="155"/>
      <c r="G133" s="155"/>
      <c r="H133" s="149"/>
      <c r="I133" s="155">
        <v>11500000</v>
      </c>
      <c r="J133" s="155">
        <v>0</v>
      </c>
      <c r="K133" s="149">
        <f t="shared" si="54"/>
        <v>0</v>
      </c>
      <c r="L133" s="155"/>
      <c r="M133" s="160"/>
      <c r="N133" s="155">
        <f t="shared" si="27"/>
        <v>0</v>
      </c>
      <c r="P133" s="26"/>
    </row>
    <row r="134" spans="1:16" s="11" customFormat="1" ht="92.25" customHeight="1" thickTop="1" thickBot="1" x14ac:dyDescent="0.25">
      <c r="A134" s="57" t="s">
        <v>243</v>
      </c>
      <c r="B134" s="77" t="s">
        <v>244</v>
      </c>
      <c r="C134" s="77"/>
      <c r="D134" s="78" t="s">
        <v>245</v>
      </c>
      <c r="E134" s="79">
        <f>SUM(E135:E143)-E140</f>
        <v>76418974</v>
      </c>
      <c r="F134" s="79">
        <f>SUM(F135:F143)-F140</f>
        <v>18796695</v>
      </c>
      <c r="G134" s="79">
        <f>SUM(G135:G143)-G140</f>
        <v>15141027.079999998</v>
      </c>
      <c r="H134" s="80">
        <f>G134/F134</f>
        <v>0.80551538874254214</v>
      </c>
      <c r="I134" s="79">
        <f>SUM(I135:I143)-I140</f>
        <v>1674586.4</v>
      </c>
      <c r="J134" s="79">
        <f>SUM(J135:J143)-J140</f>
        <v>271985.14</v>
      </c>
      <c r="K134" s="80">
        <f>J134/I134</f>
        <v>0.16241929350435427</v>
      </c>
      <c r="L134" s="79"/>
      <c r="M134" s="79"/>
      <c r="N134" s="81">
        <f>J134+G134</f>
        <v>15413012.219999999</v>
      </c>
      <c r="O134" s="53" t="b">
        <f>N134=N136+N137+N138+N141+N142+N143</f>
        <v>1</v>
      </c>
      <c r="P134" s="30"/>
    </row>
    <row r="135" spans="1:16" ht="93" hidden="1" thickTop="1" thickBot="1" x14ac:dyDescent="0.25">
      <c r="A135" s="58" t="s">
        <v>246</v>
      </c>
      <c r="B135" s="92" t="s">
        <v>247</v>
      </c>
      <c r="C135" s="92" t="s">
        <v>248</v>
      </c>
      <c r="D135" s="92" t="s">
        <v>249</v>
      </c>
      <c r="E135" s="93">
        <v>0</v>
      </c>
      <c r="F135" s="93">
        <v>0</v>
      </c>
      <c r="G135" s="93">
        <v>0</v>
      </c>
      <c r="H135" s="91" t="e">
        <f>G135/F135</f>
        <v>#DIV/0!</v>
      </c>
      <c r="I135" s="93"/>
      <c r="J135" s="93"/>
      <c r="K135" s="93"/>
      <c r="L135" s="93"/>
      <c r="M135" s="94"/>
      <c r="N135" s="93">
        <f t="shared" ref="N135:N159" si="55">G135+J135</f>
        <v>0</v>
      </c>
      <c r="P135" s="30"/>
    </row>
    <row r="136" spans="1:16" ht="93" thickTop="1" thickBot="1" x14ac:dyDescent="0.25">
      <c r="A136" s="58" t="s">
        <v>250</v>
      </c>
      <c r="B136" s="75" t="s">
        <v>251</v>
      </c>
      <c r="C136" s="75" t="s">
        <v>252</v>
      </c>
      <c r="D136" s="75" t="s">
        <v>253</v>
      </c>
      <c r="E136" s="155">
        <v>18367742</v>
      </c>
      <c r="F136" s="155">
        <v>4785601</v>
      </c>
      <c r="G136" s="155">
        <v>3693677.07</v>
      </c>
      <c r="H136" s="149">
        <f t="shared" ref="H136:H138" si="56">G136/F136</f>
        <v>0.77183138962065578</v>
      </c>
      <c r="I136" s="155">
        <v>237699</v>
      </c>
      <c r="J136" s="155">
        <v>27699</v>
      </c>
      <c r="K136" s="149">
        <f t="shared" ref="K136:K142" si="57">J136/I136</f>
        <v>0.11652972877462674</v>
      </c>
      <c r="L136" s="155"/>
      <c r="M136" s="160"/>
      <c r="N136" s="155">
        <f t="shared" si="55"/>
        <v>3721376.07</v>
      </c>
      <c r="P136" s="26"/>
    </row>
    <row r="137" spans="1:16" ht="93" thickTop="1" thickBot="1" x14ac:dyDescent="0.25">
      <c r="A137" s="58" t="s">
        <v>254</v>
      </c>
      <c r="B137" s="75" t="s">
        <v>255</v>
      </c>
      <c r="C137" s="75" t="s">
        <v>252</v>
      </c>
      <c r="D137" s="75" t="s">
        <v>561</v>
      </c>
      <c r="E137" s="155">
        <v>2851170</v>
      </c>
      <c r="F137" s="155">
        <v>793065</v>
      </c>
      <c r="G137" s="155">
        <v>529307.81999999995</v>
      </c>
      <c r="H137" s="149">
        <f t="shared" si="56"/>
        <v>0.66742047625352263</v>
      </c>
      <c r="I137" s="155">
        <v>125600</v>
      </c>
      <c r="J137" s="155">
        <v>8280</v>
      </c>
      <c r="K137" s="149">
        <f t="shared" si="57"/>
        <v>6.5923566878980891E-2</v>
      </c>
      <c r="L137" s="155"/>
      <c r="M137" s="160"/>
      <c r="N137" s="155">
        <f t="shared" si="55"/>
        <v>537587.81999999995</v>
      </c>
      <c r="P137" s="26"/>
    </row>
    <row r="138" spans="1:16" ht="138.75" thickTop="1" thickBot="1" x14ac:dyDescent="0.25">
      <c r="A138" s="58" t="s">
        <v>256</v>
      </c>
      <c r="B138" s="75" t="s">
        <v>257</v>
      </c>
      <c r="C138" s="75" t="s">
        <v>258</v>
      </c>
      <c r="D138" s="75" t="s">
        <v>562</v>
      </c>
      <c r="E138" s="155">
        <v>21605273</v>
      </c>
      <c r="F138" s="155">
        <v>5562924</v>
      </c>
      <c r="G138" s="155">
        <v>4423415</v>
      </c>
      <c r="H138" s="149">
        <f t="shared" si="56"/>
        <v>0.79516006330483757</v>
      </c>
      <c r="I138" s="155">
        <v>723240</v>
      </c>
      <c r="J138" s="155">
        <v>94650.66</v>
      </c>
      <c r="K138" s="149">
        <f t="shared" si="57"/>
        <v>0.13087033349925337</v>
      </c>
      <c r="L138" s="155"/>
      <c r="M138" s="160"/>
      <c r="N138" s="155">
        <f t="shared" si="55"/>
        <v>4518065.66</v>
      </c>
      <c r="P138" s="26"/>
    </row>
    <row r="139" spans="1:16" ht="48" hidden="1" thickTop="1" thickBot="1" x14ac:dyDescent="0.25">
      <c r="A139" s="58"/>
      <c r="B139" s="92" t="s">
        <v>474</v>
      </c>
      <c r="C139" s="92" t="s">
        <v>475</v>
      </c>
      <c r="D139" s="75" t="s">
        <v>476</v>
      </c>
      <c r="E139" s="93">
        <v>0</v>
      </c>
      <c r="F139" s="93">
        <v>0</v>
      </c>
      <c r="G139" s="93">
        <v>0</v>
      </c>
      <c r="H139" s="91" t="e">
        <f>G139/F139</f>
        <v>#DIV/0!</v>
      </c>
      <c r="I139" s="93"/>
      <c r="J139" s="93"/>
      <c r="K139" s="91"/>
      <c r="L139" s="93"/>
      <c r="M139" s="94"/>
      <c r="N139" s="93">
        <f t="shared" si="55"/>
        <v>0</v>
      </c>
      <c r="P139" s="26"/>
    </row>
    <row r="140" spans="1:16" ht="93" thickTop="1" thickBot="1" x14ac:dyDescent="0.25">
      <c r="A140" s="76" t="s">
        <v>259</v>
      </c>
      <c r="B140" s="76" t="s">
        <v>260</v>
      </c>
      <c r="C140" s="76"/>
      <c r="D140" s="76" t="s">
        <v>261</v>
      </c>
      <c r="E140" s="156">
        <f>SUM(E141:E143)</f>
        <v>33594789</v>
      </c>
      <c r="F140" s="156">
        <f>SUM(F141:F143)</f>
        <v>7655105</v>
      </c>
      <c r="G140" s="156">
        <f>SUM(G141:G143)</f>
        <v>6494627.1900000004</v>
      </c>
      <c r="H140" s="157">
        <f>G140/F140</f>
        <v>0.84840471685234886</v>
      </c>
      <c r="I140" s="156">
        <f>SUM(I141:I143)</f>
        <v>588047.4</v>
      </c>
      <c r="J140" s="156">
        <f>SUM(J141:J143)</f>
        <v>141355.48000000001</v>
      </c>
      <c r="K140" s="157">
        <f>J140/I140</f>
        <v>0.24038109853049261</v>
      </c>
      <c r="L140" s="156"/>
      <c r="M140" s="156"/>
      <c r="N140" s="156">
        <f t="shared" si="55"/>
        <v>6635982.6700000009</v>
      </c>
      <c r="P140" s="26"/>
    </row>
    <row r="141" spans="1:16" ht="93" thickTop="1" thickBot="1" x14ac:dyDescent="0.25">
      <c r="A141" s="75" t="s">
        <v>262</v>
      </c>
      <c r="B141" s="75" t="s">
        <v>263</v>
      </c>
      <c r="C141" s="75" t="s">
        <v>264</v>
      </c>
      <c r="D141" s="75" t="s">
        <v>265</v>
      </c>
      <c r="E141" s="155">
        <v>28822789</v>
      </c>
      <c r="F141" s="155">
        <v>6567105</v>
      </c>
      <c r="G141" s="155">
        <v>5916306.4900000002</v>
      </c>
      <c r="H141" s="149">
        <f t="shared" ref="H141:H142" si="58">G141/F141</f>
        <v>0.90090024295332571</v>
      </c>
      <c r="I141" s="155">
        <v>256456.4</v>
      </c>
      <c r="J141" s="155">
        <v>141355.48000000001</v>
      </c>
      <c r="K141" s="149">
        <f>J141/I141</f>
        <v>0.55118718035502334</v>
      </c>
      <c r="L141" s="155"/>
      <c r="M141" s="160"/>
      <c r="N141" s="155">
        <f t="shared" si="55"/>
        <v>6057661.9700000007</v>
      </c>
      <c r="P141" s="30"/>
    </row>
    <row r="142" spans="1:16" ht="93" thickTop="1" thickBot="1" x14ac:dyDescent="0.25">
      <c r="A142" s="75" t="s">
        <v>266</v>
      </c>
      <c r="B142" s="75" t="s">
        <v>267</v>
      </c>
      <c r="C142" s="75" t="s">
        <v>264</v>
      </c>
      <c r="D142" s="75" t="s">
        <v>268</v>
      </c>
      <c r="E142" s="155">
        <v>4772000</v>
      </c>
      <c r="F142" s="155">
        <v>1088000</v>
      </c>
      <c r="G142" s="155">
        <v>578320.69999999995</v>
      </c>
      <c r="H142" s="149">
        <f t="shared" si="58"/>
        <v>0.53154476102941173</v>
      </c>
      <c r="I142" s="155">
        <v>131591</v>
      </c>
      <c r="J142" s="155">
        <v>0</v>
      </c>
      <c r="K142" s="149">
        <f>J142/I142</f>
        <v>0</v>
      </c>
      <c r="L142" s="155"/>
      <c r="M142" s="160"/>
      <c r="N142" s="155">
        <f t="shared" si="55"/>
        <v>578320.69999999995</v>
      </c>
      <c r="P142" s="30"/>
    </row>
    <row r="143" spans="1:16" ht="93" thickTop="1" thickBot="1" x14ac:dyDescent="0.25">
      <c r="A143" s="75"/>
      <c r="B143" s="75" t="s">
        <v>592</v>
      </c>
      <c r="C143" s="75" t="s">
        <v>264</v>
      </c>
      <c r="D143" s="75" t="s">
        <v>593</v>
      </c>
      <c r="E143" s="155"/>
      <c r="F143" s="155"/>
      <c r="G143" s="155"/>
      <c r="H143" s="149"/>
      <c r="I143" s="155">
        <v>200000</v>
      </c>
      <c r="J143" s="155">
        <v>0</v>
      </c>
      <c r="K143" s="149">
        <f>J143/I143</f>
        <v>0</v>
      </c>
      <c r="L143" s="155"/>
      <c r="M143" s="160"/>
      <c r="N143" s="155">
        <f t="shared" ref="N143" si="59">G143+J143</f>
        <v>0</v>
      </c>
      <c r="P143" s="30"/>
    </row>
    <row r="144" spans="1:16" ht="77.25" customHeight="1" thickTop="1" thickBot="1" x14ac:dyDescent="0.25">
      <c r="A144" s="57" t="s">
        <v>275</v>
      </c>
      <c r="B144" s="77" t="s">
        <v>276</v>
      </c>
      <c r="C144" s="77"/>
      <c r="D144" s="78" t="s">
        <v>277</v>
      </c>
      <c r="E144" s="79">
        <f>SUM(E145:E159)-E145-E148-E150-E156-E153</f>
        <v>125334174</v>
      </c>
      <c r="F144" s="79">
        <f>SUM(F145:F159)-F145-F148-F150-F156-F153</f>
        <v>30963147</v>
      </c>
      <c r="G144" s="79">
        <f>SUM(G145:G159)-G145-G148-G150-G156-G153</f>
        <v>27694094.650000006</v>
      </c>
      <c r="H144" s="80">
        <f>G144/F144</f>
        <v>0.89442118561139816</v>
      </c>
      <c r="I144" s="79">
        <f>SUM(I145:I159)-I145-I148-I150-I156-I153</f>
        <v>1885626.02</v>
      </c>
      <c r="J144" s="79">
        <f>SUM(J145:J159)-J145-J148-J150-J156-J153</f>
        <v>391851.27</v>
      </c>
      <c r="K144" s="80">
        <f>J144/I144</f>
        <v>0.20780964297469762</v>
      </c>
      <c r="L144" s="79"/>
      <c r="M144" s="79"/>
      <c r="N144" s="81">
        <f>J144+G144</f>
        <v>28085945.920000006</v>
      </c>
      <c r="O144" s="53" t="b">
        <f>N144=N146+N147+N149+N151+N152+N157+N158+N159</f>
        <v>1</v>
      </c>
      <c r="P144" s="26"/>
    </row>
    <row r="145" spans="1:16" s="18" customFormat="1" ht="123" thickTop="1" thickBot="1" x14ac:dyDescent="0.25">
      <c r="A145" s="59" t="s">
        <v>278</v>
      </c>
      <c r="B145" s="76" t="s">
        <v>279</v>
      </c>
      <c r="C145" s="76"/>
      <c r="D145" s="76" t="s">
        <v>280</v>
      </c>
      <c r="E145" s="168">
        <f t="shared" ref="E145:J145" si="60">SUM(E146:E147)</f>
        <v>43223256</v>
      </c>
      <c r="F145" s="168">
        <f t="shared" si="60"/>
        <v>10429360</v>
      </c>
      <c r="G145" s="168">
        <f t="shared" si="60"/>
        <v>9544905.8800000008</v>
      </c>
      <c r="H145" s="157">
        <f>G145/F145</f>
        <v>0.91519574355473399</v>
      </c>
      <c r="I145" s="168">
        <f t="shared" si="60"/>
        <v>0</v>
      </c>
      <c r="J145" s="168">
        <f t="shared" si="60"/>
        <v>0</v>
      </c>
      <c r="K145" s="157">
        <v>0</v>
      </c>
      <c r="L145" s="168"/>
      <c r="M145" s="168"/>
      <c r="N145" s="156">
        <f t="shared" si="55"/>
        <v>9544905.8800000008</v>
      </c>
      <c r="O145" s="50" t="s">
        <v>391</v>
      </c>
      <c r="P145" s="32"/>
    </row>
    <row r="146" spans="1:16" s="35" customFormat="1" ht="93" thickTop="1" thickBot="1" x14ac:dyDescent="0.25">
      <c r="A146" s="58" t="s">
        <v>281</v>
      </c>
      <c r="B146" s="75" t="s">
        <v>282</v>
      </c>
      <c r="C146" s="75" t="s">
        <v>283</v>
      </c>
      <c r="D146" s="75" t="s">
        <v>284</v>
      </c>
      <c r="E146" s="166">
        <v>39000000</v>
      </c>
      <c r="F146" s="166">
        <v>9525883</v>
      </c>
      <c r="G146" s="155">
        <v>8671485.8800000008</v>
      </c>
      <c r="H146" s="149">
        <f t="shared" ref="H146:H159" si="61">G146/F146</f>
        <v>0.91030782973085023</v>
      </c>
      <c r="I146" s="155"/>
      <c r="J146" s="155"/>
      <c r="K146" s="155"/>
      <c r="L146" s="155"/>
      <c r="M146" s="160"/>
      <c r="N146" s="155">
        <f t="shared" si="55"/>
        <v>8671485.8800000008</v>
      </c>
      <c r="O146" s="33"/>
      <c r="P146" s="34"/>
    </row>
    <row r="147" spans="1:16" s="35" customFormat="1" ht="93" thickTop="1" thickBot="1" x14ac:dyDescent="0.25">
      <c r="A147" s="58" t="s">
        <v>285</v>
      </c>
      <c r="B147" s="75" t="s">
        <v>286</v>
      </c>
      <c r="C147" s="75" t="s">
        <v>283</v>
      </c>
      <c r="D147" s="75" t="s">
        <v>287</v>
      </c>
      <c r="E147" s="166">
        <v>4223256</v>
      </c>
      <c r="F147" s="166">
        <v>903477</v>
      </c>
      <c r="G147" s="155">
        <v>873420</v>
      </c>
      <c r="H147" s="149">
        <f t="shared" si="61"/>
        <v>0.96673185925042915</v>
      </c>
      <c r="I147" s="155"/>
      <c r="J147" s="155"/>
      <c r="K147" s="155"/>
      <c r="L147" s="155"/>
      <c r="M147" s="160"/>
      <c r="N147" s="155">
        <f t="shared" si="55"/>
        <v>873420</v>
      </c>
      <c r="O147" s="33"/>
      <c r="P147" s="34"/>
    </row>
    <row r="148" spans="1:16" s="18" customFormat="1" ht="123" thickTop="1" thickBot="1" x14ac:dyDescent="0.25">
      <c r="A148" s="59" t="s">
        <v>288</v>
      </c>
      <c r="B148" s="76" t="s">
        <v>289</v>
      </c>
      <c r="C148" s="76"/>
      <c r="D148" s="76" t="s">
        <v>290</v>
      </c>
      <c r="E148" s="168">
        <f t="shared" ref="E148:J148" si="62">E149</f>
        <v>28500</v>
      </c>
      <c r="F148" s="168">
        <f t="shared" si="62"/>
        <v>0</v>
      </c>
      <c r="G148" s="168">
        <f t="shared" si="62"/>
        <v>0</v>
      </c>
      <c r="H148" s="157">
        <v>0</v>
      </c>
      <c r="I148" s="168">
        <f>I149</f>
        <v>0</v>
      </c>
      <c r="J148" s="168">
        <f t="shared" si="62"/>
        <v>0</v>
      </c>
      <c r="K148" s="157">
        <v>0</v>
      </c>
      <c r="L148" s="168"/>
      <c r="M148" s="168"/>
      <c r="N148" s="156">
        <f t="shared" si="55"/>
        <v>0</v>
      </c>
      <c r="O148" s="50" t="s">
        <v>391</v>
      </c>
      <c r="P148" s="36"/>
    </row>
    <row r="149" spans="1:16" s="35" customFormat="1" ht="123" thickTop="1" thickBot="1" x14ac:dyDescent="0.25">
      <c r="A149" s="58" t="s">
        <v>291</v>
      </c>
      <c r="B149" s="75" t="s">
        <v>292</v>
      </c>
      <c r="C149" s="75" t="s">
        <v>283</v>
      </c>
      <c r="D149" s="75" t="s">
        <v>563</v>
      </c>
      <c r="E149" s="166">
        <v>28500</v>
      </c>
      <c r="F149" s="166">
        <v>0</v>
      </c>
      <c r="G149" s="166">
        <v>0</v>
      </c>
      <c r="H149" s="149">
        <v>0</v>
      </c>
      <c r="I149" s="155"/>
      <c r="J149" s="166"/>
      <c r="K149" s="166"/>
      <c r="L149" s="166"/>
      <c r="M149" s="160"/>
      <c r="N149" s="155">
        <f t="shared" si="55"/>
        <v>0</v>
      </c>
      <c r="O149" s="50" t="s">
        <v>391</v>
      </c>
      <c r="P149" s="34"/>
    </row>
    <row r="150" spans="1:16" ht="93" thickTop="1" thickBot="1" x14ac:dyDescent="0.25">
      <c r="A150" s="76" t="s">
        <v>293</v>
      </c>
      <c r="B150" s="76" t="s">
        <v>294</v>
      </c>
      <c r="C150" s="76"/>
      <c r="D150" s="76" t="s">
        <v>295</v>
      </c>
      <c r="E150" s="168">
        <f t="shared" ref="E150:J150" si="63">SUM(E151:E152)</f>
        <v>74160314</v>
      </c>
      <c r="F150" s="168">
        <f t="shared" si="63"/>
        <v>18635903</v>
      </c>
      <c r="G150" s="168">
        <f t="shared" si="63"/>
        <v>16739527.689999999</v>
      </c>
      <c r="H150" s="157">
        <f t="shared" si="61"/>
        <v>0.8982407608582208</v>
      </c>
      <c r="I150" s="168">
        <f t="shared" si="63"/>
        <v>1756467.02</v>
      </c>
      <c r="J150" s="168">
        <f t="shared" si="63"/>
        <v>379351.27</v>
      </c>
      <c r="K150" s="157">
        <f t="shared" ref="K150:K156" si="64">J150/I150</f>
        <v>0.21597403519708558</v>
      </c>
      <c r="L150" s="168"/>
      <c r="M150" s="168"/>
      <c r="N150" s="156">
        <f t="shared" si="55"/>
        <v>17118878.960000001</v>
      </c>
      <c r="P150" s="26"/>
    </row>
    <row r="151" spans="1:16" s="35" customFormat="1" ht="138.75" thickTop="1" thickBot="1" x14ac:dyDescent="0.25">
      <c r="A151" s="75" t="s">
        <v>296</v>
      </c>
      <c r="B151" s="75" t="s">
        <v>297</v>
      </c>
      <c r="C151" s="75" t="s">
        <v>283</v>
      </c>
      <c r="D151" s="75" t="s">
        <v>564</v>
      </c>
      <c r="E151" s="166">
        <v>66836891</v>
      </c>
      <c r="F151" s="166">
        <v>16719351</v>
      </c>
      <c r="G151" s="166">
        <v>14939708.6</v>
      </c>
      <c r="H151" s="149">
        <f t="shared" si="61"/>
        <v>0.89355792578312399</v>
      </c>
      <c r="I151" s="166">
        <v>1756467.02</v>
      </c>
      <c r="J151" s="166">
        <v>379351.27</v>
      </c>
      <c r="K151" s="149">
        <f t="shared" si="64"/>
        <v>0.21597403519708558</v>
      </c>
      <c r="L151" s="166"/>
      <c r="M151" s="160"/>
      <c r="N151" s="155">
        <f t="shared" si="55"/>
        <v>15319059.869999999</v>
      </c>
      <c r="O151" s="33"/>
      <c r="P151" s="34"/>
    </row>
    <row r="152" spans="1:16" s="35" customFormat="1" ht="138.75" thickTop="1" thickBot="1" x14ac:dyDescent="0.25">
      <c r="A152" s="75" t="s">
        <v>298</v>
      </c>
      <c r="B152" s="75" t="s">
        <v>299</v>
      </c>
      <c r="C152" s="75" t="s">
        <v>283</v>
      </c>
      <c r="D152" s="75" t="s">
        <v>300</v>
      </c>
      <c r="E152" s="166">
        <v>7323423</v>
      </c>
      <c r="F152" s="166">
        <v>1916552</v>
      </c>
      <c r="G152" s="166">
        <v>1799819.09</v>
      </c>
      <c r="H152" s="149">
        <f t="shared" si="61"/>
        <v>0.93909222916988433</v>
      </c>
      <c r="I152" s="166"/>
      <c r="J152" s="166"/>
      <c r="K152" s="149"/>
      <c r="L152" s="166"/>
      <c r="M152" s="160"/>
      <c r="N152" s="155">
        <f t="shared" si="55"/>
        <v>1799819.09</v>
      </c>
      <c r="O152" s="50"/>
      <c r="P152" s="34"/>
    </row>
    <row r="153" spans="1:16" s="35" customFormat="1" ht="123" hidden="1" thickTop="1" thickBot="1" x14ac:dyDescent="0.25">
      <c r="A153" s="58"/>
      <c r="B153" s="95" t="s">
        <v>353</v>
      </c>
      <c r="C153" s="95"/>
      <c r="D153" s="76" t="s">
        <v>354</v>
      </c>
      <c r="E153" s="125">
        <f>SUM(E154:E155)</f>
        <v>0</v>
      </c>
      <c r="F153" s="125">
        <v>62376</v>
      </c>
      <c r="G153" s="125">
        <f>SUM(G154:G155)</f>
        <v>0</v>
      </c>
      <c r="H153" s="97">
        <v>0</v>
      </c>
      <c r="I153" s="125">
        <f>SUM(I154:I155)</f>
        <v>0</v>
      </c>
      <c r="J153" s="125">
        <f>SUM(J154:J155)</f>
        <v>0</v>
      </c>
      <c r="K153" s="97">
        <v>0</v>
      </c>
      <c r="L153" s="125"/>
      <c r="M153" s="125"/>
      <c r="N153" s="96">
        <f t="shared" si="55"/>
        <v>0</v>
      </c>
      <c r="O153" s="50" t="s">
        <v>391</v>
      </c>
      <c r="P153" s="34"/>
    </row>
    <row r="154" spans="1:16" s="35" customFormat="1" ht="230.25" hidden="1" thickTop="1" thickBot="1" x14ac:dyDescent="0.25">
      <c r="A154" s="58"/>
      <c r="B154" s="92" t="s">
        <v>355</v>
      </c>
      <c r="C154" s="92" t="s">
        <v>283</v>
      </c>
      <c r="D154" s="75" t="s">
        <v>467</v>
      </c>
      <c r="E154" s="93"/>
      <c r="F154" s="93"/>
      <c r="G154" s="93"/>
      <c r="H154" s="91">
        <v>0</v>
      </c>
      <c r="I154" s="93">
        <v>0</v>
      </c>
      <c r="J154" s="93">
        <v>0</v>
      </c>
      <c r="K154" s="91" t="e">
        <f t="shared" si="64"/>
        <v>#DIV/0!</v>
      </c>
      <c r="L154" s="93"/>
      <c r="M154" s="94"/>
      <c r="N154" s="93">
        <f t="shared" si="55"/>
        <v>0</v>
      </c>
      <c r="O154" s="33"/>
      <c r="P154" s="34"/>
    </row>
    <row r="155" spans="1:16" s="35" customFormat="1" ht="138.75" hidden="1" thickTop="1" thickBot="1" x14ac:dyDescent="0.25">
      <c r="A155" s="58"/>
      <c r="B155" s="92" t="s">
        <v>485</v>
      </c>
      <c r="C155" s="92" t="s">
        <v>283</v>
      </c>
      <c r="D155" s="75" t="s">
        <v>486</v>
      </c>
      <c r="E155" s="93"/>
      <c r="F155" s="93"/>
      <c r="G155" s="93"/>
      <c r="H155" s="91" t="e">
        <f t="shared" si="61"/>
        <v>#DIV/0!</v>
      </c>
      <c r="I155" s="93"/>
      <c r="J155" s="93"/>
      <c r="K155" s="91"/>
      <c r="L155" s="93"/>
      <c r="M155" s="94"/>
      <c r="N155" s="93">
        <f t="shared" si="55"/>
        <v>0</v>
      </c>
      <c r="O155" s="33"/>
      <c r="P155" s="34"/>
    </row>
    <row r="156" spans="1:16" ht="93" thickTop="1" thickBot="1" x14ac:dyDescent="0.25">
      <c r="A156" s="67" t="s">
        <v>301</v>
      </c>
      <c r="B156" s="76" t="s">
        <v>302</v>
      </c>
      <c r="C156" s="76"/>
      <c r="D156" s="76" t="s">
        <v>303</v>
      </c>
      <c r="E156" s="168">
        <f t="shared" ref="E156:J156" si="65">SUM(E157:E159)</f>
        <v>7922104</v>
      </c>
      <c r="F156" s="168">
        <f t="shared" si="65"/>
        <v>1897884</v>
      </c>
      <c r="G156" s="168">
        <f t="shared" si="65"/>
        <v>1409661.08</v>
      </c>
      <c r="H156" s="157">
        <f t="shared" si="61"/>
        <v>0.74275407769916391</v>
      </c>
      <c r="I156" s="168">
        <f t="shared" si="65"/>
        <v>129159</v>
      </c>
      <c r="J156" s="168">
        <f t="shared" si="65"/>
        <v>12500</v>
      </c>
      <c r="K156" s="157">
        <f t="shared" si="64"/>
        <v>9.6779937905991834E-2</v>
      </c>
      <c r="L156" s="168"/>
      <c r="M156" s="168"/>
      <c r="N156" s="156">
        <f t="shared" si="55"/>
        <v>1422161.08</v>
      </c>
      <c r="O156" s="50"/>
      <c r="P156" s="26"/>
    </row>
    <row r="157" spans="1:16" s="35" customFormat="1" ht="184.5" thickTop="1" thickBot="1" x14ac:dyDescent="0.25">
      <c r="A157" s="68" t="s">
        <v>304</v>
      </c>
      <c r="B157" s="175" t="s">
        <v>305</v>
      </c>
      <c r="C157" s="175" t="s">
        <v>283</v>
      </c>
      <c r="D157" s="75" t="s">
        <v>306</v>
      </c>
      <c r="E157" s="166">
        <v>850564</v>
      </c>
      <c r="F157" s="166">
        <v>52184</v>
      </c>
      <c r="G157" s="155">
        <v>0</v>
      </c>
      <c r="H157" s="149">
        <f t="shared" si="61"/>
        <v>0</v>
      </c>
      <c r="I157" s="155"/>
      <c r="J157" s="155"/>
      <c r="K157" s="155"/>
      <c r="L157" s="155"/>
      <c r="M157" s="160"/>
      <c r="N157" s="155">
        <f t="shared" si="55"/>
        <v>0</v>
      </c>
      <c r="O157" s="33"/>
      <c r="P157" s="34"/>
    </row>
    <row r="158" spans="1:16" s="35" customFormat="1" ht="138.75" thickTop="1" thickBot="1" x14ac:dyDescent="0.25">
      <c r="A158" s="68" t="s">
        <v>307</v>
      </c>
      <c r="B158" s="175" t="s">
        <v>308</v>
      </c>
      <c r="C158" s="175" t="s">
        <v>283</v>
      </c>
      <c r="D158" s="75" t="s">
        <v>309</v>
      </c>
      <c r="E158" s="166">
        <v>4892000</v>
      </c>
      <c r="F158" s="166">
        <v>1258000</v>
      </c>
      <c r="G158" s="155">
        <v>888000</v>
      </c>
      <c r="H158" s="149">
        <f t="shared" si="61"/>
        <v>0.70588235294117652</v>
      </c>
      <c r="I158" s="155"/>
      <c r="J158" s="155"/>
      <c r="K158" s="155"/>
      <c r="L158" s="155"/>
      <c r="M158" s="160"/>
      <c r="N158" s="155">
        <f t="shared" si="55"/>
        <v>888000</v>
      </c>
      <c r="O158" s="33"/>
      <c r="P158" s="34"/>
    </row>
    <row r="159" spans="1:16" s="35" customFormat="1" ht="93" thickTop="1" thickBot="1" x14ac:dyDescent="0.25">
      <c r="A159" s="68" t="s">
        <v>310</v>
      </c>
      <c r="B159" s="175" t="s">
        <v>311</v>
      </c>
      <c r="C159" s="175" t="s">
        <v>283</v>
      </c>
      <c r="D159" s="75" t="s">
        <v>312</v>
      </c>
      <c r="E159" s="166">
        <v>2179540</v>
      </c>
      <c r="F159" s="166">
        <v>587700</v>
      </c>
      <c r="G159" s="155">
        <v>521661.08</v>
      </c>
      <c r="H159" s="149">
        <f t="shared" si="61"/>
        <v>0.88763158073847204</v>
      </c>
      <c r="I159" s="155">
        <v>129159</v>
      </c>
      <c r="J159" s="155">
        <v>12500</v>
      </c>
      <c r="K159" s="149">
        <f t="shared" ref="K159" si="66">J159/I159</f>
        <v>9.6779937905991834E-2</v>
      </c>
      <c r="L159" s="155"/>
      <c r="M159" s="160"/>
      <c r="N159" s="155">
        <f t="shared" si="55"/>
        <v>534161.08000000007</v>
      </c>
      <c r="O159" s="33"/>
      <c r="P159" s="34"/>
    </row>
    <row r="160" spans="1:16" ht="91.5" thickTop="1" thickBot="1" x14ac:dyDescent="0.25">
      <c r="A160" s="57" t="s">
        <v>315</v>
      </c>
      <c r="B160" s="77" t="s">
        <v>235</v>
      </c>
      <c r="C160" s="77"/>
      <c r="D160" s="78" t="s">
        <v>236</v>
      </c>
      <c r="E160" s="79">
        <f>SUM(E161:E175)-E161-E170</f>
        <v>421485821</v>
      </c>
      <c r="F160" s="79">
        <f>SUM(F161:F175)-F161-F170</f>
        <v>129995887</v>
      </c>
      <c r="G160" s="79">
        <f>SUM(G161:G175)-G161-G170</f>
        <v>114904134.5</v>
      </c>
      <c r="H160" s="80">
        <f>G160/F160</f>
        <v>0.8839059231158598</v>
      </c>
      <c r="I160" s="79">
        <f t="shared" ref="I160:J160" si="67">SUM(I161:I175)-I161-I170</f>
        <v>33523813</v>
      </c>
      <c r="J160" s="79">
        <f t="shared" si="67"/>
        <v>2078004.55</v>
      </c>
      <c r="K160" s="80">
        <f>J160/I160</f>
        <v>6.198592475145951E-2</v>
      </c>
      <c r="L160" s="79"/>
      <c r="M160" s="79"/>
      <c r="N160" s="81">
        <f>J160+G160</f>
        <v>116982139.05</v>
      </c>
      <c r="O160" s="53" t="b">
        <f>N160=N162+N163+N164+N165+N167+N168+N169+N171+N174+N175</f>
        <v>1</v>
      </c>
      <c r="P160" s="37"/>
    </row>
    <row r="161" spans="1:16" s="18" customFormat="1" ht="93" thickTop="1" thickBot="1" x14ac:dyDescent="0.25">
      <c r="A161" s="76" t="s">
        <v>316</v>
      </c>
      <c r="B161" s="76" t="s">
        <v>317</v>
      </c>
      <c r="C161" s="76"/>
      <c r="D161" s="76" t="s">
        <v>565</v>
      </c>
      <c r="E161" s="156">
        <f t="shared" ref="E161:J161" si="68">SUM(E162:E167)</f>
        <v>69563040</v>
      </c>
      <c r="F161" s="156">
        <f t="shared" si="68"/>
        <v>68207900</v>
      </c>
      <c r="G161" s="156">
        <f t="shared" si="68"/>
        <v>68127977.180000007</v>
      </c>
      <c r="H161" s="157">
        <f>G161/F161</f>
        <v>0.99882824687462901</v>
      </c>
      <c r="I161" s="156">
        <f t="shared" si="68"/>
        <v>4884000</v>
      </c>
      <c r="J161" s="156">
        <f t="shared" si="68"/>
        <v>2078004.55</v>
      </c>
      <c r="K161" s="157">
        <f t="shared" ref="K161:K162" si="69">J161/I161</f>
        <v>0.42547185708435709</v>
      </c>
      <c r="L161" s="156"/>
      <c r="M161" s="156"/>
      <c r="N161" s="156">
        <f t="shared" ref="N161:N207" si="70">G161+J161</f>
        <v>70205981.730000004</v>
      </c>
      <c r="O161" s="20"/>
      <c r="P161" s="37"/>
    </row>
    <row r="162" spans="1:16" ht="93" thickTop="1" thickBot="1" x14ac:dyDescent="0.25">
      <c r="A162" s="75" t="s">
        <v>318</v>
      </c>
      <c r="B162" s="75" t="s">
        <v>319</v>
      </c>
      <c r="C162" s="75" t="s">
        <v>239</v>
      </c>
      <c r="D162" s="75" t="s">
        <v>320</v>
      </c>
      <c r="E162" s="166">
        <v>1911200</v>
      </c>
      <c r="F162" s="166">
        <v>1045000</v>
      </c>
      <c r="G162" s="166">
        <v>1015478.92</v>
      </c>
      <c r="H162" s="149">
        <f>G162/F162</f>
        <v>0.97175016267942593</v>
      </c>
      <c r="I162" s="166">
        <v>1500000</v>
      </c>
      <c r="J162" s="169">
        <v>0</v>
      </c>
      <c r="K162" s="149">
        <f t="shared" si="69"/>
        <v>0</v>
      </c>
      <c r="L162" s="169"/>
      <c r="M162" s="160"/>
      <c r="N162" s="155">
        <f t="shared" si="70"/>
        <v>1015478.92</v>
      </c>
      <c r="P162" s="37"/>
    </row>
    <row r="163" spans="1:16" ht="138.75" customHeight="1" thickTop="1" thickBot="1" x14ac:dyDescent="0.25">
      <c r="A163" s="58"/>
      <c r="B163" s="75" t="s">
        <v>338</v>
      </c>
      <c r="C163" s="75" t="s">
        <v>323</v>
      </c>
      <c r="D163" s="75" t="s">
        <v>339</v>
      </c>
      <c r="E163" s="166">
        <v>57000000</v>
      </c>
      <c r="F163" s="166">
        <v>57000000</v>
      </c>
      <c r="G163" s="166">
        <v>57000000</v>
      </c>
      <c r="H163" s="149">
        <f t="shared" ref="H163:H174" si="71">G163/F163</f>
        <v>1</v>
      </c>
      <c r="I163" s="166"/>
      <c r="J163" s="169"/>
      <c r="K163" s="169"/>
      <c r="L163" s="169"/>
      <c r="M163" s="160"/>
      <c r="N163" s="155">
        <f t="shared" si="70"/>
        <v>57000000</v>
      </c>
      <c r="P163" s="37"/>
    </row>
    <row r="164" spans="1:16" ht="93" thickTop="1" thickBot="1" x14ac:dyDescent="0.25">
      <c r="A164" s="58"/>
      <c r="B164" s="75" t="s">
        <v>340</v>
      </c>
      <c r="C164" s="75" t="s">
        <v>323</v>
      </c>
      <c r="D164" s="75" t="s">
        <v>341</v>
      </c>
      <c r="E164" s="166">
        <v>10600240</v>
      </c>
      <c r="F164" s="166">
        <v>10150000</v>
      </c>
      <c r="G164" s="166">
        <v>10112498.26</v>
      </c>
      <c r="H164" s="149">
        <f t="shared" si="71"/>
        <v>0.99630524729064041</v>
      </c>
      <c r="I164" s="166"/>
      <c r="J164" s="169"/>
      <c r="K164" s="149"/>
      <c r="L164" s="169"/>
      <c r="M164" s="160"/>
      <c r="N164" s="155">
        <f t="shared" si="70"/>
        <v>10112498.26</v>
      </c>
      <c r="P164" s="37"/>
    </row>
    <row r="165" spans="1:16" ht="93" thickTop="1" thickBot="1" x14ac:dyDescent="0.25">
      <c r="A165" s="58" t="s">
        <v>321</v>
      </c>
      <c r="B165" s="75" t="s">
        <v>322</v>
      </c>
      <c r="C165" s="75" t="s">
        <v>323</v>
      </c>
      <c r="D165" s="75" t="s">
        <v>324</v>
      </c>
      <c r="E165" s="166"/>
      <c r="F165" s="166"/>
      <c r="G165" s="166"/>
      <c r="H165" s="149"/>
      <c r="I165" s="166">
        <v>3384000</v>
      </c>
      <c r="J165" s="169">
        <v>2078004.55</v>
      </c>
      <c r="K165" s="149">
        <f t="shared" ref="K165:K172" si="72">J165/I165</f>
        <v>0.61406753841607564</v>
      </c>
      <c r="L165" s="169"/>
      <c r="M165" s="160"/>
      <c r="N165" s="155">
        <f t="shared" si="70"/>
        <v>2078004.55</v>
      </c>
      <c r="O165" s="50"/>
      <c r="P165" s="37"/>
    </row>
    <row r="166" spans="1:16" ht="93" hidden="1" thickTop="1" thickBot="1" x14ac:dyDescent="0.25">
      <c r="A166" s="58"/>
      <c r="B166" s="92" t="s">
        <v>500</v>
      </c>
      <c r="C166" s="92" t="s">
        <v>323</v>
      </c>
      <c r="D166" s="75" t="s">
        <v>501</v>
      </c>
      <c r="E166" s="124">
        <v>0</v>
      </c>
      <c r="F166" s="124">
        <v>0</v>
      </c>
      <c r="G166" s="124">
        <v>0</v>
      </c>
      <c r="H166" s="91" t="e">
        <f t="shared" si="71"/>
        <v>#DIV/0!</v>
      </c>
      <c r="I166" s="124"/>
      <c r="J166" s="105"/>
      <c r="K166" s="91"/>
      <c r="L166" s="105"/>
      <c r="M166" s="94"/>
      <c r="N166" s="93">
        <f t="shared" si="70"/>
        <v>0</v>
      </c>
      <c r="O166" s="50"/>
      <c r="P166" s="37"/>
    </row>
    <row r="167" spans="1:16" ht="93" thickTop="1" thickBot="1" x14ac:dyDescent="0.25">
      <c r="A167" s="58" t="s">
        <v>325</v>
      </c>
      <c r="B167" s="75" t="s">
        <v>326</v>
      </c>
      <c r="C167" s="75" t="s">
        <v>323</v>
      </c>
      <c r="D167" s="75" t="s">
        <v>594</v>
      </c>
      <c r="E167" s="166">
        <v>51600</v>
      </c>
      <c r="F167" s="166">
        <v>12900</v>
      </c>
      <c r="G167" s="166">
        <v>0</v>
      </c>
      <c r="H167" s="149">
        <f t="shared" si="71"/>
        <v>0</v>
      </c>
      <c r="I167" s="166"/>
      <c r="J167" s="169"/>
      <c r="K167" s="149"/>
      <c r="L167" s="169"/>
      <c r="M167" s="160"/>
      <c r="N167" s="155">
        <f t="shared" si="70"/>
        <v>0</v>
      </c>
      <c r="O167" s="50"/>
      <c r="P167" s="37"/>
    </row>
    <row r="168" spans="1:16" ht="184.5" thickTop="1" thickBot="1" x14ac:dyDescent="0.25">
      <c r="A168" s="58" t="s">
        <v>327</v>
      </c>
      <c r="B168" s="75" t="s">
        <v>328</v>
      </c>
      <c r="C168" s="75" t="s">
        <v>323</v>
      </c>
      <c r="D168" s="75" t="s">
        <v>329</v>
      </c>
      <c r="E168" s="166">
        <v>45509377</v>
      </c>
      <c r="F168" s="166">
        <v>388000</v>
      </c>
      <c r="G168" s="166">
        <v>387993.17</v>
      </c>
      <c r="H168" s="149">
        <f t="shared" si="71"/>
        <v>0.99998239690721646</v>
      </c>
      <c r="I168" s="166"/>
      <c r="J168" s="169"/>
      <c r="K168" s="169"/>
      <c r="L168" s="169"/>
      <c r="M168" s="160"/>
      <c r="N168" s="155">
        <f t="shared" si="70"/>
        <v>387993.17</v>
      </c>
      <c r="O168" s="50"/>
      <c r="P168" s="37"/>
    </row>
    <row r="169" spans="1:16" ht="62.25" thickTop="1" thickBot="1" x14ac:dyDescent="0.25">
      <c r="A169" s="58"/>
      <c r="B169" s="75" t="s">
        <v>331</v>
      </c>
      <c r="C169" s="75" t="s">
        <v>323</v>
      </c>
      <c r="D169" s="75" t="s">
        <v>332</v>
      </c>
      <c r="E169" s="166">
        <v>304868104</v>
      </c>
      <c r="F169" s="166">
        <v>61012708</v>
      </c>
      <c r="G169" s="166">
        <v>46388164.149999999</v>
      </c>
      <c r="H169" s="149">
        <f t="shared" si="71"/>
        <v>0.76030331500775217</v>
      </c>
      <c r="I169" s="155"/>
      <c r="J169" s="166"/>
      <c r="K169" s="149"/>
      <c r="L169" s="166"/>
      <c r="M169" s="160"/>
      <c r="N169" s="155">
        <f t="shared" si="70"/>
        <v>46388164.149999999</v>
      </c>
      <c r="O169" s="52"/>
      <c r="P169" s="37"/>
    </row>
    <row r="170" spans="1:16" ht="123" thickTop="1" thickBot="1" x14ac:dyDescent="0.25">
      <c r="A170" s="58"/>
      <c r="B170" s="76" t="s">
        <v>237</v>
      </c>
      <c r="C170" s="76"/>
      <c r="D170" s="76" t="s">
        <v>566</v>
      </c>
      <c r="E170" s="168">
        <f>SUM(E171:E173)</f>
        <v>0</v>
      </c>
      <c r="F170" s="168">
        <f>SUM(F171:F173)</f>
        <v>0</v>
      </c>
      <c r="G170" s="168">
        <f>SUM(G171:G173)</f>
        <v>0</v>
      </c>
      <c r="H170" s="157">
        <v>0</v>
      </c>
      <c r="I170" s="168">
        <f>SUM(I171:I173)</f>
        <v>25000000</v>
      </c>
      <c r="J170" s="168">
        <f>SUM(J171:J173)</f>
        <v>0</v>
      </c>
      <c r="K170" s="149">
        <f t="shared" si="72"/>
        <v>0</v>
      </c>
      <c r="L170" s="168"/>
      <c r="M170" s="161"/>
      <c r="N170" s="156">
        <f t="shared" si="70"/>
        <v>0</v>
      </c>
      <c r="O170" s="50" t="s">
        <v>391</v>
      </c>
      <c r="P170" s="37"/>
    </row>
    <row r="171" spans="1:16" ht="93" thickTop="1" thickBot="1" x14ac:dyDescent="0.25">
      <c r="A171" s="58" t="s">
        <v>330</v>
      </c>
      <c r="B171" s="75" t="s">
        <v>238</v>
      </c>
      <c r="C171" s="75" t="s">
        <v>239</v>
      </c>
      <c r="D171" s="75" t="s">
        <v>567</v>
      </c>
      <c r="E171" s="166"/>
      <c r="F171" s="166"/>
      <c r="G171" s="166"/>
      <c r="H171" s="149"/>
      <c r="I171" s="155">
        <v>25000000</v>
      </c>
      <c r="J171" s="166">
        <v>0</v>
      </c>
      <c r="K171" s="149">
        <f t="shared" si="72"/>
        <v>0</v>
      </c>
      <c r="L171" s="166"/>
      <c r="M171" s="160"/>
      <c r="N171" s="155">
        <f t="shared" si="70"/>
        <v>0</v>
      </c>
      <c r="O171" s="50"/>
      <c r="P171" s="30"/>
    </row>
    <row r="172" spans="1:16" ht="409.6" hidden="1" customHeight="1" thickTop="1" thickBot="1" x14ac:dyDescent="0.25">
      <c r="A172" s="58"/>
      <c r="B172" s="92" t="s">
        <v>444</v>
      </c>
      <c r="C172" s="92" t="s">
        <v>239</v>
      </c>
      <c r="D172" s="75" t="s">
        <v>445</v>
      </c>
      <c r="E172" s="124"/>
      <c r="F172" s="124"/>
      <c r="G172" s="124"/>
      <c r="H172" s="91" t="e">
        <f t="shared" si="71"/>
        <v>#DIV/0!</v>
      </c>
      <c r="I172" s="93">
        <v>0</v>
      </c>
      <c r="J172" s="124">
        <v>0</v>
      </c>
      <c r="K172" s="91" t="e">
        <f t="shared" si="72"/>
        <v>#DIV/0!</v>
      </c>
      <c r="L172" s="124"/>
      <c r="M172" s="94"/>
      <c r="N172" s="93">
        <f t="shared" si="70"/>
        <v>0</v>
      </c>
      <c r="P172" s="30"/>
    </row>
    <row r="173" spans="1:16" ht="184.5" hidden="1" thickTop="1" thickBot="1" x14ac:dyDescent="0.25">
      <c r="A173" s="58"/>
      <c r="B173" s="129" t="s">
        <v>313</v>
      </c>
      <c r="C173" s="129" t="s">
        <v>239</v>
      </c>
      <c r="D173" s="75" t="s">
        <v>314</v>
      </c>
      <c r="E173" s="124">
        <v>0</v>
      </c>
      <c r="F173" s="124">
        <v>0</v>
      </c>
      <c r="G173" s="93">
        <v>0</v>
      </c>
      <c r="H173" s="91">
        <v>0</v>
      </c>
      <c r="I173" s="93"/>
      <c r="J173" s="93"/>
      <c r="K173" s="93"/>
      <c r="L173" s="93"/>
      <c r="M173" s="94"/>
      <c r="N173" s="93">
        <f t="shared" si="70"/>
        <v>0</v>
      </c>
      <c r="O173" s="213" t="s">
        <v>391</v>
      </c>
      <c r="P173" s="214"/>
    </row>
    <row r="174" spans="1:16" ht="93" thickTop="1" thickBot="1" x14ac:dyDescent="0.25">
      <c r="A174" s="58"/>
      <c r="B174" s="75" t="s">
        <v>457</v>
      </c>
      <c r="C174" s="75" t="s">
        <v>458</v>
      </c>
      <c r="D174" s="75" t="s">
        <v>459</v>
      </c>
      <c r="E174" s="166">
        <v>1545300</v>
      </c>
      <c r="F174" s="166">
        <v>387279</v>
      </c>
      <c r="G174" s="155">
        <v>0</v>
      </c>
      <c r="H174" s="149">
        <f t="shared" si="71"/>
        <v>0</v>
      </c>
      <c r="I174" s="155"/>
      <c r="J174" s="155"/>
      <c r="K174" s="155"/>
      <c r="L174" s="155"/>
      <c r="M174" s="160"/>
      <c r="N174" s="155">
        <f t="shared" si="70"/>
        <v>0</v>
      </c>
      <c r="O174" s="213" t="s">
        <v>391</v>
      </c>
      <c r="P174" s="214"/>
    </row>
    <row r="175" spans="1:16" ht="93" thickTop="1" thickBot="1" x14ac:dyDescent="0.25">
      <c r="A175" s="58"/>
      <c r="B175" s="75" t="s">
        <v>595</v>
      </c>
      <c r="C175" s="75" t="s">
        <v>458</v>
      </c>
      <c r="D175" s="75" t="s">
        <v>596</v>
      </c>
      <c r="E175" s="166"/>
      <c r="F175" s="166"/>
      <c r="G175" s="155"/>
      <c r="H175" s="149"/>
      <c r="I175" s="155">
        <v>3639813</v>
      </c>
      <c r="J175" s="155">
        <v>0</v>
      </c>
      <c r="K175" s="149">
        <f t="shared" ref="K175" si="73">J175/I175</f>
        <v>0</v>
      </c>
      <c r="L175" s="155"/>
      <c r="M175" s="160"/>
      <c r="N175" s="155">
        <f t="shared" si="70"/>
        <v>0</v>
      </c>
      <c r="O175" s="52"/>
      <c r="P175" s="52"/>
    </row>
    <row r="176" spans="1:16" s="38" customFormat="1" ht="101.25" customHeight="1" thickTop="1" thickBot="1" x14ac:dyDescent="0.25">
      <c r="A176" s="60" t="s">
        <v>333</v>
      </c>
      <c r="B176" s="77" t="s">
        <v>30</v>
      </c>
      <c r="C176" s="77"/>
      <c r="D176" s="78" t="s">
        <v>334</v>
      </c>
      <c r="E176" s="79">
        <f>E177+E179+E187+E195+E198</f>
        <v>213216903</v>
      </c>
      <c r="F176" s="79">
        <f>F177+F179+F187+F195+F198</f>
        <v>43506236</v>
      </c>
      <c r="G176" s="79">
        <f>G177+G179+G187+G195+G198</f>
        <v>39964793.819999985</v>
      </c>
      <c r="H176" s="80">
        <f>G176/F176</f>
        <v>0.91859920541046081</v>
      </c>
      <c r="I176" s="79">
        <f>I177+I179+I187+I195+I198</f>
        <v>36882851</v>
      </c>
      <c r="J176" s="79">
        <f>J177+J179+J187+J195+J198</f>
        <v>780548.98</v>
      </c>
      <c r="K176" s="80">
        <f>J176/I176</f>
        <v>2.1162924200192657E-2</v>
      </c>
      <c r="L176" s="79"/>
      <c r="M176" s="79"/>
      <c r="N176" s="81">
        <f>J176+G176</f>
        <v>40745342.799999982</v>
      </c>
      <c r="O176" s="53" t="b">
        <f>N176=N178+N181+N183+N186+N189+N191+N194+N196+N199+N201+N202+N203+N204+N205+N206+N208+N209</f>
        <v>1</v>
      </c>
      <c r="P176" s="51"/>
    </row>
    <row r="177" spans="1:16" s="38" customFormat="1" ht="91.5" thickTop="1" thickBot="1" x14ac:dyDescent="0.25">
      <c r="A177" s="82"/>
      <c r="B177" s="176" t="s">
        <v>372</v>
      </c>
      <c r="C177" s="176"/>
      <c r="D177" s="176" t="s">
        <v>373</v>
      </c>
      <c r="E177" s="163">
        <f>SUM(E178)</f>
        <v>90000</v>
      </c>
      <c r="F177" s="163">
        <f>SUM(F178)</f>
        <v>90000</v>
      </c>
      <c r="G177" s="163">
        <f>SUM(G178)</f>
        <v>20600</v>
      </c>
      <c r="H177" s="178">
        <f>G177/F177</f>
        <v>0.22888888888888889</v>
      </c>
      <c r="I177" s="163">
        <f>SUM(I178)</f>
        <v>0</v>
      </c>
      <c r="J177" s="163">
        <f>SUM(J178)</f>
        <v>0</v>
      </c>
      <c r="K177" s="178">
        <v>0</v>
      </c>
      <c r="L177" s="163"/>
      <c r="M177" s="163"/>
      <c r="N177" s="163">
        <f t="shared" si="70"/>
        <v>20600</v>
      </c>
      <c r="O177" s="213" t="s">
        <v>391</v>
      </c>
      <c r="P177" s="214"/>
    </row>
    <row r="178" spans="1:16" s="38" customFormat="1" ht="62.25" thickTop="1" thickBot="1" x14ac:dyDescent="0.25">
      <c r="A178" s="82"/>
      <c r="B178" s="75" t="s">
        <v>374</v>
      </c>
      <c r="C178" s="75" t="s">
        <v>375</v>
      </c>
      <c r="D178" s="75" t="s">
        <v>376</v>
      </c>
      <c r="E178" s="155">
        <v>90000</v>
      </c>
      <c r="F178" s="155">
        <v>90000</v>
      </c>
      <c r="G178" s="155">
        <v>20600</v>
      </c>
      <c r="H178" s="149">
        <f t="shared" ref="H178" si="74">G178/F178</f>
        <v>0.22888888888888889</v>
      </c>
      <c r="I178" s="155"/>
      <c r="J178" s="155"/>
      <c r="K178" s="149"/>
      <c r="L178" s="155"/>
      <c r="M178" s="160"/>
      <c r="N178" s="155">
        <f t="shared" si="70"/>
        <v>20600</v>
      </c>
      <c r="O178" s="213" t="s">
        <v>391</v>
      </c>
      <c r="P178" s="214"/>
    </row>
    <row r="179" spans="1:16" s="38" customFormat="1" ht="91.5" thickTop="1" thickBot="1" x14ac:dyDescent="0.25">
      <c r="A179" s="82"/>
      <c r="B179" s="176" t="s">
        <v>240</v>
      </c>
      <c r="C179" s="176"/>
      <c r="D179" s="176" t="s">
        <v>568</v>
      </c>
      <c r="E179" s="177">
        <f>SUM(E181:E186)</f>
        <v>1260000</v>
      </c>
      <c r="F179" s="177">
        <f>SUM(F181:F186)</f>
        <v>0</v>
      </c>
      <c r="G179" s="177">
        <f>SUM(G181:G186)</f>
        <v>0</v>
      </c>
      <c r="H179" s="178">
        <v>0</v>
      </c>
      <c r="I179" s="177">
        <f>SUM(I181:I186)</f>
        <v>6900000</v>
      </c>
      <c r="J179" s="177">
        <f>SUM(J181:J186)</f>
        <v>44678.82</v>
      </c>
      <c r="K179" s="178">
        <f t="shared" ref="K179" si="75">J179/I179</f>
        <v>6.4751913043478264E-3</v>
      </c>
      <c r="L179" s="177"/>
      <c r="M179" s="177"/>
      <c r="N179" s="163">
        <f>G179+J179</f>
        <v>44678.82</v>
      </c>
      <c r="O179" s="213" t="s">
        <v>391</v>
      </c>
      <c r="P179" s="214"/>
    </row>
    <row r="180" spans="1:16" s="38" customFormat="1" ht="93" hidden="1" thickTop="1" thickBot="1" x14ac:dyDescent="0.25">
      <c r="A180" s="82"/>
      <c r="B180" s="92" t="s">
        <v>468</v>
      </c>
      <c r="C180" s="92" t="s">
        <v>241</v>
      </c>
      <c r="D180" s="92" t="s">
        <v>471</v>
      </c>
      <c r="E180" s="93"/>
      <c r="F180" s="93"/>
      <c r="G180" s="93"/>
      <c r="H180" s="93"/>
      <c r="I180" s="93">
        <v>0</v>
      </c>
      <c r="J180" s="93">
        <v>0</v>
      </c>
      <c r="K180" s="91" t="e">
        <f t="shared" ref="K180:K187" si="76">J180/I180</f>
        <v>#DIV/0!</v>
      </c>
      <c r="L180" s="93"/>
      <c r="M180" s="94"/>
      <c r="N180" s="93">
        <f t="shared" si="70"/>
        <v>0</v>
      </c>
      <c r="O180" s="39"/>
      <c r="P180" s="51"/>
    </row>
    <row r="181" spans="1:16" s="38" customFormat="1" ht="93" thickTop="1" thickBot="1" x14ac:dyDescent="0.25">
      <c r="A181" s="8"/>
      <c r="B181" s="75" t="s">
        <v>356</v>
      </c>
      <c r="C181" s="75" t="s">
        <v>241</v>
      </c>
      <c r="D181" s="75" t="s">
        <v>472</v>
      </c>
      <c r="E181" s="155"/>
      <c r="F181" s="155"/>
      <c r="G181" s="155"/>
      <c r="H181" s="155"/>
      <c r="I181" s="155">
        <v>6100000</v>
      </c>
      <c r="J181" s="155">
        <v>44678.82</v>
      </c>
      <c r="K181" s="149">
        <f>J181/I181</f>
        <v>7.3243967213114753E-3</v>
      </c>
      <c r="L181" s="155"/>
      <c r="M181" s="160"/>
      <c r="N181" s="155">
        <f t="shared" si="70"/>
        <v>44678.82</v>
      </c>
      <c r="O181" s="39"/>
      <c r="P181" s="51"/>
    </row>
    <row r="182" spans="1:16" s="38" customFormat="1" ht="93" hidden="1" thickTop="1" thickBot="1" x14ac:dyDescent="0.25">
      <c r="A182" s="82"/>
      <c r="B182" s="92" t="s">
        <v>404</v>
      </c>
      <c r="C182" s="92" t="s">
        <v>241</v>
      </c>
      <c r="D182" s="92" t="s">
        <v>405</v>
      </c>
      <c r="E182" s="93"/>
      <c r="F182" s="93"/>
      <c r="G182" s="93"/>
      <c r="H182" s="93"/>
      <c r="I182" s="93">
        <v>0</v>
      </c>
      <c r="J182" s="93">
        <v>0</v>
      </c>
      <c r="K182" s="91" t="e">
        <f t="shared" si="76"/>
        <v>#DIV/0!</v>
      </c>
      <c r="L182" s="93"/>
      <c r="M182" s="94"/>
      <c r="N182" s="93">
        <f t="shared" si="70"/>
        <v>0</v>
      </c>
      <c r="O182" s="39"/>
      <c r="P182" s="51"/>
    </row>
    <row r="183" spans="1:16" s="38" customFormat="1" ht="93" thickTop="1" thickBot="1" x14ac:dyDescent="0.25">
      <c r="A183" s="82"/>
      <c r="B183" s="75" t="s">
        <v>597</v>
      </c>
      <c r="C183" s="75" t="s">
        <v>241</v>
      </c>
      <c r="D183" s="75" t="s">
        <v>598</v>
      </c>
      <c r="E183" s="155"/>
      <c r="F183" s="155"/>
      <c r="G183" s="155"/>
      <c r="H183" s="149"/>
      <c r="I183" s="155">
        <v>800000</v>
      </c>
      <c r="J183" s="155">
        <v>0</v>
      </c>
      <c r="K183" s="149">
        <f t="shared" si="76"/>
        <v>0</v>
      </c>
      <c r="L183" s="155"/>
      <c r="M183" s="160"/>
      <c r="N183" s="155">
        <f t="shared" si="70"/>
        <v>0</v>
      </c>
      <c r="O183" s="39"/>
      <c r="P183" s="51"/>
    </row>
    <row r="184" spans="1:16" s="38" customFormat="1" ht="62.25" hidden="1" thickTop="1" thickBot="1" x14ac:dyDescent="0.25">
      <c r="A184" s="82"/>
      <c r="B184" s="95" t="s">
        <v>446</v>
      </c>
      <c r="C184" s="95"/>
      <c r="D184" s="95" t="s">
        <v>448</v>
      </c>
      <c r="E184" s="96">
        <f>E185</f>
        <v>0</v>
      </c>
      <c r="F184" s="96">
        <f>F185</f>
        <v>0</v>
      </c>
      <c r="G184" s="96">
        <f t="shared" ref="G184" si="77">G185</f>
        <v>0</v>
      </c>
      <c r="H184" s="97"/>
      <c r="I184" s="96">
        <f>I185</f>
        <v>0</v>
      </c>
      <c r="J184" s="96">
        <f>J185</f>
        <v>0</v>
      </c>
      <c r="K184" s="91" t="e">
        <f t="shared" si="76"/>
        <v>#DIV/0!</v>
      </c>
      <c r="L184" s="96"/>
      <c r="M184" s="96"/>
      <c r="N184" s="96">
        <f t="shared" si="70"/>
        <v>0</v>
      </c>
      <c r="O184" s="213" t="s">
        <v>391</v>
      </c>
      <c r="P184" s="214"/>
    </row>
    <row r="185" spans="1:16" s="38" customFormat="1" ht="138.75" hidden="1" thickTop="1" thickBot="1" x14ac:dyDescent="0.25">
      <c r="A185" s="82"/>
      <c r="B185" s="92" t="s">
        <v>447</v>
      </c>
      <c r="C185" s="92" t="s">
        <v>38</v>
      </c>
      <c r="D185" s="92" t="s">
        <v>449</v>
      </c>
      <c r="E185" s="93"/>
      <c r="F185" s="93"/>
      <c r="G185" s="93"/>
      <c r="H185" s="93"/>
      <c r="I185" s="93"/>
      <c r="J185" s="93">
        <v>0</v>
      </c>
      <c r="K185" s="91" t="e">
        <f t="shared" si="76"/>
        <v>#DIV/0!</v>
      </c>
      <c r="L185" s="93"/>
      <c r="M185" s="94"/>
      <c r="N185" s="93">
        <f t="shared" si="70"/>
        <v>0</v>
      </c>
      <c r="O185" s="39"/>
      <c r="P185" s="51"/>
    </row>
    <row r="186" spans="1:16" s="38" customFormat="1" ht="93" thickTop="1" thickBot="1" x14ac:dyDescent="0.25">
      <c r="A186" s="8"/>
      <c r="B186" s="75" t="s">
        <v>357</v>
      </c>
      <c r="C186" s="75" t="s">
        <v>38</v>
      </c>
      <c r="D186" s="75" t="s">
        <v>358</v>
      </c>
      <c r="E186" s="155">
        <v>1260000</v>
      </c>
      <c r="F186" s="155">
        <v>0</v>
      </c>
      <c r="G186" s="155">
        <v>0</v>
      </c>
      <c r="H186" s="149">
        <v>0</v>
      </c>
      <c r="I186" s="155"/>
      <c r="J186" s="155"/>
      <c r="K186" s="149"/>
      <c r="L186" s="155"/>
      <c r="M186" s="160"/>
      <c r="N186" s="155">
        <f>G186+J186</f>
        <v>0</v>
      </c>
      <c r="O186" s="213" t="s">
        <v>391</v>
      </c>
      <c r="P186" s="214"/>
    </row>
    <row r="187" spans="1:16" s="38" customFormat="1" ht="91.5" thickTop="1" thickBot="1" x14ac:dyDescent="0.25">
      <c r="A187" s="57"/>
      <c r="B187" s="176" t="s">
        <v>342</v>
      </c>
      <c r="C187" s="176"/>
      <c r="D187" s="176" t="s">
        <v>343</v>
      </c>
      <c r="E187" s="163">
        <f>SUM(E188:E194)-E190-E193-E188</f>
        <v>195016858</v>
      </c>
      <c r="F187" s="163">
        <f>SUM(F188:F194)-F190-F193-F188</f>
        <v>37726011</v>
      </c>
      <c r="G187" s="163">
        <f>SUM(G188:G194)-G190-G193-G188</f>
        <v>36541873.739999987</v>
      </c>
      <c r="H187" s="178">
        <f t="shared" ref="H187" si="78">G187/F187</f>
        <v>0.96861217953840884</v>
      </c>
      <c r="I187" s="163">
        <f>SUM(I188:I194)-I190-I193-I188</f>
        <v>2000000</v>
      </c>
      <c r="J187" s="163">
        <f>SUM(J188:J194)-J190-J193-J188</f>
        <v>0</v>
      </c>
      <c r="K187" s="178">
        <f t="shared" si="76"/>
        <v>0</v>
      </c>
      <c r="L187" s="163"/>
      <c r="M187" s="163"/>
      <c r="N187" s="163">
        <f>G187+J187</f>
        <v>36541873.739999987</v>
      </c>
      <c r="O187" s="39"/>
      <c r="P187" s="51"/>
    </row>
    <row r="188" spans="1:16" s="38" customFormat="1" ht="93" thickTop="1" thickBot="1" x14ac:dyDescent="0.25">
      <c r="A188" s="57"/>
      <c r="B188" s="76" t="s">
        <v>415</v>
      </c>
      <c r="C188" s="76"/>
      <c r="D188" s="76" t="s">
        <v>416</v>
      </c>
      <c r="E188" s="156">
        <f>E189</f>
        <v>950000</v>
      </c>
      <c r="F188" s="156">
        <f>F189</f>
        <v>240000</v>
      </c>
      <c r="G188" s="156">
        <f>G189</f>
        <v>115556.77</v>
      </c>
      <c r="H188" s="157">
        <f t="shared" ref="H188:H203" si="79">G188/F188</f>
        <v>0.48148654166666666</v>
      </c>
      <c r="I188" s="156">
        <f t="shared" ref="I188:J188" si="80">I189</f>
        <v>0</v>
      </c>
      <c r="J188" s="156">
        <f t="shared" si="80"/>
        <v>0</v>
      </c>
      <c r="K188" s="157">
        <v>0</v>
      </c>
      <c r="L188" s="156"/>
      <c r="M188" s="156"/>
      <c r="N188" s="156">
        <f t="shared" si="70"/>
        <v>115556.77</v>
      </c>
      <c r="O188" s="213" t="s">
        <v>391</v>
      </c>
      <c r="P188" s="214"/>
    </row>
    <row r="189" spans="1:16" s="38" customFormat="1" ht="48" thickTop="1" thickBot="1" x14ac:dyDescent="0.25">
      <c r="A189" s="57"/>
      <c r="B189" s="75" t="s">
        <v>417</v>
      </c>
      <c r="C189" s="75" t="s">
        <v>418</v>
      </c>
      <c r="D189" s="75" t="s">
        <v>419</v>
      </c>
      <c r="E189" s="155">
        <v>950000</v>
      </c>
      <c r="F189" s="155">
        <v>240000</v>
      </c>
      <c r="G189" s="155">
        <v>115556.77</v>
      </c>
      <c r="H189" s="149">
        <f>G189/F189</f>
        <v>0.48148654166666666</v>
      </c>
      <c r="I189" s="155"/>
      <c r="J189" s="155"/>
      <c r="K189" s="155"/>
      <c r="L189" s="155"/>
      <c r="M189" s="160"/>
      <c r="N189" s="155">
        <f t="shared" si="70"/>
        <v>115556.77</v>
      </c>
      <c r="O189" s="39"/>
      <c r="P189" s="51"/>
    </row>
    <row r="190" spans="1:16" s="38" customFormat="1" ht="93" thickTop="1" thickBot="1" x14ac:dyDescent="0.25">
      <c r="A190" s="57"/>
      <c r="B190" s="76" t="s">
        <v>359</v>
      </c>
      <c r="C190" s="76"/>
      <c r="D190" s="76" t="s">
        <v>360</v>
      </c>
      <c r="E190" s="156">
        <f>E191</f>
        <v>194066858</v>
      </c>
      <c r="F190" s="156">
        <f>F191</f>
        <v>37486011</v>
      </c>
      <c r="G190" s="156">
        <f>G191</f>
        <v>36426316.969999999</v>
      </c>
      <c r="H190" s="149">
        <f t="shared" si="79"/>
        <v>0.9717309470458193</v>
      </c>
      <c r="I190" s="156">
        <f>I191</f>
        <v>0</v>
      </c>
      <c r="J190" s="156">
        <f>J191</f>
        <v>0</v>
      </c>
      <c r="K190" s="157">
        <v>0</v>
      </c>
      <c r="L190" s="156"/>
      <c r="M190" s="156"/>
      <c r="N190" s="156">
        <f t="shared" si="70"/>
        <v>36426316.969999999</v>
      </c>
      <c r="O190" s="213" t="s">
        <v>391</v>
      </c>
      <c r="P190" s="214"/>
    </row>
    <row r="191" spans="1:16" s="38" customFormat="1" ht="48" thickTop="1" thickBot="1" x14ac:dyDescent="0.25">
      <c r="A191" s="57"/>
      <c r="B191" s="75" t="s">
        <v>361</v>
      </c>
      <c r="C191" s="75" t="s">
        <v>362</v>
      </c>
      <c r="D191" s="75" t="s">
        <v>363</v>
      </c>
      <c r="E191" s="155">
        <v>194066858</v>
      </c>
      <c r="F191" s="155">
        <v>37486011</v>
      </c>
      <c r="G191" s="155">
        <v>36426316.969999999</v>
      </c>
      <c r="H191" s="149">
        <f t="shared" si="79"/>
        <v>0.9717309470458193</v>
      </c>
      <c r="I191" s="155"/>
      <c r="J191" s="155"/>
      <c r="K191" s="155"/>
      <c r="L191" s="155"/>
      <c r="M191" s="160"/>
      <c r="N191" s="155">
        <f t="shared" si="70"/>
        <v>36426316.969999999</v>
      </c>
      <c r="O191" s="39"/>
      <c r="P191" s="51"/>
    </row>
    <row r="192" spans="1:16" s="38" customFormat="1" ht="62.25" hidden="1" thickTop="1" thickBot="1" x14ac:dyDescent="0.25">
      <c r="A192" s="57"/>
      <c r="B192" s="92" t="s">
        <v>460</v>
      </c>
      <c r="C192" s="92" t="s">
        <v>345</v>
      </c>
      <c r="D192" s="92" t="s">
        <v>461</v>
      </c>
      <c r="E192" s="93">
        <v>0</v>
      </c>
      <c r="F192" s="93">
        <v>0</v>
      </c>
      <c r="G192" s="93">
        <v>0</v>
      </c>
      <c r="H192" s="91" t="e">
        <f t="shared" si="79"/>
        <v>#DIV/0!</v>
      </c>
      <c r="I192" s="93"/>
      <c r="J192" s="93"/>
      <c r="K192" s="93"/>
      <c r="L192" s="93"/>
      <c r="M192" s="94"/>
      <c r="N192" s="93">
        <f t="shared" si="70"/>
        <v>0</v>
      </c>
      <c r="O192" s="50"/>
      <c r="P192" s="51"/>
    </row>
    <row r="193" spans="1:16" s="38" customFormat="1" ht="93" thickTop="1" thickBot="1" x14ac:dyDescent="0.25">
      <c r="A193" s="57"/>
      <c r="B193" s="76" t="s">
        <v>402</v>
      </c>
      <c r="C193" s="76"/>
      <c r="D193" s="76" t="s">
        <v>403</v>
      </c>
      <c r="E193" s="156">
        <f>E194</f>
        <v>0</v>
      </c>
      <c r="F193" s="156">
        <f>F194</f>
        <v>0</v>
      </c>
      <c r="G193" s="156">
        <f>G194</f>
        <v>0</v>
      </c>
      <c r="H193" s="157">
        <v>0</v>
      </c>
      <c r="I193" s="156">
        <f>I194</f>
        <v>2000000</v>
      </c>
      <c r="J193" s="156">
        <f>J194</f>
        <v>0</v>
      </c>
      <c r="K193" s="157">
        <f t="shared" ref="K193:K194" si="81">J193/I193</f>
        <v>0</v>
      </c>
      <c r="L193" s="156"/>
      <c r="M193" s="161"/>
      <c r="N193" s="156">
        <f t="shared" si="70"/>
        <v>0</v>
      </c>
      <c r="O193" s="213" t="s">
        <v>391</v>
      </c>
      <c r="P193" s="214"/>
    </row>
    <row r="194" spans="1:16" s="38" customFormat="1" ht="138.75" thickTop="1" thickBot="1" x14ac:dyDescent="0.25">
      <c r="A194" s="8"/>
      <c r="B194" s="75" t="s">
        <v>344</v>
      </c>
      <c r="C194" s="75" t="s">
        <v>345</v>
      </c>
      <c r="D194" s="75" t="s">
        <v>346</v>
      </c>
      <c r="E194" s="166"/>
      <c r="F194" s="166"/>
      <c r="G194" s="166"/>
      <c r="H194" s="149"/>
      <c r="I194" s="166">
        <v>2000000</v>
      </c>
      <c r="J194" s="169">
        <v>0</v>
      </c>
      <c r="K194" s="149">
        <f t="shared" si="81"/>
        <v>0</v>
      </c>
      <c r="L194" s="169"/>
      <c r="M194" s="160"/>
      <c r="N194" s="155">
        <f t="shared" si="70"/>
        <v>0</v>
      </c>
      <c r="O194" s="213"/>
      <c r="P194" s="214"/>
    </row>
    <row r="195" spans="1:16" s="38" customFormat="1" ht="62.25" thickTop="1" thickBot="1" x14ac:dyDescent="0.25">
      <c r="A195" s="8"/>
      <c r="B195" s="176" t="s">
        <v>31</v>
      </c>
      <c r="C195" s="8"/>
      <c r="D195" s="176" t="s">
        <v>32</v>
      </c>
      <c r="E195" s="177">
        <f>E196+E197</f>
        <v>6305100</v>
      </c>
      <c r="F195" s="177">
        <f>F196+F197</f>
        <v>1455000</v>
      </c>
      <c r="G195" s="177">
        <f>G196+G197</f>
        <v>1378739.16</v>
      </c>
      <c r="H195" s="178">
        <f t="shared" si="79"/>
        <v>0.94758705154639167</v>
      </c>
      <c r="I195" s="177">
        <f>I196+I197</f>
        <v>0</v>
      </c>
      <c r="J195" s="177">
        <f>J196+J197</f>
        <v>0</v>
      </c>
      <c r="K195" s="178">
        <v>0</v>
      </c>
      <c r="L195" s="179"/>
      <c r="M195" s="179"/>
      <c r="N195" s="163">
        <f>G195+J195</f>
        <v>1378739.16</v>
      </c>
      <c r="O195" s="213" t="s">
        <v>391</v>
      </c>
      <c r="P195" s="214"/>
    </row>
    <row r="196" spans="1:16" s="38" customFormat="1" ht="48" thickTop="1" thickBot="1" x14ac:dyDescent="0.25">
      <c r="A196" s="8"/>
      <c r="B196" s="75" t="s">
        <v>33</v>
      </c>
      <c r="C196" s="75" t="s">
        <v>450</v>
      </c>
      <c r="D196" s="75" t="s">
        <v>34</v>
      </c>
      <c r="E196" s="166">
        <v>6305100</v>
      </c>
      <c r="F196" s="166">
        <v>1455000</v>
      </c>
      <c r="G196" s="166">
        <v>1378739.16</v>
      </c>
      <c r="H196" s="149">
        <f t="shared" si="79"/>
        <v>0.94758705154639167</v>
      </c>
      <c r="I196" s="166"/>
      <c r="J196" s="166"/>
      <c r="K196" s="149"/>
      <c r="L196" s="179"/>
      <c r="M196" s="179"/>
      <c r="N196" s="155">
        <f t="shared" si="70"/>
        <v>1378739.16</v>
      </c>
      <c r="O196" s="39"/>
      <c r="P196" s="51"/>
    </row>
    <row r="197" spans="1:16" s="38" customFormat="1" ht="138.75" hidden="1" thickTop="1" thickBot="1" x14ac:dyDescent="0.25">
      <c r="A197" s="57"/>
      <c r="B197" s="98" t="s">
        <v>406</v>
      </c>
      <c r="C197" s="98" t="s">
        <v>450</v>
      </c>
      <c r="D197" s="98" t="s">
        <v>407</v>
      </c>
      <c r="E197" s="106"/>
      <c r="F197" s="106"/>
      <c r="G197" s="106"/>
      <c r="H197" s="91" t="e">
        <f t="shared" si="79"/>
        <v>#DIV/0!</v>
      </c>
      <c r="I197" s="106">
        <v>0</v>
      </c>
      <c r="J197" s="106">
        <v>0</v>
      </c>
      <c r="K197" s="100">
        <v>0</v>
      </c>
      <c r="L197" s="111"/>
      <c r="M197" s="111"/>
      <c r="N197" s="99">
        <f t="shared" si="70"/>
        <v>0</v>
      </c>
      <c r="O197" s="50" t="s">
        <v>391</v>
      </c>
      <c r="P197" s="51"/>
    </row>
    <row r="198" spans="1:16" s="38" customFormat="1" ht="91.5" thickTop="1" thickBot="1" x14ac:dyDescent="0.25">
      <c r="A198" s="57"/>
      <c r="B198" s="176" t="s">
        <v>35</v>
      </c>
      <c r="C198" s="8"/>
      <c r="D198" s="176" t="s">
        <v>36</v>
      </c>
      <c r="E198" s="177">
        <f>SUM(E199:E209)-E207-E200</f>
        <v>10544945</v>
      </c>
      <c r="F198" s="177">
        <f>SUM(F199:F209)-F207-F200</f>
        <v>4235225</v>
      </c>
      <c r="G198" s="177">
        <f>SUM(G199:G209)-G207-G200</f>
        <v>2023580.92</v>
      </c>
      <c r="H198" s="178">
        <f t="shared" si="79"/>
        <v>0.47779773683806642</v>
      </c>
      <c r="I198" s="177">
        <f>SUM(I199:I209)-I207-I200</f>
        <v>27982851</v>
      </c>
      <c r="J198" s="177">
        <f>SUM(J199:J209)-J207-J200</f>
        <v>735870.16</v>
      </c>
      <c r="K198" s="178">
        <f>J198/I198</f>
        <v>2.6297183228399423E-2</v>
      </c>
      <c r="L198" s="179"/>
      <c r="M198" s="179"/>
      <c r="N198" s="163">
        <f t="shared" si="70"/>
        <v>2759451.08</v>
      </c>
      <c r="O198" s="39"/>
      <c r="P198" s="51"/>
    </row>
    <row r="199" spans="1:16" s="38" customFormat="1" ht="93" thickTop="1" thickBot="1" x14ac:dyDescent="0.25">
      <c r="A199" s="57"/>
      <c r="B199" s="75" t="s">
        <v>364</v>
      </c>
      <c r="C199" s="75" t="s">
        <v>365</v>
      </c>
      <c r="D199" s="75" t="s">
        <v>366</v>
      </c>
      <c r="E199" s="155">
        <v>4040000</v>
      </c>
      <c r="F199" s="155">
        <v>2281000</v>
      </c>
      <c r="G199" s="155">
        <v>963947.8</v>
      </c>
      <c r="H199" s="149">
        <f t="shared" si="79"/>
        <v>0.4225987724682157</v>
      </c>
      <c r="I199" s="155"/>
      <c r="J199" s="155"/>
      <c r="K199" s="149"/>
      <c r="L199" s="155"/>
      <c r="M199" s="160"/>
      <c r="N199" s="155">
        <f t="shared" si="70"/>
        <v>963947.8</v>
      </c>
      <c r="O199" s="39"/>
      <c r="P199" s="51"/>
    </row>
    <row r="200" spans="1:16" s="38" customFormat="1" ht="62.25" thickTop="1" thickBot="1" x14ac:dyDescent="0.25">
      <c r="A200" s="60"/>
      <c r="B200" s="76" t="s">
        <v>420</v>
      </c>
      <c r="C200" s="76"/>
      <c r="D200" s="76" t="s">
        <v>422</v>
      </c>
      <c r="E200" s="156">
        <f>E201</f>
        <v>1026850</v>
      </c>
      <c r="F200" s="156">
        <f>F201</f>
        <v>323610</v>
      </c>
      <c r="G200" s="156">
        <f>G201</f>
        <v>312863.03999999998</v>
      </c>
      <c r="H200" s="149">
        <f t="shared" si="79"/>
        <v>0.96679039584685267</v>
      </c>
      <c r="I200" s="156">
        <f>I201</f>
        <v>0</v>
      </c>
      <c r="J200" s="156">
        <f>J201</f>
        <v>0</v>
      </c>
      <c r="K200" s="157">
        <v>0</v>
      </c>
      <c r="L200" s="156"/>
      <c r="M200" s="161"/>
      <c r="N200" s="156">
        <f t="shared" si="70"/>
        <v>312863.03999999998</v>
      </c>
      <c r="O200" s="213" t="s">
        <v>391</v>
      </c>
      <c r="P200" s="214"/>
    </row>
    <row r="201" spans="1:16" s="38" customFormat="1" ht="93" thickTop="1" thickBot="1" x14ac:dyDescent="0.25">
      <c r="A201" s="57"/>
      <c r="B201" s="75" t="s">
        <v>421</v>
      </c>
      <c r="C201" s="75" t="s">
        <v>336</v>
      </c>
      <c r="D201" s="75" t="s">
        <v>423</v>
      </c>
      <c r="E201" s="155">
        <v>1026850</v>
      </c>
      <c r="F201" s="155">
        <v>323610</v>
      </c>
      <c r="G201" s="155">
        <v>312863.03999999998</v>
      </c>
      <c r="H201" s="149">
        <f t="shared" si="79"/>
        <v>0.96679039584685267</v>
      </c>
      <c r="I201" s="155"/>
      <c r="J201" s="155"/>
      <c r="K201" s="149"/>
      <c r="L201" s="155"/>
      <c r="M201" s="160"/>
      <c r="N201" s="155">
        <f t="shared" si="70"/>
        <v>312863.03999999998</v>
      </c>
      <c r="O201" s="39"/>
      <c r="P201" s="51"/>
    </row>
    <row r="202" spans="1:16" s="38" customFormat="1" ht="93" thickTop="1" thickBot="1" x14ac:dyDescent="0.25">
      <c r="A202" s="57"/>
      <c r="B202" s="75" t="s">
        <v>367</v>
      </c>
      <c r="C202" s="75" t="s">
        <v>336</v>
      </c>
      <c r="D202" s="75" t="s">
        <v>368</v>
      </c>
      <c r="E202" s="155">
        <v>985000</v>
      </c>
      <c r="F202" s="155">
        <v>219000</v>
      </c>
      <c r="G202" s="155">
        <v>98402</v>
      </c>
      <c r="H202" s="149">
        <f t="shared" si="79"/>
        <v>0.44932420091324199</v>
      </c>
      <c r="I202" s="155"/>
      <c r="J202" s="155"/>
      <c r="K202" s="149"/>
      <c r="L202" s="155"/>
      <c r="M202" s="160"/>
      <c r="N202" s="155">
        <f t="shared" si="70"/>
        <v>98402</v>
      </c>
      <c r="O202" s="39"/>
      <c r="P202" s="51"/>
    </row>
    <row r="203" spans="1:16" s="38" customFormat="1" ht="62.25" thickTop="1" thickBot="1" x14ac:dyDescent="0.25">
      <c r="A203" s="57"/>
      <c r="B203" s="75" t="s">
        <v>335</v>
      </c>
      <c r="C203" s="75" t="s">
        <v>336</v>
      </c>
      <c r="D203" s="75" t="s">
        <v>337</v>
      </c>
      <c r="E203" s="166">
        <v>1511400</v>
      </c>
      <c r="F203" s="166">
        <v>650000</v>
      </c>
      <c r="G203" s="166">
        <v>0</v>
      </c>
      <c r="H203" s="149">
        <f t="shared" si="79"/>
        <v>0</v>
      </c>
      <c r="I203" s="155">
        <v>1000000</v>
      </c>
      <c r="J203" s="166">
        <v>481300.24</v>
      </c>
      <c r="K203" s="149">
        <f>J203/I203</f>
        <v>0.48130023999999999</v>
      </c>
      <c r="L203" s="166"/>
      <c r="M203" s="160"/>
      <c r="N203" s="155">
        <f t="shared" si="70"/>
        <v>481300.24</v>
      </c>
      <c r="O203" s="213"/>
      <c r="P203" s="214"/>
    </row>
    <row r="204" spans="1:16" s="38" customFormat="1" ht="93" thickTop="1" thickBot="1" x14ac:dyDescent="0.25">
      <c r="A204" s="57"/>
      <c r="B204" s="75" t="s">
        <v>377</v>
      </c>
      <c r="C204" s="75" t="s">
        <v>38</v>
      </c>
      <c r="D204" s="75" t="s">
        <v>378</v>
      </c>
      <c r="E204" s="155"/>
      <c r="F204" s="155"/>
      <c r="G204" s="155"/>
      <c r="H204" s="155"/>
      <c r="I204" s="155">
        <v>10000</v>
      </c>
      <c r="J204" s="155">
        <v>0</v>
      </c>
      <c r="K204" s="149">
        <f>J204/I204</f>
        <v>0</v>
      </c>
      <c r="L204" s="155"/>
      <c r="M204" s="160"/>
      <c r="N204" s="155">
        <f t="shared" si="70"/>
        <v>0</v>
      </c>
      <c r="O204" s="39"/>
      <c r="P204" s="51"/>
    </row>
    <row r="205" spans="1:16" s="38" customFormat="1" ht="93" thickTop="1" thickBot="1" x14ac:dyDescent="0.25">
      <c r="A205" s="57"/>
      <c r="B205" s="75" t="s">
        <v>173</v>
      </c>
      <c r="C205" s="75" t="s">
        <v>38</v>
      </c>
      <c r="D205" s="75" t="s">
        <v>569</v>
      </c>
      <c r="E205" s="166"/>
      <c r="F205" s="166"/>
      <c r="G205" s="166"/>
      <c r="H205" s="166"/>
      <c r="I205" s="155">
        <v>21472851</v>
      </c>
      <c r="J205" s="166">
        <v>0</v>
      </c>
      <c r="K205" s="149">
        <f>J205/I205</f>
        <v>0</v>
      </c>
      <c r="L205" s="166"/>
      <c r="M205" s="160"/>
      <c r="N205" s="155">
        <f t="shared" si="70"/>
        <v>0</v>
      </c>
      <c r="O205" s="39"/>
      <c r="P205" s="51"/>
    </row>
    <row r="206" spans="1:16" s="38" customFormat="1" ht="93" thickTop="1" thickBot="1" x14ac:dyDescent="0.25">
      <c r="A206" s="57"/>
      <c r="B206" s="75" t="s">
        <v>37</v>
      </c>
      <c r="C206" s="75" t="s">
        <v>38</v>
      </c>
      <c r="D206" s="75" t="s">
        <v>39</v>
      </c>
      <c r="E206" s="155">
        <v>326435</v>
      </c>
      <c r="F206" s="155">
        <v>81615</v>
      </c>
      <c r="G206" s="155">
        <v>54405.84</v>
      </c>
      <c r="H206" s="149">
        <f t="shared" ref="H206:H207" si="82">G206/F206</f>
        <v>0.66661569564418299</v>
      </c>
      <c r="I206" s="179"/>
      <c r="J206" s="179"/>
      <c r="K206" s="179"/>
      <c r="L206" s="179"/>
      <c r="M206" s="179"/>
      <c r="N206" s="155">
        <f t="shared" si="70"/>
        <v>54405.84</v>
      </c>
      <c r="O206" s="39"/>
      <c r="P206" s="51"/>
    </row>
    <row r="207" spans="1:16" s="38" customFormat="1" ht="48" thickTop="1" thickBot="1" x14ac:dyDescent="0.25">
      <c r="A207" s="57"/>
      <c r="B207" s="76" t="s">
        <v>40</v>
      </c>
      <c r="C207" s="76"/>
      <c r="D207" s="76" t="s">
        <v>570</v>
      </c>
      <c r="E207" s="168">
        <f>SUM(E208:E209)</f>
        <v>2655260</v>
      </c>
      <c r="F207" s="168">
        <f>SUM(F208:F209)</f>
        <v>680000</v>
      </c>
      <c r="G207" s="168">
        <f>SUM(G208:G209)</f>
        <v>593962.23999999999</v>
      </c>
      <c r="H207" s="157">
        <f t="shared" si="82"/>
        <v>0.87347388235294121</v>
      </c>
      <c r="I207" s="168">
        <f>SUM(I208:I209)</f>
        <v>5500000</v>
      </c>
      <c r="J207" s="168">
        <f>SUM(J208:J209)</f>
        <v>254569.92</v>
      </c>
      <c r="K207" s="157">
        <f>J207/I207</f>
        <v>4.6285440000000004E-2</v>
      </c>
      <c r="L207" s="168"/>
      <c r="M207" s="168"/>
      <c r="N207" s="156">
        <f t="shared" si="70"/>
        <v>848532.16</v>
      </c>
      <c r="O207" s="39"/>
      <c r="P207" s="51"/>
    </row>
    <row r="208" spans="1:16" s="38" customFormat="1" ht="367.5" thickTop="1" thickBot="1" x14ac:dyDescent="0.25">
      <c r="A208" s="57"/>
      <c r="B208" s="158" t="s">
        <v>41</v>
      </c>
      <c r="C208" s="158" t="s">
        <v>38</v>
      </c>
      <c r="D208" s="142" t="s">
        <v>571</v>
      </c>
      <c r="E208" s="180"/>
      <c r="F208" s="180"/>
      <c r="G208" s="180"/>
      <c r="H208" s="180"/>
      <c r="I208" s="180">
        <v>5500000</v>
      </c>
      <c r="J208" s="180">
        <v>254569.92</v>
      </c>
      <c r="K208" s="181">
        <f>J208/I208</f>
        <v>4.6285440000000004E-2</v>
      </c>
      <c r="L208" s="180"/>
      <c r="M208" s="162"/>
      <c r="N208" s="180">
        <f>J208+G208</f>
        <v>254569.92</v>
      </c>
      <c r="O208" s="39"/>
      <c r="P208" s="51"/>
    </row>
    <row r="209" spans="1:16" s="38" customFormat="1" ht="48" thickTop="1" thickBot="1" x14ac:dyDescent="0.25">
      <c r="A209" s="57"/>
      <c r="B209" s="75" t="s">
        <v>42</v>
      </c>
      <c r="C209" s="75" t="s">
        <v>38</v>
      </c>
      <c r="D209" s="75" t="s">
        <v>43</v>
      </c>
      <c r="E209" s="155">
        <v>2655260</v>
      </c>
      <c r="F209" s="155">
        <v>680000</v>
      </c>
      <c r="G209" s="155">
        <v>593962.23999999999</v>
      </c>
      <c r="H209" s="149">
        <f t="shared" ref="H209" si="83">G209/F209</f>
        <v>0.87347388235294121</v>
      </c>
      <c r="I209" s="155"/>
      <c r="J209" s="155"/>
      <c r="K209" s="149"/>
      <c r="L209" s="155"/>
      <c r="M209" s="160"/>
      <c r="N209" s="155">
        <f>G209+J209</f>
        <v>593962.23999999999</v>
      </c>
      <c r="O209" s="39"/>
      <c r="P209" s="51"/>
    </row>
    <row r="210" spans="1:16" s="38" customFormat="1" ht="107.45" customHeight="1" thickTop="1" thickBot="1" x14ac:dyDescent="0.25">
      <c r="A210" s="60"/>
      <c r="B210" s="77" t="s">
        <v>44</v>
      </c>
      <c r="C210" s="77"/>
      <c r="D210" s="78" t="s">
        <v>45</v>
      </c>
      <c r="E210" s="79">
        <f>SUM(E211:E224)-E211-E218-E220-E223-E214</f>
        <v>59141378</v>
      </c>
      <c r="F210" s="79">
        <f>SUM(F211:F224)-F211-F218-F220-F223-F214</f>
        <v>26170513</v>
      </c>
      <c r="G210" s="79">
        <f>SUM(G211:G224)-G211-G218-G220-G223-G214</f>
        <v>11019209.009999994</v>
      </c>
      <c r="H210" s="80">
        <f>G210/F210</f>
        <v>0.42105437558675268</v>
      </c>
      <c r="I210" s="79">
        <f>SUM(I211:I224)-I211-I218-I220-I223-I214</f>
        <v>22364433</v>
      </c>
      <c r="J210" s="79">
        <f>SUM(J211:J224)-J211-J218-J220-J223-J214</f>
        <v>19985557.300000001</v>
      </c>
      <c r="K210" s="80">
        <f t="shared" ref="K210:K216" si="84">J210/I210</f>
        <v>0.89363129841029287</v>
      </c>
      <c r="L210" s="79"/>
      <c r="M210" s="79"/>
      <c r="N210" s="81">
        <f>J210+G210</f>
        <v>31004766.309999995</v>
      </c>
      <c r="O210" s="53" t="b">
        <f>N210=N212+N213+N215+N216+N217+N219+N221+N222+N224</f>
        <v>1</v>
      </c>
      <c r="P210" s="51"/>
    </row>
    <row r="211" spans="1:16" s="38" customFormat="1" ht="107.45" customHeight="1" thickTop="1" thickBot="1" x14ac:dyDescent="0.25">
      <c r="A211" s="60"/>
      <c r="B211" s="176" t="s">
        <v>347</v>
      </c>
      <c r="C211" s="176"/>
      <c r="D211" s="143" t="s">
        <v>572</v>
      </c>
      <c r="E211" s="163">
        <f>SUM(E212:E213)</f>
        <v>6663528</v>
      </c>
      <c r="F211" s="163">
        <f>SUM(F212:F213)</f>
        <v>1334213</v>
      </c>
      <c r="G211" s="163">
        <f>SUM(G212:G213)</f>
        <v>606023.21</v>
      </c>
      <c r="H211" s="178">
        <f>G211/F211</f>
        <v>0.45421773734778476</v>
      </c>
      <c r="I211" s="163">
        <f t="shared" ref="I211:J211" si="85">SUM(I212:I213)</f>
        <v>64433</v>
      </c>
      <c r="J211" s="163">
        <f t="shared" si="85"/>
        <v>0</v>
      </c>
      <c r="K211" s="178">
        <f>J211/I211</f>
        <v>0</v>
      </c>
      <c r="L211" s="163"/>
      <c r="M211" s="163"/>
      <c r="N211" s="163">
        <f t="shared" ref="N211:N230" si="86">G211+J211</f>
        <v>606023.21</v>
      </c>
      <c r="O211" s="213"/>
      <c r="P211" s="214"/>
    </row>
    <row r="212" spans="1:16" s="38" customFormat="1" ht="93" thickTop="1" thickBot="1" x14ac:dyDescent="0.25">
      <c r="A212" s="57"/>
      <c r="B212" s="75" t="s">
        <v>348</v>
      </c>
      <c r="C212" s="75" t="s">
        <v>349</v>
      </c>
      <c r="D212" s="75" t="s">
        <v>350</v>
      </c>
      <c r="E212" s="166">
        <v>3968076</v>
      </c>
      <c r="F212" s="166">
        <v>700000</v>
      </c>
      <c r="G212" s="166">
        <v>0</v>
      </c>
      <c r="H212" s="149">
        <f>G212/F212</f>
        <v>0</v>
      </c>
      <c r="I212" s="155"/>
      <c r="J212" s="155"/>
      <c r="K212" s="149"/>
      <c r="L212" s="166"/>
      <c r="M212" s="160"/>
      <c r="N212" s="155">
        <f t="shared" si="86"/>
        <v>0</v>
      </c>
      <c r="O212" s="213"/>
      <c r="P212" s="214"/>
    </row>
    <row r="213" spans="1:16" s="38" customFormat="1" ht="48" thickTop="1" thickBot="1" x14ac:dyDescent="0.25">
      <c r="A213" s="57"/>
      <c r="B213" s="75" t="s">
        <v>351</v>
      </c>
      <c r="C213" s="75" t="s">
        <v>349</v>
      </c>
      <c r="D213" s="75" t="s">
        <v>352</v>
      </c>
      <c r="E213" s="166">
        <v>2695452</v>
      </c>
      <c r="F213" s="166">
        <v>634213</v>
      </c>
      <c r="G213" s="166">
        <v>606023.21</v>
      </c>
      <c r="H213" s="149">
        <f t="shared" ref="H213:H221" si="87">G213/F213</f>
        <v>0.9555515418321604</v>
      </c>
      <c r="I213" s="155">
        <v>64433</v>
      </c>
      <c r="J213" s="155">
        <v>0</v>
      </c>
      <c r="K213" s="181">
        <f>J213/I213</f>
        <v>0</v>
      </c>
      <c r="L213" s="166"/>
      <c r="M213" s="160"/>
      <c r="N213" s="155">
        <f>G213+J213</f>
        <v>606023.21</v>
      </c>
      <c r="O213" s="12"/>
      <c r="P213" s="51"/>
    </row>
    <row r="214" spans="1:16" s="38" customFormat="1" ht="62.25" thickTop="1" thickBot="1" x14ac:dyDescent="0.25">
      <c r="A214" s="57"/>
      <c r="B214" s="176" t="s">
        <v>462</v>
      </c>
      <c r="C214" s="176"/>
      <c r="D214" s="176" t="s">
        <v>463</v>
      </c>
      <c r="E214" s="177">
        <f>SUM(E215:E217)</f>
        <v>28481414</v>
      </c>
      <c r="F214" s="177">
        <f>SUM(F215:F217)</f>
        <v>22046300</v>
      </c>
      <c r="G214" s="177">
        <f>SUM(G215:G217)</f>
        <v>8123942.1000000006</v>
      </c>
      <c r="H214" s="178">
        <f t="shared" si="87"/>
        <v>0.36849458185727313</v>
      </c>
      <c r="I214" s="177">
        <f t="shared" ref="I214:J214" si="88">SUM(I215:I217)</f>
        <v>20300000</v>
      </c>
      <c r="J214" s="177">
        <f t="shared" si="88"/>
        <v>19985557.300000001</v>
      </c>
      <c r="K214" s="178">
        <f t="shared" si="84"/>
        <v>0.98451021182266019</v>
      </c>
      <c r="L214" s="177"/>
      <c r="M214" s="177"/>
      <c r="N214" s="163">
        <f>G214+J214</f>
        <v>28109499.400000002</v>
      </c>
      <c r="O214" s="213"/>
      <c r="P214" s="214"/>
    </row>
    <row r="215" spans="1:16" s="38" customFormat="1" ht="93" thickTop="1" thickBot="1" x14ac:dyDescent="0.25">
      <c r="A215" s="57"/>
      <c r="B215" s="75" t="s">
        <v>478</v>
      </c>
      <c r="C215" s="75" t="s">
        <v>465</v>
      </c>
      <c r="D215" s="75" t="s">
        <v>479</v>
      </c>
      <c r="E215" s="166">
        <v>1475300</v>
      </c>
      <c r="F215" s="166">
        <v>426300</v>
      </c>
      <c r="G215" s="166">
        <v>24016.86</v>
      </c>
      <c r="H215" s="149">
        <f t="shared" si="87"/>
        <v>5.6337931034482758E-2</v>
      </c>
      <c r="I215" s="155"/>
      <c r="J215" s="166"/>
      <c r="K215" s="157"/>
      <c r="L215" s="166"/>
      <c r="M215" s="160"/>
      <c r="N215" s="155">
        <f t="shared" ref="N215" si="89">G215+J215</f>
        <v>24016.86</v>
      </c>
      <c r="O215" s="52"/>
      <c r="P215" s="52"/>
    </row>
    <row r="216" spans="1:16" s="38" customFormat="1" ht="62.25" thickTop="1" thickBot="1" x14ac:dyDescent="0.25">
      <c r="A216" s="57"/>
      <c r="B216" s="75" t="s">
        <v>480</v>
      </c>
      <c r="C216" s="75" t="s">
        <v>465</v>
      </c>
      <c r="D216" s="75" t="s">
        <v>481</v>
      </c>
      <c r="E216" s="166">
        <v>20000000</v>
      </c>
      <c r="F216" s="166">
        <v>20000000</v>
      </c>
      <c r="G216" s="166">
        <v>6560999</v>
      </c>
      <c r="H216" s="149">
        <f t="shared" si="87"/>
        <v>0.32804994999999998</v>
      </c>
      <c r="I216" s="155">
        <v>20200000</v>
      </c>
      <c r="J216" s="166">
        <v>19985557.300000001</v>
      </c>
      <c r="K216" s="149">
        <f t="shared" si="84"/>
        <v>0.98938402475247533</v>
      </c>
      <c r="L216" s="166"/>
      <c r="M216" s="160"/>
      <c r="N216" s="155">
        <f>G216+J216</f>
        <v>26546556.300000001</v>
      </c>
      <c r="O216" s="52"/>
      <c r="P216" s="52"/>
    </row>
    <row r="217" spans="1:16" s="38" customFormat="1" ht="48" thickTop="1" thickBot="1" x14ac:dyDescent="0.25">
      <c r="A217" s="57"/>
      <c r="B217" s="75" t="s">
        <v>464</v>
      </c>
      <c r="C217" s="75" t="s">
        <v>465</v>
      </c>
      <c r="D217" s="75" t="s">
        <v>466</v>
      </c>
      <c r="E217" s="166">
        <v>7006114</v>
      </c>
      <c r="F217" s="166">
        <v>1620000</v>
      </c>
      <c r="G217" s="166">
        <v>1538926.24</v>
      </c>
      <c r="H217" s="149">
        <f t="shared" si="87"/>
        <v>0.9499544691358025</v>
      </c>
      <c r="I217" s="155">
        <v>100000</v>
      </c>
      <c r="J217" s="166">
        <v>0</v>
      </c>
      <c r="K217" s="149">
        <f>J217/I217</f>
        <v>0</v>
      </c>
      <c r="L217" s="166"/>
      <c r="M217" s="160"/>
      <c r="N217" s="155">
        <f>G217+J217</f>
        <v>1538926.24</v>
      </c>
      <c r="O217" s="12"/>
      <c r="P217" s="51"/>
    </row>
    <row r="218" spans="1:16" s="38" customFormat="1" ht="91.5" thickTop="1" thickBot="1" x14ac:dyDescent="0.25">
      <c r="A218" s="57"/>
      <c r="B218" s="176" t="s">
        <v>369</v>
      </c>
      <c r="C218" s="176"/>
      <c r="D218" s="176" t="s">
        <v>370</v>
      </c>
      <c r="E218" s="177">
        <f>SUM(E219:E219)</f>
        <v>0</v>
      </c>
      <c r="F218" s="177">
        <f>SUM(F219:F219)</f>
        <v>0</v>
      </c>
      <c r="G218" s="177">
        <f>SUM(G219:G219)</f>
        <v>0</v>
      </c>
      <c r="H218" s="178">
        <v>0</v>
      </c>
      <c r="I218" s="177">
        <f>SUM(I219:I219)</f>
        <v>2000000</v>
      </c>
      <c r="J218" s="177">
        <f>SUM(J219:J219)</f>
        <v>0</v>
      </c>
      <c r="K218" s="178">
        <f t="shared" ref="K218:K219" si="90">J218/I218</f>
        <v>0</v>
      </c>
      <c r="L218" s="177"/>
      <c r="M218" s="177"/>
      <c r="N218" s="163">
        <f t="shared" si="86"/>
        <v>0</v>
      </c>
      <c r="O218" s="213" t="s">
        <v>391</v>
      </c>
      <c r="P218" s="214"/>
    </row>
    <row r="219" spans="1:16" s="38" customFormat="1" ht="93" thickTop="1" thickBot="1" x14ac:dyDescent="0.25">
      <c r="A219" s="57"/>
      <c r="B219" s="75" t="s">
        <v>469</v>
      </c>
      <c r="C219" s="75" t="s">
        <v>371</v>
      </c>
      <c r="D219" s="75" t="s">
        <v>470</v>
      </c>
      <c r="E219" s="155"/>
      <c r="F219" s="155"/>
      <c r="G219" s="155"/>
      <c r="H219" s="149"/>
      <c r="I219" s="155">
        <v>2000000</v>
      </c>
      <c r="J219" s="155">
        <v>0</v>
      </c>
      <c r="K219" s="149">
        <f t="shared" si="90"/>
        <v>0</v>
      </c>
      <c r="L219" s="155"/>
      <c r="M219" s="160"/>
      <c r="N219" s="155">
        <f t="shared" si="86"/>
        <v>0</v>
      </c>
      <c r="O219" s="39"/>
      <c r="P219" s="51"/>
    </row>
    <row r="220" spans="1:16" s="38" customFormat="1" ht="62.25" thickTop="1" thickBot="1" x14ac:dyDescent="0.25">
      <c r="A220" s="57"/>
      <c r="B220" s="176" t="s">
        <v>46</v>
      </c>
      <c r="C220" s="176"/>
      <c r="D220" s="176" t="s">
        <v>573</v>
      </c>
      <c r="E220" s="163">
        <f>SUM(E221)</f>
        <v>11148571</v>
      </c>
      <c r="F220" s="163">
        <f>SUM(F221)</f>
        <v>2790000</v>
      </c>
      <c r="G220" s="163">
        <f t="shared" ref="G220:J220" si="91">SUM(G221)</f>
        <v>2289243.7000000002</v>
      </c>
      <c r="H220" s="178">
        <f t="shared" si="87"/>
        <v>0.82051745519713271</v>
      </c>
      <c r="I220" s="163">
        <f t="shared" si="91"/>
        <v>0</v>
      </c>
      <c r="J220" s="163">
        <f t="shared" si="91"/>
        <v>0</v>
      </c>
      <c r="K220" s="178">
        <v>0</v>
      </c>
      <c r="L220" s="163"/>
      <c r="M220" s="163"/>
      <c r="N220" s="163">
        <f t="shared" si="86"/>
        <v>2289243.7000000002</v>
      </c>
      <c r="O220" s="213" t="s">
        <v>391</v>
      </c>
      <c r="P220" s="214"/>
    </row>
    <row r="221" spans="1:16" s="38" customFormat="1" ht="93" thickTop="1" thickBot="1" x14ac:dyDescent="0.25">
      <c r="A221" s="57"/>
      <c r="B221" s="75" t="s">
        <v>47</v>
      </c>
      <c r="C221" s="75" t="s">
        <v>48</v>
      </c>
      <c r="D221" s="75" t="s">
        <v>574</v>
      </c>
      <c r="E221" s="155">
        <v>11148571</v>
      </c>
      <c r="F221" s="155">
        <v>2790000</v>
      </c>
      <c r="G221" s="155">
        <v>2289243.7000000002</v>
      </c>
      <c r="H221" s="149">
        <f t="shared" si="87"/>
        <v>0.82051745519713271</v>
      </c>
      <c r="I221" s="155"/>
      <c r="J221" s="155"/>
      <c r="K221" s="149"/>
      <c r="L221" s="155"/>
      <c r="M221" s="160"/>
      <c r="N221" s="155">
        <f t="shared" si="86"/>
        <v>2289243.7000000002</v>
      </c>
      <c r="O221" s="39"/>
      <c r="P221" s="51"/>
    </row>
    <row r="222" spans="1:16" s="38" customFormat="1" ht="62.25" thickTop="1" thickBot="1" x14ac:dyDescent="0.25">
      <c r="A222" s="57"/>
      <c r="B222" s="182">
        <v>8600</v>
      </c>
      <c r="C222" s="176" t="s">
        <v>23</v>
      </c>
      <c r="D222" s="182" t="s">
        <v>379</v>
      </c>
      <c r="E222" s="163">
        <v>773346</v>
      </c>
      <c r="F222" s="163">
        <v>0</v>
      </c>
      <c r="G222" s="163">
        <v>0</v>
      </c>
      <c r="H222" s="178">
        <v>0</v>
      </c>
      <c r="I222" s="163"/>
      <c r="J222" s="163"/>
      <c r="K222" s="163"/>
      <c r="L222" s="163"/>
      <c r="M222" s="183"/>
      <c r="N222" s="163">
        <f t="shared" si="86"/>
        <v>0</v>
      </c>
      <c r="O222" s="213" t="s">
        <v>391</v>
      </c>
      <c r="P222" s="214"/>
    </row>
    <row r="223" spans="1:16" s="38" customFormat="1" ht="62.25" thickTop="1" thickBot="1" x14ac:dyDescent="0.25">
      <c r="A223" s="57"/>
      <c r="B223" s="182">
        <v>8700</v>
      </c>
      <c r="C223" s="176"/>
      <c r="D223" s="182" t="s">
        <v>380</v>
      </c>
      <c r="E223" s="163">
        <f t="shared" ref="E223:J223" si="92">E224</f>
        <v>12074519</v>
      </c>
      <c r="F223" s="163">
        <f t="shared" si="92"/>
        <v>0</v>
      </c>
      <c r="G223" s="163">
        <f t="shared" si="92"/>
        <v>0</v>
      </c>
      <c r="H223" s="178">
        <v>0</v>
      </c>
      <c r="I223" s="163">
        <f t="shared" si="92"/>
        <v>0</v>
      </c>
      <c r="J223" s="163">
        <f t="shared" si="92"/>
        <v>0</v>
      </c>
      <c r="K223" s="178">
        <v>0</v>
      </c>
      <c r="L223" s="163"/>
      <c r="M223" s="163"/>
      <c r="N223" s="163">
        <f t="shared" si="86"/>
        <v>0</v>
      </c>
      <c r="O223" s="213" t="s">
        <v>391</v>
      </c>
      <c r="P223" s="214"/>
    </row>
    <row r="224" spans="1:16" s="38" customFormat="1" ht="62.25" thickTop="1" thickBot="1" x14ac:dyDescent="0.25">
      <c r="A224" s="57"/>
      <c r="B224" s="165">
        <v>8710</v>
      </c>
      <c r="C224" s="75" t="s">
        <v>28</v>
      </c>
      <c r="D224" s="136" t="s">
        <v>381</v>
      </c>
      <c r="E224" s="155">
        <v>12074519</v>
      </c>
      <c r="F224" s="155">
        <v>0</v>
      </c>
      <c r="G224" s="155">
        <v>0</v>
      </c>
      <c r="H224" s="149">
        <v>0</v>
      </c>
      <c r="I224" s="155"/>
      <c r="J224" s="155"/>
      <c r="K224" s="149"/>
      <c r="L224" s="155"/>
      <c r="M224" s="160"/>
      <c r="N224" s="155">
        <f t="shared" si="86"/>
        <v>0</v>
      </c>
      <c r="O224" s="213" t="s">
        <v>391</v>
      </c>
      <c r="P224" s="214"/>
    </row>
    <row r="225" spans="1:27" s="38" customFormat="1" ht="62.25" thickTop="1" thickBot="1" x14ac:dyDescent="0.25">
      <c r="A225" s="60"/>
      <c r="B225" s="77" t="s">
        <v>49</v>
      </c>
      <c r="C225" s="77"/>
      <c r="D225" s="78" t="s">
        <v>50</v>
      </c>
      <c r="E225" s="79">
        <f>SUM(E226:E232)-E226-E228</f>
        <v>205487243.27999997</v>
      </c>
      <c r="F225" s="79">
        <f>SUM(F226:F232)-F226-F228</f>
        <v>79699693.280000001</v>
      </c>
      <c r="G225" s="79">
        <f>SUM(G226:G232)-G226-G228</f>
        <v>79358143.280000001</v>
      </c>
      <c r="H225" s="80">
        <f>G225/F225</f>
        <v>0.99571453808736665</v>
      </c>
      <c r="I225" s="79">
        <f>SUM(I226:I232)-I226-I228</f>
        <v>29085000</v>
      </c>
      <c r="J225" s="79">
        <f>SUM(J226:J232)-J226-J228</f>
        <v>29085000</v>
      </c>
      <c r="K225" s="80">
        <f t="shared" ref="K225" si="93">J225/I225</f>
        <v>1</v>
      </c>
      <c r="L225" s="79"/>
      <c r="M225" s="79"/>
      <c r="N225" s="81">
        <f>J225+G225</f>
        <v>108443143.28</v>
      </c>
      <c r="O225" s="53" t="b">
        <f>N225=N227+N229+N230+N231</f>
        <v>1</v>
      </c>
      <c r="P225" s="213"/>
      <c r="Q225" s="214"/>
    </row>
    <row r="226" spans="1:27" s="38" customFormat="1" ht="91.5" thickTop="1" thickBot="1" x14ac:dyDescent="0.25">
      <c r="A226" s="60"/>
      <c r="B226" s="176" t="s">
        <v>382</v>
      </c>
      <c r="C226" s="176"/>
      <c r="D226" s="176" t="s">
        <v>383</v>
      </c>
      <c r="E226" s="163">
        <f t="shared" ref="E226:J226" si="94">E227</f>
        <v>166190800</v>
      </c>
      <c r="F226" s="163">
        <f t="shared" si="94"/>
        <v>41547600</v>
      </c>
      <c r="G226" s="163">
        <f t="shared" si="94"/>
        <v>41547600</v>
      </c>
      <c r="H226" s="178">
        <f>G226/F226</f>
        <v>1</v>
      </c>
      <c r="I226" s="163">
        <f t="shared" si="94"/>
        <v>0</v>
      </c>
      <c r="J226" s="163">
        <f t="shared" si="94"/>
        <v>0</v>
      </c>
      <c r="K226" s="178">
        <v>0</v>
      </c>
      <c r="L226" s="163"/>
      <c r="M226" s="163"/>
      <c r="N226" s="163">
        <f t="shared" si="86"/>
        <v>41547600</v>
      </c>
      <c r="O226" s="213" t="s">
        <v>391</v>
      </c>
      <c r="P226" s="214"/>
    </row>
    <row r="227" spans="1:27" s="38" customFormat="1" ht="48" thickTop="1" thickBot="1" x14ac:dyDescent="0.25">
      <c r="A227" s="60"/>
      <c r="B227" s="165">
        <v>9110</v>
      </c>
      <c r="C227" s="75" t="s">
        <v>27</v>
      </c>
      <c r="D227" s="136" t="s">
        <v>384</v>
      </c>
      <c r="E227" s="155">
        <v>166190800</v>
      </c>
      <c r="F227" s="155">
        <v>41547600</v>
      </c>
      <c r="G227" s="155">
        <v>41547600</v>
      </c>
      <c r="H227" s="149">
        <f>G227/F227</f>
        <v>1</v>
      </c>
      <c r="I227" s="155"/>
      <c r="J227" s="155"/>
      <c r="K227" s="155"/>
      <c r="L227" s="155"/>
      <c r="M227" s="160"/>
      <c r="N227" s="155">
        <f t="shared" si="86"/>
        <v>41547600</v>
      </c>
      <c r="O227" s="12"/>
    </row>
    <row r="228" spans="1:27" s="38" customFormat="1" ht="136.5" thickTop="1" thickBot="1" x14ac:dyDescent="0.25">
      <c r="A228" s="60"/>
      <c r="B228" s="176" t="s">
        <v>51</v>
      </c>
      <c r="C228" s="176"/>
      <c r="D228" s="176" t="s">
        <v>52</v>
      </c>
      <c r="E228" s="163">
        <f>SUM(E229:E230)</f>
        <v>1525800</v>
      </c>
      <c r="F228" s="163">
        <f>SUM(F229:F230)</f>
        <v>381450</v>
      </c>
      <c r="G228" s="163">
        <f t="shared" ref="G228" si="95">SUM(G229:G230)</f>
        <v>339900</v>
      </c>
      <c r="H228" s="178">
        <f t="shared" ref="H228:H232" si="96">G228/F228</f>
        <v>0.89107353519465193</v>
      </c>
      <c r="I228" s="163">
        <f t="shared" ref="I228:J228" si="97">SUM(I229:I230)</f>
        <v>0</v>
      </c>
      <c r="J228" s="163">
        <f t="shared" si="97"/>
        <v>0</v>
      </c>
      <c r="K228" s="178">
        <v>0</v>
      </c>
      <c r="L228" s="163"/>
      <c r="M228" s="163"/>
      <c r="N228" s="163">
        <f t="shared" si="86"/>
        <v>339900</v>
      </c>
      <c r="O228" s="213" t="s">
        <v>391</v>
      </c>
      <c r="P228" s="214"/>
    </row>
    <row r="229" spans="1:27" s="38" customFormat="1" ht="184.5" thickTop="1" thickBot="1" x14ac:dyDescent="0.25">
      <c r="A229" s="57"/>
      <c r="B229" s="75" t="s">
        <v>53</v>
      </c>
      <c r="C229" s="75" t="s">
        <v>27</v>
      </c>
      <c r="D229" s="75" t="s">
        <v>54</v>
      </c>
      <c r="E229" s="155">
        <v>1359600</v>
      </c>
      <c r="F229" s="155">
        <v>339900</v>
      </c>
      <c r="G229" s="155">
        <v>339900</v>
      </c>
      <c r="H229" s="149">
        <f>G229/F229</f>
        <v>1</v>
      </c>
      <c r="I229" s="155"/>
      <c r="J229" s="155"/>
      <c r="K229" s="155"/>
      <c r="L229" s="155"/>
      <c r="M229" s="160"/>
      <c r="N229" s="155">
        <f t="shared" si="86"/>
        <v>339900</v>
      </c>
      <c r="O229" s="39"/>
      <c r="P229" s="51"/>
    </row>
    <row r="230" spans="1:27" s="38" customFormat="1" ht="60.75" thickTop="1" thickBot="1" x14ac:dyDescent="0.8">
      <c r="A230" s="57"/>
      <c r="B230" s="75" t="s">
        <v>55</v>
      </c>
      <c r="C230" s="75" t="s">
        <v>27</v>
      </c>
      <c r="D230" s="75" t="s">
        <v>56</v>
      </c>
      <c r="E230" s="155">
        <v>166200</v>
      </c>
      <c r="F230" s="155">
        <v>41550</v>
      </c>
      <c r="G230" s="155">
        <v>0</v>
      </c>
      <c r="H230" s="149">
        <f>G230/F230</f>
        <v>0</v>
      </c>
      <c r="I230" s="155"/>
      <c r="J230" s="155"/>
      <c r="K230" s="149"/>
      <c r="L230" s="155"/>
      <c r="M230" s="160"/>
      <c r="N230" s="155">
        <f t="shared" si="86"/>
        <v>0</v>
      </c>
      <c r="O230" s="54"/>
      <c r="P230" s="51"/>
    </row>
    <row r="231" spans="1:27" s="38" customFormat="1" ht="136.5" thickTop="1" thickBot="1" x14ac:dyDescent="0.25">
      <c r="A231" s="57"/>
      <c r="B231" s="176" t="s">
        <v>57</v>
      </c>
      <c r="C231" s="176" t="s">
        <v>27</v>
      </c>
      <c r="D231" s="176" t="s">
        <v>58</v>
      </c>
      <c r="E231" s="164">
        <v>37770643.280000001</v>
      </c>
      <c r="F231" s="164">
        <v>37770643.280000001</v>
      </c>
      <c r="G231" s="164">
        <v>37470643.280000001</v>
      </c>
      <c r="H231" s="184">
        <f t="shared" si="96"/>
        <v>0.99205732352038456</v>
      </c>
      <c r="I231" s="164">
        <v>29085000</v>
      </c>
      <c r="J231" s="164">
        <v>29085000</v>
      </c>
      <c r="K231" s="178">
        <f t="shared" ref="K231" si="98">J231/I231</f>
        <v>1</v>
      </c>
      <c r="L231" s="163"/>
      <c r="M231" s="163"/>
      <c r="N231" s="164">
        <f t="shared" ref="N231:N232" si="99">G231+J231</f>
        <v>66555643.280000001</v>
      </c>
      <c r="O231" s="39"/>
      <c r="P231" s="51"/>
    </row>
    <row r="232" spans="1:27" s="38" customFormat="1" ht="367.5" hidden="1" thickTop="1" thickBot="1" x14ac:dyDescent="0.25">
      <c r="A232" s="57"/>
      <c r="B232" s="85" t="s">
        <v>488</v>
      </c>
      <c r="C232" s="85" t="s">
        <v>27</v>
      </c>
      <c r="D232" s="85" t="s">
        <v>487</v>
      </c>
      <c r="E232" s="86">
        <v>0</v>
      </c>
      <c r="F232" s="86">
        <v>0</v>
      </c>
      <c r="G232" s="86">
        <v>0</v>
      </c>
      <c r="H232" s="84" t="e">
        <f t="shared" si="96"/>
        <v>#DIV/0!</v>
      </c>
      <c r="I232" s="86"/>
      <c r="J232" s="86"/>
      <c r="K232" s="84"/>
      <c r="L232" s="86"/>
      <c r="M232" s="87"/>
      <c r="N232" s="86">
        <f t="shared" si="99"/>
        <v>0</v>
      </c>
      <c r="O232" s="39"/>
      <c r="P232" s="51"/>
    </row>
    <row r="233" spans="1:27" s="38" customFormat="1" ht="71.45" customHeight="1" thickTop="1" thickBot="1" x14ac:dyDescent="0.25">
      <c r="A233" s="60"/>
      <c r="B233" s="63" t="s">
        <v>385</v>
      </c>
      <c r="C233" s="63" t="s">
        <v>385</v>
      </c>
      <c r="D233" s="64" t="s">
        <v>392</v>
      </c>
      <c r="E233" s="65">
        <f>E14+E19+E62+E77+E134+E144+E160+E176+E210+E225</f>
        <v>3861834487</v>
      </c>
      <c r="F233" s="65">
        <f>F14+F19+F62+F77+F134+F144+F160+F176+F210+F225</f>
        <v>1148901830.3600001</v>
      </c>
      <c r="G233" s="65">
        <f>G14+G19+G62+G77+G134+G144+G160+G176+G210+G225</f>
        <v>994445390.15799952</v>
      </c>
      <c r="H233" s="66">
        <f>G233/F233</f>
        <v>0.86556167279009133</v>
      </c>
      <c r="I233" s="65">
        <f>I14+I19+I62+I77+I134+I144+I160+I176+I210+I225</f>
        <v>561518042.20000005</v>
      </c>
      <c r="J233" s="65">
        <f>J14+J19+J62+J77+J134+J144+J160+J176+J210+J225</f>
        <v>143550077.80000001</v>
      </c>
      <c r="K233" s="66">
        <f>J233/I233</f>
        <v>0.255646420972651</v>
      </c>
      <c r="L233" s="65" t="e">
        <f>#REF!+#REF!+#REF!+#REF!+#REF!+#REF!++L152+L161+L221+L180+L202+L213+L170+#REF!+#REF!</f>
        <v>#REF!</v>
      </c>
      <c r="M233" s="65" t="e">
        <f>#REF!+#REF!+#REF!+#REF!+#REF!+#REF!++M152+M161+M221+M180+M202+M213+M170+#REF!+#REF!</f>
        <v>#REF!</v>
      </c>
      <c r="N233" s="65">
        <f>N14+N19+N62+N77+N134+N144+N160+N176+N210+N225</f>
        <v>1137995467.9579995</v>
      </c>
      <c r="O233" s="53" t="b">
        <f>N233=J233+G233</f>
        <v>1</v>
      </c>
      <c r="P233" s="51"/>
    </row>
    <row r="234" spans="1:27" s="38" customFormat="1" ht="62.25" thickTop="1" thickBot="1" x14ac:dyDescent="0.25">
      <c r="A234" s="57"/>
      <c r="B234" s="8" t="s">
        <v>44</v>
      </c>
      <c r="C234" s="185"/>
      <c r="D234" s="144" t="s">
        <v>397</v>
      </c>
      <c r="E234" s="186">
        <f>E235</f>
        <v>0</v>
      </c>
      <c r="F234" s="186">
        <f t="shared" ref="F234:G234" si="100">F235</f>
        <v>0</v>
      </c>
      <c r="G234" s="186">
        <f t="shared" si="100"/>
        <v>0</v>
      </c>
      <c r="H234" s="184">
        <v>0</v>
      </c>
      <c r="I234" s="186">
        <f>I235</f>
        <v>0</v>
      </c>
      <c r="J234" s="186">
        <f>J235</f>
        <v>-171587.24</v>
      </c>
      <c r="K234" s="184"/>
      <c r="L234" s="186"/>
      <c r="M234" s="186"/>
      <c r="N234" s="164">
        <f t="shared" ref="N234:N241" si="101">G234+J234</f>
        <v>-171587.24</v>
      </c>
      <c r="O234" s="213" t="s">
        <v>391</v>
      </c>
      <c r="P234" s="214"/>
    </row>
    <row r="235" spans="1:27" s="38" customFormat="1" ht="62.25" thickTop="1" thickBot="1" x14ac:dyDescent="0.25">
      <c r="A235" s="57"/>
      <c r="B235" s="176" t="s">
        <v>395</v>
      </c>
      <c r="C235" s="185"/>
      <c r="D235" s="145" t="s">
        <v>398</v>
      </c>
      <c r="E235" s="183">
        <f>E236+E241+E239</f>
        <v>0</v>
      </c>
      <c r="F235" s="183">
        <f t="shared" ref="F235:G235" si="102">F236+F241+F239</f>
        <v>0</v>
      </c>
      <c r="G235" s="183">
        <f t="shared" si="102"/>
        <v>0</v>
      </c>
      <c r="H235" s="178">
        <v>0</v>
      </c>
      <c r="I235" s="183">
        <f>I236+I241+I239</f>
        <v>0</v>
      </c>
      <c r="J235" s="183">
        <f>J236+J241+J239</f>
        <v>-171587.24</v>
      </c>
      <c r="K235" s="178"/>
      <c r="L235" s="183"/>
      <c r="M235" s="183"/>
      <c r="N235" s="163">
        <f t="shared" si="101"/>
        <v>-171587.24</v>
      </c>
      <c r="O235" s="213" t="s">
        <v>391</v>
      </c>
      <c r="P235" s="214"/>
    </row>
    <row r="236" spans="1:27" s="38" customFormat="1" ht="184.5" thickTop="1" thickBot="1" x14ac:dyDescent="0.25">
      <c r="A236" s="60"/>
      <c r="B236" s="76" t="s">
        <v>396</v>
      </c>
      <c r="C236" s="185"/>
      <c r="D236" s="146" t="s">
        <v>399</v>
      </c>
      <c r="E236" s="161">
        <f>E237+E238</f>
        <v>0</v>
      </c>
      <c r="F236" s="161">
        <f>F237+F238</f>
        <v>0</v>
      </c>
      <c r="G236" s="161">
        <f>G237+G238</f>
        <v>0</v>
      </c>
      <c r="H236" s="157">
        <v>0</v>
      </c>
      <c r="I236" s="161">
        <f>I237+I238</f>
        <v>0</v>
      </c>
      <c r="J236" s="161">
        <f>J237+J238</f>
        <v>-157459.35</v>
      </c>
      <c r="K236" s="149"/>
      <c r="L236" s="161"/>
      <c r="M236" s="161"/>
      <c r="N236" s="156">
        <f t="shared" si="101"/>
        <v>-157459.35</v>
      </c>
      <c r="O236" s="213" t="s">
        <v>391</v>
      </c>
      <c r="P236" s="214"/>
    </row>
    <row r="237" spans="1:27" s="38" customFormat="1" ht="184.5" hidden="1" customHeight="1" thickTop="1" thickBot="1" x14ac:dyDescent="0.25">
      <c r="A237" s="60"/>
      <c r="B237" s="131" t="s">
        <v>393</v>
      </c>
      <c r="C237" s="131" t="s">
        <v>81</v>
      </c>
      <c r="D237" s="147" t="s">
        <v>400</v>
      </c>
      <c r="E237" s="94">
        <v>0</v>
      </c>
      <c r="F237" s="94">
        <v>0</v>
      </c>
      <c r="G237" s="94">
        <v>0</v>
      </c>
      <c r="H237" s="91">
        <v>0</v>
      </c>
      <c r="I237" s="94">
        <v>0</v>
      </c>
      <c r="J237" s="94">
        <v>0</v>
      </c>
      <c r="K237" s="91" t="e">
        <f>J237/I237</f>
        <v>#DIV/0!</v>
      </c>
      <c r="L237" s="130"/>
      <c r="M237" s="130"/>
      <c r="N237" s="93">
        <f>G237+J237</f>
        <v>0</v>
      </c>
      <c r="O237" s="213" t="s">
        <v>391</v>
      </c>
      <c r="P237" s="214"/>
    </row>
    <row r="238" spans="1:27" s="38" customFormat="1" ht="184.5" thickTop="1" thickBot="1" x14ac:dyDescent="1.2">
      <c r="A238" s="57"/>
      <c r="B238" s="187" t="s">
        <v>394</v>
      </c>
      <c r="C238" s="187" t="s">
        <v>81</v>
      </c>
      <c r="D238" s="147" t="s">
        <v>401</v>
      </c>
      <c r="E238" s="186"/>
      <c r="F238" s="186"/>
      <c r="G238" s="186"/>
      <c r="H238" s="178"/>
      <c r="I238" s="160">
        <v>0</v>
      </c>
      <c r="J238" s="160">
        <v>-157459.35</v>
      </c>
      <c r="K238" s="149"/>
      <c r="L238" s="186"/>
      <c r="M238" s="186"/>
      <c r="N238" s="155">
        <f t="shared" si="101"/>
        <v>-157459.35</v>
      </c>
      <c r="O238" s="213" t="s">
        <v>391</v>
      </c>
      <c r="P238" s="214"/>
      <c r="AA238" s="56"/>
    </row>
    <row r="239" spans="1:27" s="38" customFormat="1" ht="138.75" thickTop="1" thickBot="1" x14ac:dyDescent="1.2">
      <c r="A239" s="60"/>
      <c r="B239" s="188" t="s">
        <v>497</v>
      </c>
      <c r="C239" s="188"/>
      <c r="D239" s="189" t="s">
        <v>496</v>
      </c>
      <c r="E239" s="161">
        <f>E240</f>
        <v>0</v>
      </c>
      <c r="F239" s="161">
        <f>F240</f>
        <v>0</v>
      </c>
      <c r="G239" s="161">
        <f>G240</f>
        <v>0</v>
      </c>
      <c r="H239" s="157">
        <v>0</v>
      </c>
      <c r="I239" s="161">
        <f>I240</f>
        <v>0</v>
      </c>
      <c r="J239" s="161">
        <f>J240</f>
        <v>-14127.89</v>
      </c>
      <c r="K239" s="157"/>
      <c r="L239" s="161"/>
      <c r="M239" s="161"/>
      <c r="N239" s="156">
        <f t="shared" ref="N239" si="103">G239+J239</f>
        <v>-14127.89</v>
      </c>
      <c r="O239" s="213" t="s">
        <v>391</v>
      </c>
      <c r="P239" s="214"/>
      <c r="AA239" s="56"/>
    </row>
    <row r="240" spans="1:27" s="38" customFormat="1" ht="138.75" thickTop="1" thickBot="1" x14ac:dyDescent="1.2">
      <c r="A240" s="60"/>
      <c r="B240" s="187" t="s">
        <v>498</v>
      </c>
      <c r="C240" s="187" t="s">
        <v>81</v>
      </c>
      <c r="D240" s="147" t="s">
        <v>499</v>
      </c>
      <c r="E240" s="160"/>
      <c r="F240" s="160"/>
      <c r="G240" s="160"/>
      <c r="H240" s="149"/>
      <c r="I240" s="160">
        <v>0</v>
      </c>
      <c r="J240" s="160">
        <v>-14127.89</v>
      </c>
      <c r="K240" s="149"/>
      <c r="L240" s="186"/>
      <c r="M240" s="186"/>
      <c r="N240" s="155">
        <f>G240+J240</f>
        <v>-14127.89</v>
      </c>
      <c r="O240" s="213" t="s">
        <v>391</v>
      </c>
      <c r="P240" s="214"/>
      <c r="AA240" s="56"/>
    </row>
    <row r="241" spans="1:27" s="38" customFormat="1" ht="138.75" thickTop="1" thickBot="1" x14ac:dyDescent="1.2">
      <c r="A241" s="60"/>
      <c r="B241" s="188" t="s">
        <v>495</v>
      </c>
      <c r="C241" s="185"/>
      <c r="D241" s="146" t="s">
        <v>492</v>
      </c>
      <c r="E241" s="161">
        <f>SUM(E242:E243)</f>
        <v>0</v>
      </c>
      <c r="F241" s="161">
        <f>SUM(F242:F243)</f>
        <v>0</v>
      </c>
      <c r="G241" s="161">
        <f>SUM(G242:G243)</f>
        <v>0</v>
      </c>
      <c r="H241" s="157">
        <v>0</v>
      </c>
      <c r="I241" s="161">
        <f>SUM(I242:I243)</f>
        <v>0</v>
      </c>
      <c r="J241" s="161">
        <f>SUM(J242:J243)</f>
        <v>0</v>
      </c>
      <c r="K241" s="157">
        <v>0</v>
      </c>
      <c r="L241" s="161"/>
      <c r="M241" s="161"/>
      <c r="N241" s="156">
        <f t="shared" si="101"/>
        <v>0</v>
      </c>
      <c r="O241" s="213" t="s">
        <v>391</v>
      </c>
      <c r="P241" s="214"/>
      <c r="AA241" s="56"/>
    </row>
    <row r="242" spans="1:27" s="38" customFormat="1" ht="138.75" thickTop="1" thickBot="1" x14ac:dyDescent="1.2">
      <c r="A242" s="60"/>
      <c r="B242" s="187" t="s">
        <v>494</v>
      </c>
      <c r="C242" s="187" t="s">
        <v>38</v>
      </c>
      <c r="D242" s="147" t="s">
        <v>493</v>
      </c>
      <c r="E242" s="186"/>
      <c r="F242" s="186"/>
      <c r="G242" s="186"/>
      <c r="H242" s="178"/>
      <c r="I242" s="160">
        <v>68876235</v>
      </c>
      <c r="J242" s="160">
        <v>0</v>
      </c>
      <c r="K242" s="149">
        <f>J242/I242</f>
        <v>0</v>
      </c>
      <c r="L242" s="186"/>
      <c r="M242" s="186"/>
      <c r="N242" s="155">
        <f>G242+J242</f>
        <v>0</v>
      </c>
      <c r="O242" s="83"/>
      <c r="P242" s="51"/>
      <c r="AA242" s="56"/>
    </row>
    <row r="243" spans="1:27" s="38" customFormat="1" ht="138.75" thickTop="1" thickBot="1" x14ac:dyDescent="1.2">
      <c r="A243" s="60"/>
      <c r="B243" s="187" t="s">
        <v>511</v>
      </c>
      <c r="C243" s="187" t="s">
        <v>38</v>
      </c>
      <c r="D243" s="147" t="s">
        <v>512</v>
      </c>
      <c r="E243" s="186"/>
      <c r="F243" s="186"/>
      <c r="G243" s="186"/>
      <c r="H243" s="178"/>
      <c r="I243" s="160">
        <v>-68876235</v>
      </c>
      <c r="J243" s="160">
        <v>0</v>
      </c>
      <c r="K243" s="149">
        <f>J243/I243</f>
        <v>0</v>
      </c>
      <c r="L243" s="186"/>
      <c r="M243" s="186"/>
      <c r="N243" s="155">
        <f>G243+J243</f>
        <v>0</v>
      </c>
      <c r="O243" s="83"/>
      <c r="P243" s="51"/>
      <c r="AA243" s="56"/>
    </row>
    <row r="244" spans="1:27" s="38" customFormat="1" ht="119.25" customHeight="1" thickTop="1" thickBot="1" x14ac:dyDescent="0.25">
      <c r="A244" s="60"/>
      <c r="B244" s="63" t="s">
        <v>385</v>
      </c>
      <c r="C244" s="63" t="s">
        <v>385</v>
      </c>
      <c r="D244" s="64" t="s">
        <v>386</v>
      </c>
      <c r="E244" s="65">
        <f>E233+E234</f>
        <v>3861834487</v>
      </c>
      <c r="F244" s="65">
        <f>F233+F234</f>
        <v>1148901830.3600001</v>
      </c>
      <c r="G244" s="65">
        <f>G233+G234</f>
        <v>994445390.15799952</v>
      </c>
      <c r="H244" s="66">
        <f>G244/F244</f>
        <v>0.86556167279009133</v>
      </c>
      <c r="I244" s="65">
        <f>I233+I234</f>
        <v>561518042.20000005</v>
      </c>
      <c r="J244" s="65">
        <f>J233+J234</f>
        <v>143378490.56</v>
      </c>
      <c r="K244" s="66">
        <f>J244/I244</f>
        <v>0.25534084354306791</v>
      </c>
      <c r="L244" s="65" t="e">
        <f>#REF!+#REF!+#REF!+#REF!+#REF!+#REF!++L159+L168+L227+L194+L208+#REF!+L179+#REF!+#REF!</f>
        <v>#REF!</v>
      </c>
      <c r="M244" s="65" t="e">
        <f>#REF!+#REF!+#REF!+#REF!+#REF!+#REF!++M159+M168+M227+M194+M208+#REF!+M179+#REF!+#REF!</f>
        <v>#REF!</v>
      </c>
      <c r="N244" s="65">
        <f>N233+N234</f>
        <v>1137823880.7179995</v>
      </c>
      <c r="O244" s="53" t="b">
        <f>N244=J244+G244</f>
        <v>1</v>
      </c>
      <c r="P244" s="51"/>
      <c r="S244" s="65">
        <f>N244/(I244+E244)*100</f>
        <v>25.72311099345691</v>
      </c>
      <c r="T244" s="65">
        <f>G244/E244*100</f>
        <v>25.750595824486446</v>
      </c>
    </row>
    <row r="245" spans="1:27" ht="46.5" thickTop="1" x14ac:dyDescent="0.2">
      <c r="A245" s="208" t="s">
        <v>477</v>
      </c>
      <c r="B245" s="208"/>
      <c r="C245" s="208"/>
      <c r="D245" s="208"/>
      <c r="E245" s="208"/>
      <c r="F245" s="208"/>
      <c r="G245" s="208"/>
      <c r="H245" s="208"/>
      <c r="I245" s="208"/>
      <c r="J245" s="208"/>
      <c r="K245" s="208"/>
      <c r="L245" s="208"/>
      <c r="M245" s="208"/>
      <c r="N245" s="208"/>
      <c r="O245" s="40"/>
    </row>
    <row r="246" spans="1:27" ht="45.75" x14ac:dyDescent="0.65">
      <c r="A246" s="41"/>
      <c r="B246" s="42"/>
      <c r="C246" s="42"/>
      <c r="D246" s="43" t="s">
        <v>599</v>
      </c>
      <c r="E246"/>
      <c r="F246"/>
      <c r="G246" s="43"/>
      <c r="H246" s="45"/>
      <c r="I246" s="43" t="s">
        <v>600</v>
      </c>
      <c r="J246" s="45"/>
      <c r="K246" s="45"/>
      <c r="L246" s="45"/>
      <c r="M246" s="45"/>
      <c r="N246" s="45"/>
      <c r="O246" s="40"/>
    </row>
    <row r="247" spans="1:27" ht="45.75" x14ac:dyDescent="0.65">
      <c r="A247" s="61"/>
      <c r="B247" s="62"/>
      <c r="C247" s="62"/>
      <c r="D247" s="209"/>
      <c r="E247" s="209"/>
      <c r="F247" s="209"/>
      <c r="G247" s="209"/>
      <c r="H247" s="209"/>
      <c r="I247" s="209"/>
      <c r="J247" s="209"/>
      <c r="K247" s="209"/>
      <c r="L247" s="209"/>
      <c r="M247" s="209"/>
      <c r="N247" s="209"/>
      <c r="O247" s="40"/>
    </row>
    <row r="248" spans="1:27" ht="45.75" x14ac:dyDescent="0.65">
      <c r="A248" s="41"/>
      <c r="B248" s="42"/>
      <c r="C248" s="42"/>
      <c r="D248" s="43" t="s">
        <v>503</v>
      </c>
      <c r="E248" s="44"/>
      <c r="F248" s="44"/>
      <c r="G248" s="43"/>
      <c r="H248" s="45"/>
      <c r="I248" s="43" t="s">
        <v>504</v>
      </c>
      <c r="J248" s="45"/>
      <c r="K248" s="45"/>
      <c r="L248" s="45"/>
      <c r="M248" s="45"/>
      <c r="N248" s="45"/>
      <c r="O248" s="40"/>
    </row>
    <row r="249" spans="1:27" ht="45.75" x14ac:dyDescent="0.65">
      <c r="A249" s="2"/>
      <c r="B249" s="2"/>
      <c r="C249" s="2"/>
      <c r="D249" s="207"/>
      <c r="E249" s="207"/>
      <c r="F249" s="207"/>
      <c r="G249" s="207"/>
      <c r="H249" s="207"/>
      <c r="I249" s="207"/>
      <c r="J249" s="207"/>
      <c r="K249" s="207"/>
      <c r="L249" s="207"/>
      <c r="M249" s="207"/>
      <c r="N249" s="207"/>
      <c r="O249" s="46"/>
    </row>
    <row r="266" spans="5:10" ht="47.25" hidden="1" thickTop="1" thickBot="1" x14ac:dyDescent="0.25">
      <c r="E266" s="55">
        <f>E233-E225-E223</f>
        <v>3644272724.7200003</v>
      </c>
      <c r="F266" s="55">
        <f>F233-F225-F223</f>
        <v>1069202137.0800002</v>
      </c>
      <c r="I266" s="55">
        <f>I233-I225-I223</f>
        <v>532433042.20000005</v>
      </c>
      <c r="J266" s="112"/>
    </row>
    <row r="274" spans="9:9" ht="45.75" x14ac:dyDescent="0.2">
      <c r="I274" s="112"/>
    </row>
    <row r="276" spans="9:9" ht="183" customHeight="1" x14ac:dyDescent="0.2"/>
    <row r="277" spans="9:9" ht="228" customHeight="1" x14ac:dyDescent="0.2"/>
    <row r="278" spans="9:9" ht="294" customHeight="1" x14ac:dyDescent="0.2"/>
    <row r="279" spans="9:9" ht="258" customHeight="1" x14ac:dyDescent="0.2"/>
    <row r="280" spans="9:9" ht="180" customHeight="1" x14ac:dyDescent="0.2"/>
    <row r="281" spans="9:9" ht="249" customHeight="1" x14ac:dyDescent="0.2"/>
  </sheetData>
  <mergeCells count="133">
    <mergeCell ref="O188:P188"/>
    <mergeCell ref="O190:P190"/>
    <mergeCell ref="O184:P184"/>
    <mergeCell ref="B127:B128"/>
    <mergeCell ref="C127:C128"/>
    <mergeCell ref="E127:E128"/>
    <mergeCell ref="F127:F128"/>
    <mergeCell ref="G127:G128"/>
    <mergeCell ref="H127:H128"/>
    <mergeCell ref="I127:I128"/>
    <mergeCell ref="J127:J128"/>
    <mergeCell ref="K127:K128"/>
    <mergeCell ref="O173:P173"/>
    <mergeCell ref="O174:P174"/>
    <mergeCell ref="E124:E126"/>
    <mergeCell ref="F124:F126"/>
    <mergeCell ref="G124:G126"/>
    <mergeCell ref="H124:H126"/>
    <mergeCell ref="I124:I126"/>
    <mergeCell ref="J124:J126"/>
    <mergeCell ref="K124:K126"/>
    <mergeCell ref="C121:C123"/>
    <mergeCell ref="B121:B123"/>
    <mergeCell ref="E121:E123"/>
    <mergeCell ref="F121:F123"/>
    <mergeCell ref="G121:G123"/>
    <mergeCell ref="H121:H123"/>
    <mergeCell ref="I121:I123"/>
    <mergeCell ref="J121:J123"/>
    <mergeCell ref="K121:K123"/>
    <mergeCell ref="O241:P241"/>
    <mergeCell ref="O237:P237"/>
    <mergeCell ref="O236:P236"/>
    <mergeCell ref="O235:P235"/>
    <mergeCell ref="O234:P234"/>
    <mergeCell ref="O212:P212"/>
    <mergeCell ref="O224:P224"/>
    <mergeCell ref="O223:P223"/>
    <mergeCell ref="O214:P214"/>
    <mergeCell ref="O239:P239"/>
    <mergeCell ref="O228:P228"/>
    <mergeCell ref="P225:Q225"/>
    <mergeCell ref="O238:P238"/>
    <mergeCell ref="O240:P240"/>
    <mergeCell ref="O218:P218"/>
    <mergeCell ref="O220:P220"/>
    <mergeCell ref="O226:P226"/>
    <mergeCell ref="O222:P222"/>
    <mergeCell ref="O203:P203"/>
    <mergeCell ref="C114:C116"/>
    <mergeCell ref="E110:E113"/>
    <mergeCell ref="E114:E116"/>
    <mergeCell ref="O211:P211"/>
    <mergeCell ref="O177:P177"/>
    <mergeCell ref="O178:P178"/>
    <mergeCell ref="K114:K116"/>
    <mergeCell ref="K110:K113"/>
    <mergeCell ref="I114:I116"/>
    <mergeCell ref="J114:J116"/>
    <mergeCell ref="I110:I113"/>
    <mergeCell ref="J110:J113"/>
    <mergeCell ref="E117:E119"/>
    <mergeCell ref="I117:I119"/>
    <mergeCell ref="J117:J119"/>
    <mergeCell ref="O179:P179"/>
    <mergeCell ref="O186:P186"/>
    <mergeCell ref="O193:P193"/>
    <mergeCell ref="O194:P194"/>
    <mergeCell ref="O195:P195"/>
    <mergeCell ref="O200:P200"/>
    <mergeCell ref="L121:L123"/>
    <mergeCell ref="M121:M123"/>
    <mergeCell ref="H107:H109"/>
    <mergeCell ref="H110:H113"/>
    <mergeCell ref="H114:H116"/>
    <mergeCell ref="H117:H119"/>
    <mergeCell ref="N114:N116"/>
    <mergeCell ref="G107:G109"/>
    <mergeCell ref="I107:I109"/>
    <mergeCell ref="J107:J109"/>
    <mergeCell ref="N107:N109"/>
    <mergeCell ref="K117:K119"/>
    <mergeCell ref="N117:N119"/>
    <mergeCell ref="G117:G119"/>
    <mergeCell ref="G110:G113"/>
    <mergeCell ref="L124:L126"/>
    <mergeCell ref="M124:M126"/>
    <mergeCell ref="N124:N126"/>
    <mergeCell ref="L127:L128"/>
    <mergeCell ref="M127:M128"/>
    <mergeCell ref="N127:N128"/>
    <mergeCell ref="D249:N249"/>
    <mergeCell ref="F11:F12"/>
    <mergeCell ref="G11:G12"/>
    <mergeCell ref="K11:K12"/>
    <mergeCell ref="A245:N245"/>
    <mergeCell ref="D247:N247"/>
    <mergeCell ref="B117:B119"/>
    <mergeCell ref="C117:C119"/>
    <mergeCell ref="E107:E109"/>
    <mergeCell ref="K107:K109"/>
    <mergeCell ref="F107:F109"/>
    <mergeCell ref="N110:N113"/>
    <mergeCell ref="F114:F116"/>
    <mergeCell ref="G114:G116"/>
    <mergeCell ref="F117:F119"/>
    <mergeCell ref="F110:F113"/>
    <mergeCell ref="B107:B109"/>
    <mergeCell ref="C107:C109"/>
    <mergeCell ref="B110:B113"/>
    <mergeCell ref="C110:C113"/>
    <mergeCell ref="B114:B116"/>
    <mergeCell ref="N121:N123"/>
    <mergeCell ref="B124:B126"/>
    <mergeCell ref="C124:C126"/>
    <mergeCell ref="K2:N2"/>
    <mergeCell ref="J3:N3"/>
    <mergeCell ref="A8:B8"/>
    <mergeCell ref="A4:N4"/>
    <mergeCell ref="N10:N12"/>
    <mergeCell ref="E11:E12"/>
    <mergeCell ref="H11:H12"/>
    <mergeCell ref="I11:I12"/>
    <mergeCell ref="J11:J12"/>
    <mergeCell ref="E10:H10"/>
    <mergeCell ref="A10:A12"/>
    <mergeCell ref="B10:B12"/>
    <mergeCell ref="C10:C12"/>
    <mergeCell ref="D10:D12"/>
    <mergeCell ref="M11:M12"/>
    <mergeCell ref="I10:M10"/>
    <mergeCell ref="A5:N5"/>
    <mergeCell ref="A7:B7"/>
  </mergeCells>
  <pageMargins left="0.23622047244094491" right="0.27559055118110237" top="0.27559055118110237" bottom="0.15748031496062992" header="0.23622047244094491" footer="0.27559055118110237"/>
  <pageSetup paperSize="9" scale="18" orientation="landscape" r:id="rId1"/>
  <headerFooter alignWithMargins="0">
    <oddFooter>&amp;C&amp;"Times New Roman Cyr,курсив"Сторінка &amp;P з &amp;N</oddFooter>
  </headerFooter>
  <rowBreaks count="1" manualBreakCount="1">
    <brk id="102"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d2</vt:lpstr>
      <vt:lpstr>'d2'!Заголовки_для_друку</vt:lpstr>
      <vt:lpstr>'d2'!Область_друку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Ковтун Денис Леонідович</dc:creator>
  <cp:lastModifiedBy>Ковтун Денис Леонідович</cp:lastModifiedBy>
  <cp:lastPrinted>2025-05-02T07:43:52Z</cp:lastPrinted>
  <dcterms:created xsi:type="dcterms:W3CDTF">2021-05-18T12:47:38Z</dcterms:created>
  <dcterms:modified xsi:type="dcterms:W3CDTF">2025-05-02T07:46:42Z</dcterms:modified>
</cp:coreProperties>
</file>